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comments/comment30.xml" ContentType="application/vnd.openxmlformats-officedocument.spreadsheetml.comments+xml"/>
  <Override PartName="/xl/worksheets/sheet34.xml" ContentType="application/vnd.openxmlformats-officedocument.spreadsheetml.worksheet+xml"/>
  <Override PartName="/xl/comments/comment31.xml" ContentType="application/vnd.openxmlformats-officedocument.spreadsheetml.comments+xml"/>
  <Override PartName="/xl/worksheets/sheet35.xml" ContentType="application/vnd.openxmlformats-officedocument.spreadsheetml.worksheet+xml"/>
  <Override PartName="/xl/comments/comment32.xml" ContentType="application/vnd.openxmlformats-officedocument.spreadsheetml.comments+xml"/>
  <Override PartName="/xl/worksheets/sheet36.xml" ContentType="application/vnd.openxmlformats-officedocument.spreadsheetml.worksheet+xml"/>
  <Override PartName="/xl/comments/comment33.xml" ContentType="application/vnd.openxmlformats-officedocument.spreadsheetml.comments+xml"/>
  <Override PartName="/xl/worksheets/sheet37.xml" ContentType="application/vnd.openxmlformats-officedocument.spreadsheetml.worksheet+xml"/>
  <Override PartName="/xl/comments/comment34.xml" ContentType="application/vnd.openxmlformats-officedocument.spreadsheetml.comments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comments/comment43.xml" ContentType="application/vnd.openxmlformats-officedocument.spreadsheetml.comments+xml"/>
  <Override PartName="/xl/worksheets/sheet47.xml" ContentType="application/vnd.openxmlformats-officedocument.spreadsheetml.worksheet+xml"/>
  <Override PartName="/xl/comments/comment44.xml" ContentType="application/vnd.openxmlformats-officedocument.spreadsheetml.comments+xml"/>
  <Override PartName="/xl/worksheets/sheet48.xml" ContentType="application/vnd.openxmlformats-officedocument.spreadsheetml.worksheet+xml"/>
  <Override PartName="/xl/comments/comment45.xml" ContentType="application/vnd.openxmlformats-officedocument.spreadsheetml.comments+xml"/>
  <Override PartName="/xl/worksheets/sheet49.xml" ContentType="application/vnd.openxmlformats-officedocument.spreadsheetml.worksheet+xml"/>
  <Override PartName="/xl/comments/comment46.xml" ContentType="application/vnd.openxmlformats-officedocument.spreadsheetml.comments+xml"/>
  <Override PartName="/xl/worksheets/sheet50.xml" ContentType="application/vnd.openxmlformats-officedocument.spreadsheetml.worksheet+xml"/>
  <Override PartName="/xl/comments/comment4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432" tabRatio="930" firstSheet="0" activeTab="7" autoFilterDateGrouping="1"/>
  </bookViews>
  <sheets>
    <sheet xmlns:r="http://schemas.openxmlformats.org/officeDocument/2006/relationships" name="JR คำนวณ 45-90" sheetId="1" state="visible" r:id="rId1"/>
    <sheet xmlns:r="http://schemas.openxmlformats.org/officeDocument/2006/relationships" name="BI-FOLD" sheetId="2" state="visible" r:id="rId2"/>
    <sheet xmlns:r="http://schemas.openxmlformats.org/officeDocument/2006/relationships" name="อ้างอิง" sheetId="3" state="visible" r:id="rId3"/>
    <sheet xmlns:r="http://schemas.openxmlformats.org/officeDocument/2006/relationships" name="240_2Panel(L)" sheetId="4" state="visible" r:id="rId4"/>
    <sheet xmlns:r="http://schemas.openxmlformats.org/officeDocument/2006/relationships" name="240_2Panel(R)" sheetId="5" state="visible" r:id="rId5"/>
    <sheet xmlns:r="http://schemas.openxmlformats.org/officeDocument/2006/relationships" name="240_3Panel(2L1R)" sheetId="6" state="visible" r:id="rId6"/>
    <sheet xmlns:r="http://schemas.openxmlformats.org/officeDocument/2006/relationships" name="240_3Panel(1L2R)" sheetId="7" state="visible" r:id="rId7"/>
    <sheet xmlns:r="http://schemas.openxmlformats.org/officeDocument/2006/relationships" name="240_3Panel(L)" sheetId="8" state="visible" r:id="rId8"/>
    <sheet xmlns:r="http://schemas.openxmlformats.org/officeDocument/2006/relationships" name="240_3Panel(R)" sheetId="9" state="visible" r:id="rId9"/>
    <sheet xmlns:r="http://schemas.openxmlformats.org/officeDocument/2006/relationships" name="240_4Panel(1L3R)" sheetId="10" state="visible" r:id="rId10"/>
    <sheet xmlns:r="http://schemas.openxmlformats.org/officeDocument/2006/relationships" name="240_4Panel(2L2R)" sheetId="11" state="visible" r:id="rId11"/>
    <sheet xmlns:r="http://schemas.openxmlformats.org/officeDocument/2006/relationships" name="240_4Panel(2L2R) (แบ่งบาน)" sheetId="12" state="visible" r:id="rId12"/>
    <sheet xmlns:r="http://schemas.openxmlformats.org/officeDocument/2006/relationships" name="240_4Panel(3L1R)" sheetId="13" state="visible" r:id="rId13"/>
    <sheet xmlns:r="http://schemas.openxmlformats.org/officeDocument/2006/relationships" name="240_4Panel(4L)" sheetId="14" state="visible" r:id="rId14"/>
    <sheet xmlns:r="http://schemas.openxmlformats.org/officeDocument/2006/relationships" name="240_4Panel(4R)" sheetId="15" state="visible" r:id="rId15"/>
    <sheet xmlns:r="http://schemas.openxmlformats.org/officeDocument/2006/relationships" name="240_5Panel(1L4R)" sheetId="16" state="visible" r:id="rId16"/>
    <sheet xmlns:r="http://schemas.openxmlformats.org/officeDocument/2006/relationships" name="240_5Panel(2L3R)" sheetId="17" state="visible" r:id="rId17"/>
    <sheet xmlns:r="http://schemas.openxmlformats.org/officeDocument/2006/relationships" name="240_5Panel(3L2R)" sheetId="18" state="visible" r:id="rId18"/>
    <sheet xmlns:r="http://schemas.openxmlformats.org/officeDocument/2006/relationships" name="240_5Panel(4L1R)" sheetId="19" state="visible" r:id="rId19"/>
    <sheet xmlns:r="http://schemas.openxmlformats.org/officeDocument/2006/relationships" name="240_5Panel(5L)" sheetId="20" state="visible" r:id="rId20"/>
    <sheet xmlns:r="http://schemas.openxmlformats.org/officeDocument/2006/relationships" name="240_5Panel(5R)" sheetId="21" state="visible" r:id="rId21"/>
    <sheet xmlns:r="http://schemas.openxmlformats.org/officeDocument/2006/relationships" name="240_6Panel(1L5R)" sheetId="22" state="visible" r:id="rId22"/>
    <sheet xmlns:r="http://schemas.openxmlformats.org/officeDocument/2006/relationships" name="240_6Panel(3L3R)" sheetId="23" state="visible" r:id="rId23"/>
    <sheet xmlns:r="http://schemas.openxmlformats.org/officeDocument/2006/relationships" name="240_6Panel(3L3R) (แบ่งบาน)" sheetId="24" state="visible" r:id="rId24"/>
    <sheet xmlns:r="http://schemas.openxmlformats.org/officeDocument/2006/relationships" name="240_6Panel(5L1R)" sheetId="25" state="visible" r:id="rId25"/>
    <sheet xmlns:r="http://schemas.openxmlformats.org/officeDocument/2006/relationships" name="240_6Panel(6L)" sheetId="26" state="visible" r:id="rId26"/>
    <sheet xmlns:r="http://schemas.openxmlformats.org/officeDocument/2006/relationships" name="240_6Panel(6R)" sheetId="27" state="visible" r:id="rId27"/>
    <sheet xmlns:r="http://schemas.openxmlformats.org/officeDocument/2006/relationships" name="240_7Panel(1L6R)" sheetId="28" state="visible" r:id="rId28"/>
    <sheet xmlns:r="http://schemas.openxmlformats.org/officeDocument/2006/relationships" name="240_7Panel(2L5R)" sheetId="29" state="visible" r:id="rId29"/>
    <sheet xmlns:r="http://schemas.openxmlformats.org/officeDocument/2006/relationships" name="240_7Panel(3L4R)" sheetId="30" state="visible" r:id="rId30"/>
    <sheet xmlns:r="http://schemas.openxmlformats.org/officeDocument/2006/relationships" name="240_7Panel(4L3R)" sheetId="31" state="visible" r:id="rId31"/>
    <sheet xmlns:r="http://schemas.openxmlformats.org/officeDocument/2006/relationships" name="240_7Panel(5L2R)" sheetId="32" state="visible" r:id="rId32"/>
    <sheet xmlns:r="http://schemas.openxmlformats.org/officeDocument/2006/relationships" name="240_7Panel(6L1R)" sheetId="33" state="visible" r:id="rId33"/>
    <sheet xmlns:r="http://schemas.openxmlformats.org/officeDocument/2006/relationships" name="240_7Panel(7L)" sheetId="34" state="visible" r:id="rId34"/>
    <sheet xmlns:r="http://schemas.openxmlformats.org/officeDocument/2006/relationships" name="240_7Panel(7R)" sheetId="35" state="visible" r:id="rId35"/>
    <sheet xmlns:r="http://schemas.openxmlformats.org/officeDocument/2006/relationships" name="240_8Panel(8R)" sheetId="36" state="visible" r:id="rId36"/>
    <sheet xmlns:r="http://schemas.openxmlformats.org/officeDocument/2006/relationships" name="240_8Panel(3L5R)" sheetId="37" state="visible" r:id="rId37"/>
    <sheet xmlns:r="http://schemas.openxmlformats.org/officeDocument/2006/relationships" name="240_8Panel(4L4R)" sheetId="38" state="visible" r:id="rId38"/>
    <sheet xmlns:r="http://schemas.openxmlformats.org/officeDocument/2006/relationships" name="240_8Panel(5L3R)" sheetId="39" state="visible" r:id="rId39"/>
    <sheet xmlns:r="http://schemas.openxmlformats.org/officeDocument/2006/relationships" name="240_9Panel(3L6R)" sheetId="40" state="visible" r:id="rId40"/>
    <sheet xmlns:r="http://schemas.openxmlformats.org/officeDocument/2006/relationships" name="240_9Panel(4L5R)" sheetId="41" state="visible" r:id="rId41"/>
    <sheet xmlns:r="http://schemas.openxmlformats.org/officeDocument/2006/relationships" name="240_9Panel(5L4R)" sheetId="42" state="visible" r:id="rId42"/>
    <sheet xmlns:r="http://schemas.openxmlformats.org/officeDocument/2006/relationships" name="240_9Panel(6L3R)" sheetId="43" state="visible" r:id="rId43"/>
    <sheet xmlns:r="http://schemas.openxmlformats.org/officeDocument/2006/relationships" name="240_10Panel(5L5R)" sheetId="44" state="visible" r:id="rId44"/>
    <sheet xmlns:r="http://schemas.openxmlformats.org/officeDocument/2006/relationships" name="240_11Panel(5L6R)" sheetId="45" state="visible" r:id="rId45"/>
    <sheet xmlns:r="http://schemas.openxmlformats.org/officeDocument/2006/relationships" name="240_11Panel(6L5R)" sheetId="46" state="visible" r:id="rId46"/>
    <sheet xmlns:r="http://schemas.openxmlformats.org/officeDocument/2006/relationships" name="240_12Panel(5L7R)" sheetId="47" state="visible" r:id="rId47"/>
    <sheet xmlns:r="http://schemas.openxmlformats.org/officeDocument/2006/relationships" name="240_12Panel(6L6R)" sheetId="48" state="visible" r:id="rId48"/>
    <sheet xmlns:r="http://schemas.openxmlformats.org/officeDocument/2006/relationships" name="240_14Panel(7L7R)" sheetId="49" state="visible" r:id="rId49"/>
    <sheet xmlns:r="http://schemas.openxmlformats.org/officeDocument/2006/relationships" name="240_15Panel(7L8R)" sheetId="50" state="visible" r:id="rId50"/>
  </sheets>
  <definedNames>
    <definedName name="_xlnm.Print_Area" localSheetId="3">'240_2Panel(L)'!$A$1:$J$524</definedName>
    <definedName name="_xlnm.Print_Area" localSheetId="4">'240_2Panel(R)'!$A$1:$J$524</definedName>
    <definedName name="_xlnm.Print_Area" localSheetId="5">'240_3Panel(2L1R)'!$A$1:$J$527</definedName>
    <definedName name="_xlnm.Print_Area" localSheetId="6">'240_3Panel(1L2R)'!$A$1:$J$527</definedName>
    <definedName name="_xlnm.Print_Area" localSheetId="7">'240_3Panel(L)'!$A$1:$J$526</definedName>
    <definedName name="_xlnm.Print_Area" localSheetId="8">'240_3Panel(R)'!$A$1:$J$526</definedName>
    <definedName name="_xlnm.Print_Area" localSheetId="9">'240_4Panel(1L3R)'!$A$1:$J$527</definedName>
    <definedName name="_xlnm.Print_Area" localSheetId="10">'240_4Panel(2L2R)'!$A$1:$J$526</definedName>
    <definedName name="_xlnm.Print_Area" localSheetId="11">'240_4Panel(2L2R) (แบ่งบาน)'!$A$1:$J$527</definedName>
    <definedName name="_xlnm.Print_Area" localSheetId="12">'240_4Panel(3L1R)'!$A$1:$J$526</definedName>
    <definedName name="_xlnm.Print_Area" localSheetId="13">'240_4Panel(4L)'!$A$1:$J$526</definedName>
    <definedName name="_xlnm.Print_Area" localSheetId="14">'240_4Panel(4R)'!$A$1:$J$525</definedName>
    <definedName name="_xlnm.Print_Area" localSheetId="15">'240_5Panel(1L4R)'!$A$1:$J$527</definedName>
    <definedName name="_xlnm.Print_Area" localSheetId="16">'240_5Panel(2L3R)'!$A$1:$J$527</definedName>
    <definedName name="_xlnm.Print_Area" localSheetId="17">'240_5Panel(3L2R)'!$A$1:$J$527</definedName>
    <definedName name="_xlnm.Print_Area" localSheetId="18">'240_5Panel(4L1R)'!$A$1:$J$527</definedName>
    <definedName name="_xlnm.Print_Area" localSheetId="19">'240_5Panel(5L)'!$A$1:$J$526</definedName>
    <definedName name="_xlnm.Print_Area" localSheetId="20">'240_5Panel(5R)'!$A$1:$J$525</definedName>
    <definedName name="_xlnm.Print_Area" localSheetId="21">'240_6Panel(1L5R)'!$A$1:$J$527</definedName>
    <definedName name="_xlnm.Print_Area" localSheetId="22">'240_6Panel(3L3R)'!$A$1:$J$526</definedName>
    <definedName name="_xlnm.Print_Area" localSheetId="23">'240_6Panel(3L3R) (แบ่งบาน)'!$A$1:$J$526</definedName>
    <definedName name="_xlnm.Print_Area" localSheetId="24">'240_6Panel(5L1R)'!$A$1:$J$527</definedName>
    <definedName name="_xlnm.Print_Area" localSheetId="25">'240_6Panel(6L)'!$A$1:$J$526</definedName>
    <definedName name="_xlnm.Print_Area" localSheetId="26">'240_6Panel(6R)'!$A$1:$J$526</definedName>
    <definedName name="_xlnm.Print_Area" localSheetId="27">'240_7Panel(1L6R)'!$A$1:$J$526</definedName>
    <definedName name="_xlnm.Print_Area" localSheetId="28">'240_7Panel(2L5R)'!$A$1:$J$526</definedName>
    <definedName name="_xlnm.Print_Area" localSheetId="29">'240_7Panel(3L4R)'!$A$1:$J$526</definedName>
    <definedName name="_xlnm.Print_Area" localSheetId="30">'240_7Panel(4L3R)'!$A$1:$J$526</definedName>
    <definedName name="_xlnm.Print_Area" localSheetId="31">'240_7Panel(5L2R)'!$A$1:$J$527</definedName>
    <definedName name="_xlnm.Print_Area" localSheetId="32">'240_7Panel(6L1R)'!$A$1:$J$526</definedName>
    <definedName name="_xlnm.Print_Area" localSheetId="33">'240_7Panel(7L)'!$A$1:$J$526</definedName>
    <definedName name="_xlnm.Print_Area" localSheetId="34">'240_7Panel(7R)'!$A$1:$J$526</definedName>
    <definedName name="_xlnm.Print_Area" localSheetId="35">'240_8Panel(8R)'!$A$1:$J$525</definedName>
    <definedName name="_xlnm.Print_Area" localSheetId="36">'240_8Panel(3L5R)'!$A$1:$J$527</definedName>
    <definedName name="_xlnm.Print_Area" localSheetId="37">'240_8Panel(4L4R)'!$A$1:$J$526</definedName>
    <definedName name="_xlnm.Print_Area" localSheetId="38">'240_8Panel(5L3R)'!$A$1:$J$526</definedName>
    <definedName name="_xlnm.Print_Area" localSheetId="39">'240_9Panel(3L6R)'!$A$1:$J$526</definedName>
    <definedName name="_xlnm.Print_Area" localSheetId="40">'240_9Panel(4L5R)'!$A$1:$J$527</definedName>
    <definedName name="_xlnm.Print_Area" localSheetId="41">'240_9Panel(5L4R)'!$A$1:$J$525</definedName>
    <definedName name="_xlnm.Print_Area" localSheetId="42">'240_9Panel(6L3R)'!$A$1:$J$526</definedName>
    <definedName name="_xlnm.Print_Area" localSheetId="43">'240_10Panel(5L5R)'!$A$1:$J$526</definedName>
    <definedName name="_xlnm.Print_Area" localSheetId="44">'240_11Panel(5L6R)'!$A$1:$J$525</definedName>
    <definedName name="_xlnm.Print_Area" localSheetId="45">'240_11Panel(6L5R)'!$A$1:$J$526</definedName>
    <definedName name="_xlnm.Print_Area" localSheetId="46">'240_12Panel(5L7R)'!$A$1:$J$526</definedName>
    <definedName name="_xlnm.Print_Area" localSheetId="47">'240_12Panel(6L6R)'!$A$1:$J$526</definedName>
    <definedName name="_xlnm.Print_Area" localSheetId="48">'240_14Panel(7L7R)'!$A$1:$J$526</definedName>
    <definedName name="_xlnm.Print_Area" localSheetId="49">'240_15Panel(7L8R)'!$A$1:$J$525</definedName>
  </definedNames>
  <calcPr calcId="162913" fullCalcOnLoad="1"/>
</workbook>
</file>

<file path=xl/styles.xml><?xml version="1.0" encoding="utf-8"?>
<styleSheet xmlns="http://schemas.openxmlformats.org/spreadsheetml/2006/main">
  <numFmts count="14">
    <numFmt numFmtId="164" formatCode="#,###"/>
    <numFmt numFmtId="165" formatCode="#,###;#,###"/>
    <numFmt numFmtId="166" formatCode="0.0"/>
    <numFmt numFmtId="167" formatCode="#,##0.0\ &quot;M&quot;"/>
    <numFmt numFmtId="168" formatCode="#,##0\ &quot;Roll&quot;"/>
    <numFmt numFmtId="169" formatCode="#,##0\ &quot;M&quot;"/>
    <numFmt numFmtId="170" formatCode="#\ &quot;)&quot;"/>
    <numFmt numFmtId="171" formatCode="#,##0.0"/>
    <numFmt numFmtId="172" formatCode="#\ &quot;PCS&quot;"/>
    <numFmt numFmtId="173" formatCode="\L\ \=\ ###0.0\ &quot;mm&quot;"/>
    <numFmt numFmtId="174" formatCode="0.000"/>
    <numFmt numFmtId="175" formatCode="#,###.000;#,###.000"/>
    <numFmt numFmtId="176" formatCode="_-[$฿-41E]* #,##0.00_-;\-[$฿-41E]* #,##0.00_-;_-[$฿-41E]* &quot;-&quot;??_-;_-@_-"/>
    <numFmt numFmtId="177" formatCode="#,##0.0\ &quot;mm&quot;"/>
  </numFmts>
  <fonts count="41">
    <font>
      <name val="Calibri"/>
      <charset val="222"/>
      <family val="2"/>
      <color theme="1"/>
      <sz val="11"/>
      <scheme val="minor"/>
    </font>
    <font>
      <name val="Microsoft Sans Serif"/>
      <family val="2"/>
      <color theme="1"/>
      <sz val="11"/>
    </font>
    <font>
      <name val="Microsoft Sans Serif"/>
      <family val="2"/>
      <b val="1"/>
      <color theme="1"/>
      <sz val="11"/>
    </font>
    <font>
      <name val="Microsoft Sans Serif"/>
      <family val="2"/>
      <color theme="1"/>
      <sz val="8"/>
    </font>
    <font>
      <name val="Microsoft Sans Serif"/>
      <family val="2"/>
      <b val="1"/>
      <color theme="1"/>
      <sz val="8"/>
    </font>
    <font>
      <name val="Microsoft Sans Serif"/>
      <family val="2"/>
      <b val="1"/>
      <color theme="1"/>
      <sz val="16"/>
    </font>
    <font>
      <name val="Microsoft Sans Serif"/>
      <family val="2"/>
      <b val="1"/>
      <color theme="1"/>
      <sz val="14"/>
    </font>
    <font>
      <name val="Microsoft Sans Serif"/>
      <family val="2"/>
      <color theme="1"/>
      <sz val="12"/>
    </font>
    <font>
      <name val="Microsoft Sans Serif"/>
      <family val="2"/>
      <b val="1"/>
      <color theme="1"/>
      <sz val="12"/>
    </font>
    <font>
      <name val="Microsoft Sans Serif"/>
      <family val="2"/>
      <color theme="1"/>
      <sz val="10"/>
    </font>
    <font>
      <name val="Microsoft Sans Serif"/>
      <family val="2"/>
      <b val="1"/>
      <color theme="1"/>
      <sz val="10"/>
    </font>
    <font>
      <name val="Microsoft Sans Serif"/>
      <family val="2"/>
      <color theme="1"/>
      <sz val="13"/>
    </font>
    <font>
      <name val="Microsoft Sans Serif"/>
      <family val="2"/>
      <b val="1"/>
      <color theme="1"/>
      <sz val="24"/>
    </font>
    <font>
      <name val="Microsoft Sans Serif"/>
      <family val="2"/>
      <color theme="1"/>
      <sz val="22"/>
    </font>
    <font>
      <name val="Arial"/>
      <family val="2"/>
      <b val="1"/>
      <color theme="4" tint="0.3999755851924192"/>
      <sz val="14"/>
    </font>
    <font>
      <name val="Microsoft Sans Serif"/>
      <family val="2"/>
      <b val="1"/>
      <sz val="10"/>
    </font>
    <font>
      <name val="Calibri"/>
      <family val="2"/>
      <b val="1"/>
      <color theme="1"/>
      <sz val="28"/>
      <scheme val="minor"/>
    </font>
    <font>
      <name val="Tahoma"/>
      <family val="2"/>
      <b val="1"/>
      <color rgb="FF000000"/>
      <sz val="14"/>
    </font>
    <font>
      <name val="Microsoft Sans Serif"/>
      <family val="2"/>
      <color theme="1"/>
      <sz val="14"/>
    </font>
    <font>
      <name val="Microsoft Sans Serif"/>
      <family val="2"/>
      <color theme="1"/>
      <sz val="16"/>
    </font>
    <font>
      <name val="Microsoft Sans Serif"/>
      <family val="2"/>
      <sz val="11"/>
    </font>
    <font>
      <name val="Microsoft Sans Serif"/>
      <family val="2"/>
      <color rgb="FFFF0000"/>
      <sz val="11"/>
    </font>
    <font>
      <name val="Tahoma"/>
      <family val="2"/>
      <b val="1"/>
      <color indexed="81"/>
      <sz val="16"/>
    </font>
    <font>
      <name val="Tahoma"/>
      <family val="2"/>
      <color indexed="81"/>
      <sz val="16"/>
    </font>
    <font>
      <name val="Calibri"/>
      <charset val="222"/>
      <family val="2"/>
      <color rgb="FFFF00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Microsoft Sans Serif"/>
      <family val="2"/>
      <color theme="1"/>
      <sz val="9"/>
    </font>
    <font>
      <name val="Microsoft Sans Serif"/>
      <family val="2"/>
      <sz val="9"/>
    </font>
    <font>
      <name val="Calibri"/>
      <charset val="222"/>
      <family val="2"/>
      <color theme="1"/>
      <sz val="10"/>
      <scheme val="minor"/>
    </font>
    <font>
      <name val="Tahoma"/>
      <family val="2"/>
      <color theme="8" tint="-0.249977111117893"/>
      <sz val="11"/>
    </font>
    <font>
      <name val="Microsoft Sans Serif"/>
      <family val="2"/>
      <b val="1"/>
      <color rgb="FFFF0000"/>
      <sz val="10"/>
    </font>
    <font>
      <name val="Calibri"/>
      <family val="2"/>
      <color theme="1"/>
      <sz val="14"/>
      <scheme val="minor"/>
    </font>
    <font>
      <name val="Microsoft Sans Serif"/>
      <family val="2"/>
      <b val="1"/>
      <color rgb="FFFF0000"/>
      <sz val="11"/>
    </font>
    <font>
      <name val="Tahoma"/>
      <b val="1"/>
      <color rgb="00FFFFFF"/>
      <sz val="12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</fonts>
  <fills count="2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7F77DD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68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7" fillId="0" borderId="0" pivotButton="0" quotePrefix="1" xfId="0"/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0" pivotButton="0" quotePrefix="0" xfId="0"/>
    <xf numFmtId="0" fontId="1" fillId="0" borderId="6" applyAlignment="1" pivotButton="0" quotePrefix="0" xfId="0">
      <alignment horizontal="center"/>
    </xf>
    <xf numFmtId="0" fontId="1" fillId="0" borderId="1" pivotButton="0" quotePrefix="0" xfId="0"/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3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left"/>
    </xf>
    <xf numFmtId="0" fontId="7" fillId="0" borderId="0" pivotButton="0" quotePrefix="1" xfId="0"/>
    <xf numFmtId="0" fontId="1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7" fillId="0" borderId="0" pivotButton="0" quotePrefix="1" xfId="0"/>
    <xf numFmtId="0" fontId="7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1" xfId="0"/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1" fillId="0" borderId="0" pivotButton="0" quotePrefix="1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0" pivotButton="0" quotePrefix="0" xfId="0"/>
    <xf numFmtId="1" fontId="11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vertical="center"/>
    </xf>
    <xf numFmtId="0" fontId="1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7" fillId="0" borderId="0" pivotButton="0" quotePrefix="1" xfId="0"/>
    <xf numFmtId="0" fontId="12" fillId="0" borderId="0" pivotButton="0" quotePrefix="0" xfId="0"/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0" fontId="1" fillId="0" borderId="0" pivotButton="0" quotePrefix="1" xfId="0"/>
    <xf numFmtId="1" fontId="9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5" fillId="5" borderId="8" applyAlignment="1" pivotButton="0" quotePrefix="0" xfId="0">
      <alignment horizontal="center" vertical="center"/>
    </xf>
    <xf numFmtId="0" fontId="15" fillId="5" borderId="9" applyAlignment="1" pivotButton="0" quotePrefix="0" xfId="0">
      <alignment horizontal="center" vertical="center"/>
    </xf>
    <xf numFmtId="0" fontId="15" fillId="5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1" xfId="0">
      <alignment horizontal="righ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0" fontId="15" fillId="5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/>
    </xf>
    <xf numFmtId="0" fontId="1" fillId="0" borderId="17" pivotButton="0" quotePrefix="0" xfId="0"/>
    <xf numFmtId="0" fontId="1" fillId="0" borderId="17" applyAlignment="1" pivotButton="0" quotePrefix="0" xfId="0">
      <alignment horizontal="left"/>
    </xf>
    <xf numFmtId="0" fontId="1" fillId="0" borderId="17" applyAlignment="1" pivotButton="0" quotePrefix="0" xfId="0">
      <alignment horizontal="center"/>
    </xf>
    <xf numFmtId="1" fontId="1" fillId="2" borderId="17" applyAlignment="1" pivotButton="0" quotePrefix="0" xfId="0">
      <alignment horizontal="center"/>
    </xf>
    <xf numFmtId="164" fontId="1" fillId="2" borderId="17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1" fillId="0" borderId="18" pivotButton="0" quotePrefix="0" xfId="0"/>
    <xf numFmtId="0" fontId="1" fillId="0" borderId="18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1" fontId="1" fillId="2" borderId="18" applyAlignment="1" pivotButton="0" quotePrefix="0" xfId="0">
      <alignment horizontal="center"/>
    </xf>
    <xf numFmtId="164" fontId="1" fillId="2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1" fillId="0" borderId="19" pivotButton="0" quotePrefix="0" xfId="0"/>
    <xf numFmtId="0" fontId="1" fillId="0" borderId="19" applyAlignment="1" pivotButton="0" quotePrefix="0" xfId="0">
      <alignment horizontal="left"/>
    </xf>
    <xf numFmtId="0" fontId="1" fillId="0" borderId="19" applyAlignment="1" pivotButton="0" quotePrefix="0" xfId="0">
      <alignment horizontal="center"/>
    </xf>
    <xf numFmtId="1" fontId="1" fillId="2" borderId="19" applyAlignment="1" pivotButton="0" quotePrefix="0" xfId="0">
      <alignment horizontal="center"/>
    </xf>
    <xf numFmtId="0" fontId="1" fillId="0" borderId="17" applyAlignment="1" pivotButton="0" quotePrefix="0" xfId="0">
      <alignment horizontal="left"/>
    </xf>
    <xf numFmtId="0" fontId="1" fillId="0" borderId="17" pivotButton="0" quotePrefix="0" xfId="0"/>
    <xf numFmtId="0" fontId="1" fillId="0" borderId="18" applyAlignment="1" pivotButton="0" quotePrefix="0" xfId="0">
      <alignment horizontal="left"/>
    </xf>
    <xf numFmtId="0" fontId="1" fillId="0" borderId="18" pivotButton="0" quotePrefix="0" xfId="0"/>
    <xf numFmtId="0" fontId="1" fillId="0" borderId="19" applyAlignment="1" pivotButton="0" quotePrefix="0" xfId="0">
      <alignment horizontal="left"/>
    </xf>
    <xf numFmtId="0" fontId="1" fillId="0" borderId="19" pivotButton="0" quotePrefix="0" xfId="0"/>
    <xf numFmtId="0" fontId="1" fillId="0" borderId="18" applyAlignment="1" pivotButton="0" quotePrefix="0" xfId="0">
      <alignment horizontal="center"/>
    </xf>
    <xf numFmtId="0" fontId="1" fillId="2" borderId="18" applyAlignment="1" pivotButton="0" quotePrefix="0" xfId="0">
      <alignment horizontal="center"/>
    </xf>
    <xf numFmtId="0" fontId="1" fillId="2" borderId="19" applyAlignment="1" pivotButton="0" quotePrefix="0" xfId="0">
      <alignment horizontal="center"/>
    </xf>
    <xf numFmtId="0" fontId="15" fillId="5" borderId="2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 wrapText="1"/>
    </xf>
    <xf numFmtId="0" fontId="15" fillId="5" borderId="21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" fontId="1" fillId="2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" fontId="1" fillId="2" borderId="18" applyAlignment="1" pivotButton="0" quotePrefix="0" xfId="0">
      <alignment horizontal="center" vertical="center"/>
    </xf>
    <xf numFmtId="0" fontId="15" fillId="5" borderId="23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2" fillId="0" borderId="0" applyAlignment="1" pivotButton="0" quotePrefix="0" xfId="0">
      <alignment horizontal="center" wrapText="1"/>
    </xf>
    <xf numFmtId="0" fontId="1" fillId="0" borderId="0" applyAlignment="1" pivotButton="0" quotePrefix="1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29" pivotButton="0" quotePrefix="0" xfId="0"/>
    <xf numFmtId="0" fontId="1" fillId="0" borderId="29" applyAlignment="1" pivotButton="0" quotePrefix="0" xfId="0">
      <alignment horizontal="left"/>
    </xf>
    <xf numFmtId="0" fontId="15" fillId="6" borderId="31" applyAlignment="1" pivotButton="0" quotePrefix="0" xfId="0">
      <alignment horizontal="center" vertical="center"/>
    </xf>
    <xf numFmtId="0" fontId="15" fillId="6" borderId="3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/>
    </xf>
    <xf numFmtId="164" fontId="1" fillId="2" borderId="34" applyAlignment="1" pivotButton="0" quotePrefix="0" xfId="0">
      <alignment horizontal="center"/>
    </xf>
    <xf numFmtId="165" fontId="1" fillId="0" borderId="6" pivotButton="0" quotePrefix="0" xfId="0"/>
    <xf numFmtId="165" fontId="1" fillId="0" borderId="6" applyAlignment="1" pivotButton="0" quotePrefix="0" xfId="0">
      <alignment vertical="center"/>
    </xf>
    <xf numFmtId="165" fontId="1" fillId="0" borderId="6" applyAlignment="1" pivotButton="0" quotePrefix="0" xfId="0">
      <alignment horizontal="center"/>
    </xf>
    <xf numFmtId="165" fontId="1" fillId="0" borderId="32" applyAlignment="1" pivotButton="0" quotePrefix="0" xfId="0">
      <alignment horizontal="center"/>
    </xf>
    <xf numFmtId="0" fontId="15" fillId="6" borderId="31" applyAlignment="1" pivotButton="0" quotePrefix="0" xfId="0">
      <alignment horizontal="center" vertical="center" wrapText="1"/>
    </xf>
    <xf numFmtId="166" fontId="1" fillId="2" borderId="18" applyAlignment="1" pivotButton="0" quotePrefix="0" xfId="0">
      <alignment horizontal="center"/>
    </xf>
    <xf numFmtId="1" fontId="11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167" fontId="1" fillId="2" borderId="18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65" fontId="1" fillId="0" borderId="40" applyAlignment="1" pivotButton="0" quotePrefix="0" xfId="0">
      <alignment horizontal="center"/>
    </xf>
    <xf numFmtId="165" fontId="1" fillId="0" borderId="39" applyAlignment="1" pivotButton="0" quotePrefix="0" xfId="0">
      <alignment horizontal="center"/>
    </xf>
    <xf numFmtId="0" fontId="1" fillId="0" borderId="0" pivotButton="0" quotePrefix="0" xfId="0"/>
    <xf numFmtId="0" fontId="5" fillId="0" borderId="41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0" fontId="1" fillId="0" borderId="29" pivotButton="0" quotePrefix="0" xfId="0"/>
    <xf numFmtId="0" fontId="1" fillId="0" borderId="29" applyAlignment="1" pivotButton="0" quotePrefix="0" xfId="0">
      <alignment horizontal="left"/>
    </xf>
    <xf numFmtId="0" fontId="1" fillId="0" borderId="29" applyAlignment="1" pivotButton="0" quotePrefix="0" xfId="0">
      <alignment horizontal="center"/>
    </xf>
    <xf numFmtId="0" fontId="15" fillId="6" borderId="4" applyAlignment="1" pivotButton="0" quotePrefix="0" xfId="0">
      <alignment horizontal="center" vertical="center"/>
    </xf>
    <xf numFmtId="0" fontId="15" fillId="6" borderId="8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0" fontId="16" fillId="5" borderId="0" pivotButton="0" quotePrefix="0" xfId="0"/>
    <xf numFmtId="0" fontId="0" fillId="5" borderId="0" pivotButton="0" quotePrefix="0" xfId="0"/>
    <xf numFmtId="0" fontId="17" fillId="5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" fillId="0" borderId="36" applyAlignment="1" pivotButton="0" quotePrefix="0" xfId="0">
      <alignment horizontal="center"/>
    </xf>
    <xf numFmtId="168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36" applyAlignment="1" pivotButton="0" quotePrefix="0" xfId="0">
      <alignment horizontal="left"/>
    </xf>
    <xf numFmtId="0" fontId="1" fillId="0" borderId="36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left"/>
    </xf>
    <xf numFmtId="0" fontId="18" fillId="0" borderId="0" applyAlignment="1" pivotButton="0" quotePrefix="1" xfId="0">
      <alignment horizontal="left"/>
    </xf>
    <xf numFmtId="0" fontId="1" fillId="5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0" applyAlignment="1" pivotButton="0" quotePrefix="1" xfId="0">
      <alignment horizontal="center"/>
    </xf>
    <xf numFmtId="0" fontId="1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/>
    </xf>
    <xf numFmtId="0" fontId="15" fillId="5" borderId="44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9" fontId="1" fillId="2" borderId="36" applyAlignment="1" pivotButton="0" quotePrefix="0" xfId="0">
      <alignment horizontal="center"/>
    </xf>
    <xf numFmtId="169" fontId="1" fillId="2" borderId="18" applyAlignment="1" pivotButton="0" quotePrefix="0" xfId="0">
      <alignment horizontal="center"/>
    </xf>
    <xf numFmtId="168" fontId="1" fillId="2" borderId="18" applyAlignment="1" pivotButton="0" quotePrefix="0" xfId="0">
      <alignment horizontal="center"/>
    </xf>
    <xf numFmtId="169" fontId="1" fillId="0" borderId="3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168" fontId="1" fillId="2" borderId="36" applyAlignment="1" pivotButton="0" quotePrefix="0" xfId="0">
      <alignment horizontal="center"/>
    </xf>
    <xf numFmtId="170" fontId="1" fillId="0" borderId="18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9" fontId="1" fillId="0" borderId="18" applyAlignment="1" pivotButton="0" quotePrefix="0" xfId="0">
      <alignment horizontal="center"/>
    </xf>
    <xf numFmtId="0" fontId="7" fillId="4" borderId="12" pivotButton="0" quotePrefix="1" xfId="0"/>
    <xf numFmtId="0" fontId="0" fillId="4" borderId="13" pivotButton="0" quotePrefix="0" xfId="0"/>
    <xf numFmtId="0" fontId="0" fillId="4" borderId="14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left"/>
    </xf>
    <xf numFmtId="0" fontId="1" fillId="0" borderId="45" pivotButton="0" quotePrefix="0" xfId="0"/>
    <xf numFmtId="0" fontId="1" fillId="0" borderId="45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0" fontId="1" fillId="0" borderId="45" applyAlignment="1" pivotButton="0" quotePrefix="0" xfId="0">
      <alignment horizontal="left"/>
    </xf>
    <xf numFmtId="0" fontId="1" fillId="2" borderId="45" applyAlignment="1" pivotButton="0" quotePrefix="0" xfId="0">
      <alignment horizontal="center"/>
    </xf>
    <xf numFmtId="164" fontId="1" fillId="2" borderId="45" applyAlignment="1" pivotButton="0" quotePrefix="0" xfId="0">
      <alignment horizontal="center"/>
    </xf>
    <xf numFmtId="0" fontId="1" fillId="0" borderId="0" pivotButton="0" quotePrefix="1" xfId="0"/>
    <xf numFmtId="1" fontId="1" fillId="2" borderId="45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2" pivotButton="0" quotePrefix="0" xfId="0"/>
    <xf numFmtId="169" fontId="1" fillId="2" borderId="2" applyAlignment="1" pivotButton="0" quotePrefix="0" xfId="0">
      <alignment horizontal="center"/>
    </xf>
    <xf numFmtId="168" fontId="1" fillId="0" borderId="2" applyAlignment="1" pivotButton="0" quotePrefix="0" xfId="0">
      <alignment horizontal="center"/>
    </xf>
    <xf numFmtId="164" fontId="1" fillId="2" borderId="19" applyAlignment="1" pivotButton="0" quotePrefix="0" xfId="0">
      <alignment horizontal="center"/>
    </xf>
    <xf numFmtId="0" fontId="0" fillId="0" borderId="0" pivotButton="0" quotePrefix="0" xfId="0"/>
    <xf numFmtId="0" fontId="1" fillId="0" borderId="36" pivotButton="0" quotePrefix="0" xfId="0"/>
    <xf numFmtId="0" fontId="1" fillId="0" borderId="36" applyAlignment="1" pivotButton="0" quotePrefix="0" xfId="0">
      <alignment horizontal="left"/>
    </xf>
    <xf numFmtId="0" fontId="1" fillId="0" borderId="46" applyAlignment="1" pivotButton="0" quotePrefix="0" xfId="0">
      <alignment horizontal="center" vertical="center"/>
    </xf>
    <xf numFmtId="1" fontId="1" fillId="2" borderId="36" applyAlignment="1" pivotButton="0" quotePrefix="0" xfId="0">
      <alignment horizontal="center"/>
    </xf>
    <xf numFmtId="1" fontId="1" fillId="2" borderId="36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 wrapText="1"/>
    </xf>
    <xf numFmtId="0" fontId="1" fillId="0" borderId="0" applyAlignment="1" pivotButton="0" quotePrefix="1" xfId="0">
      <alignment horizontal="center"/>
    </xf>
    <xf numFmtId="1" fontId="1" fillId="2" borderId="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0" fontId="15" fillId="5" borderId="48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/>
    </xf>
    <xf numFmtId="166" fontId="1" fillId="2" borderId="45" applyAlignment="1" pivotButton="0" quotePrefix="0" xfId="0">
      <alignment horizontal="center"/>
    </xf>
    <xf numFmtId="166" fontId="1" fillId="2" borderId="19" applyAlignment="1" pivotButton="0" quotePrefix="0" xfId="0">
      <alignment horizontal="center"/>
    </xf>
    <xf numFmtId="0" fontId="15" fillId="5" borderId="49" applyAlignment="1" pivotButton="0" quotePrefix="0" xfId="0">
      <alignment horizontal="center" vertical="center"/>
    </xf>
    <xf numFmtId="0" fontId="15" fillId="5" borderId="30" applyAlignment="1" pivotButton="0" quotePrefix="0" xfId="0">
      <alignment horizontal="center" vertical="center"/>
    </xf>
    <xf numFmtId="0" fontId="15" fillId="5" borderId="50" applyAlignment="1" pivotButton="0" quotePrefix="0" xfId="0">
      <alignment horizontal="center" vertical="center"/>
    </xf>
    <xf numFmtId="0" fontId="15" fillId="5" borderId="50" applyAlignment="1" pivotButton="0" quotePrefix="0" xfId="0">
      <alignment horizontal="center" vertical="center" wrapText="1"/>
    </xf>
    <xf numFmtId="0" fontId="15" fillId="5" borderId="51" applyAlignment="1" pivotButton="0" quotePrefix="0" xfId="0">
      <alignment horizontal="center" vertical="center" wrapText="1"/>
    </xf>
    <xf numFmtId="0" fontId="15" fillId="5" borderId="52" applyAlignment="1" pivotButton="0" quotePrefix="0" xfId="0">
      <alignment horizontal="center" vertical="center"/>
    </xf>
    <xf numFmtId="0" fontId="15" fillId="5" borderId="3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7" fillId="0" borderId="0" applyAlignment="1" pivotButton="0" quotePrefix="1" xfId="0">
      <alignment horizontal="left"/>
    </xf>
    <xf numFmtId="0" fontId="15" fillId="5" borderId="22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pivotButton="0" quotePrefix="0" xfId="0"/>
    <xf numFmtId="0" fontId="19" fillId="0" borderId="0" pivotButton="0" quotePrefix="0" xfId="0"/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1" xfId="0">
      <alignment horizontal="left"/>
    </xf>
    <xf numFmtId="171" fontId="1" fillId="2" borderId="45" applyAlignment="1" pivotButton="0" quotePrefix="0" xfId="0">
      <alignment horizontal="center"/>
    </xf>
    <xf numFmtId="171" fontId="1" fillId="2" borderId="18" applyAlignment="1" pivotButton="0" quotePrefix="0" xfId="0">
      <alignment horizontal="center"/>
    </xf>
    <xf numFmtId="171" fontId="1" fillId="2" borderId="19" applyAlignment="1" pivotButton="0" quotePrefix="0" xfId="0">
      <alignment horizontal="center"/>
    </xf>
    <xf numFmtId="0" fontId="20" fillId="0" borderId="17" applyAlignment="1" pivotButton="0" quotePrefix="0" xfId="0">
      <alignment horizontal="left"/>
    </xf>
    <xf numFmtId="0" fontId="21" fillId="0" borderId="0" pivotButton="0" quotePrefix="0" xfId="0"/>
    <xf numFmtId="0" fontId="21" fillId="0" borderId="0" pivotButton="0" quotePrefix="0" xfId="0"/>
    <xf numFmtId="166" fontId="18" fillId="0" borderId="0" applyAlignment="1" pivotButton="0" quotePrefix="0" xfId="0">
      <alignment horizontal="center"/>
    </xf>
    <xf numFmtId="166" fontId="18" fillId="0" borderId="0" applyAlignment="1" pivotButton="0" quotePrefix="1" xfId="0">
      <alignment horizontal="center"/>
    </xf>
    <xf numFmtId="0" fontId="1" fillId="0" borderId="43" applyAlignment="1" pivotButton="0" quotePrefix="1" xfId="0">
      <alignment horizontal="center"/>
    </xf>
    <xf numFmtId="0" fontId="1" fillId="0" borderId="46" applyAlignment="1" pivotButton="0" quotePrefix="1" xfId="0">
      <alignment horizontal="center"/>
    </xf>
    <xf numFmtId="0" fontId="15" fillId="5" borderId="4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1" fillId="0" borderId="19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1" fontId="1" fillId="2" borderId="1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3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15" fillId="5" borderId="4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/>
    </xf>
    <xf numFmtId="0" fontId="1" fillId="2" borderId="18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" fontId="1" fillId="0" borderId="3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5" fillId="5" borderId="44" applyAlignment="1" pivotButton="0" quotePrefix="0" xfId="0">
      <alignment horizontal="center" vertical="center" wrapText="1"/>
    </xf>
    <xf numFmtId="172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2" borderId="53" applyAlignment="1" pivotButton="0" quotePrefix="0" xfId="0">
      <alignment horizontal="center" vertical="center"/>
    </xf>
    <xf numFmtId="166" fontId="1" fillId="2" borderId="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165" fontId="1" fillId="0" borderId="7" applyAlignment="1" pivotButton="0" quotePrefix="0" xfId="0">
      <alignment vertical="center"/>
    </xf>
    <xf numFmtId="166" fontId="1" fillId="2" borderId="17" applyAlignment="1" pivotButton="0" quotePrefix="0" xfId="0">
      <alignment horizontal="center"/>
    </xf>
    <xf numFmtId="166" fontId="1" fillId="2" borderId="36" applyAlignment="1" pivotButton="0" quotePrefix="0" xfId="0">
      <alignment horizontal="center"/>
    </xf>
    <xf numFmtId="0" fontId="7" fillId="0" borderId="53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/>
    </xf>
    <xf numFmtId="173" fontId="1" fillId="0" borderId="0" applyAlignment="1" pivotButton="0" quotePrefix="0" xfId="0">
      <alignment horizontal="center"/>
    </xf>
    <xf numFmtId="0" fontId="20" fillId="0" borderId="18" applyAlignment="1" pivotButton="0" quotePrefix="0" xfId="0">
      <alignment horizontal="left"/>
    </xf>
    <xf numFmtId="0" fontId="20" fillId="0" borderId="18" applyAlignment="1" pivotButton="0" quotePrefix="0" xfId="0">
      <alignment horizontal="center"/>
    </xf>
    <xf numFmtId="0" fontId="21" fillId="0" borderId="45" applyAlignment="1" pivotButton="0" quotePrefix="0" xfId="0">
      <alignment horizontal="left"/>
    </xf>
    <xf numFmtId="0" fontId="21" fillId="0" borderId="45" applyAlignment="1" pivotButton="0" quotePrefix="0" xfId="0">
      <alignment horizontal="left"/>
    </xf>
    <xf numFmtId="0" fontId="21" fillId="0" borderId="2" applyAlignment="1" pivotButton="0" quotePrefix="0" xfId="0">
      <alignment horizontal="left"/>
    </xf>
    <xf numFmtId="0" fontId="21" fillId="0" borderId="2" applyAlignment="1" pivotButton="0" quotePrefix="0" xfId="0">
      <alignment horizontal="center"/>
    </xf>
    <xf numFmtId="0" fontId="21" fillId="0" borderId="18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1" fillId="0" borderId="26" applyAlignment="1" pivotButton="0" quotePrefix="0" xfId="0">
      <alignment horizontal="center"/>
    </xf>
    <xf numFmtId="0" fontId="15" fillId="5" borderId="44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/>
    </xf>
    <xf numFmtId="165" fontId="1" fillId="0" borderId="35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" fillId="0" borderId="26" applyAlignment="1" pivotButton="0" quotePrefix="0" xfId="0">
      <alignment horizontal="center"/>
    </xf>
    <xf numFmtId="165" fontId="1" fillId="0" borderId="6" applyAlignment="1" pivotButton="0" quotePrefix="0" xfId="0">
      <alignment vertical="center"/>
    </xf>
    <xf numFmtId="0" fontId="15" fillId="5" borderId="4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15" fillId="8" borderId="2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pivotButton="0" quotePrefix="0" xfId="0"/>
    <xf numFmtId="0" fontId="0" fillId="4" borderId="0" pivotButton="0" quotePrefix="0" xfId="0"/>
    <xf numFmtId="0" fontId="0" fillId="4" borderId="56" pivotButton="0" quotePrefix="0" xfId="0"/>
    <xf numFmtId="0" fontId="9" fillId="0" borderId="0" pivotButton="0" quotePrefix="0" xfId="0"/>
    <xf numFmtId="0" fontId="28" fillId="0" borderId="0" applyAlignment="1" pivotButton="0" quotePrefix="0" xfId="0">
      <alignment horizontal="center" wrapText="1"/>
    </xf>
    <xf numFmtId="166" fontId="29" fillId="0" borderId="0" applyAlignment="1" pivotButton="0" quotePrefix="0" xfId="0">
      <alignment horizontal="center"/>
    </xf>
    <xf numFmtId="174" fontId="29" fillId="0" borderId="0" applyAlignment="1" pivotButton="0" quotePrefix="0" xfId="0">
      <alignment horizontal="center"/>
    </xf>
    <xf numFmtId="0" fontId="24" fillId="0" borderId="61" applyAlignment="1" pivotButton="0" quotePrefix="0" xfId="0">
      <alignment horizontal="center" vertical="center"/>
    </xf>
    <xf numFmtId="0" fontId="0" fillId="4" borderId="57" pivotButton="0" quotePrefix="0" xfId="0"/>
    <xf numFmtId="0" fontId="0" fillId="4" borderId="58" pivotButton="0" quotePrefix="0" xfId="0"/>
    <xf numFmtId="0" fontId="30" fillId="4" borderId="58" pivotButton="0" quotePrefix="0" xfId="0"/>
    <xf numFmtId="0" fontId="0" fillId="4" borderId="56" pivotButton="0" quotePrefix="0" xfId="0"/>
    <xf numFmtId="0" fontId="1" fillId="0" borderId="2" pivotButton="0" quotePrefix="0" xfId="0"/>
    <xf numFmtId="0" fontId="30" fillId="4" borderId="0" pivotButton="0" quotePrefix="0" xfId="0"/>
    <xf numFmtId="0" fontId="15" fillId="0" borderId="2" applyAlignment="1" pivotButton="0" quotePrefix="0" xfId="0">
      <alignment horizontal="center" vertical="center"/>
    </xf>
    <xf numFmtId="0" fontId="0" fillId="4" borderId="62" pivotButton="0" quotePrefix="0" xfId="0"/>
    <xf numFmtId="174" fontId="21" fillId="0" borderId="61" applyAlignment="1" pivotButton="0" quotePrefix="0" xfId="0">
      <alignment horizontal="center" vertical="center"/>
    </xf>
    <xf numFmtId="0" fontId="0" fillId="0" borderId="2" pivotButton="0" quotePrefix="0" xfId="0"/>
    <xf numFmtId="174" fontId="21" fillId="0" borderId="61" applyAlignment="1" pivotButton="0" quotePrefix="0" xfId="0">
      <alignment vertical="center"/>
    </xf>
    <xf numFmtId="0" fontId="15" fillId="0" borderId="2" applyAlignment="1" pivotButton="0" quotePrefix="0" xfId="0">
      <alignment vertical="center"/>
    </xf>
    <xf numFmtId="0" fontId="31" fillId="0" borderId="0" applyAlignment="1" pivotButton="0" quotePrefix="0" xfId="0">
      <alignment horizontal="right" vertical="top"/>
    </xf>
    <xf numFmtId="0" fontId="31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1" fontId="1" fillId="0" borderId="33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5" fontId="1" fillId="0" borderId="6" applyAlignment="1" pivotButton="0" quotePrefix="0" xfId="0">
      <alignment vertical="center"/>
    </xf>
    <xf numFmtId="0" fontId="15" fillId="5" borderId="44" applyAlignment="1" pivotButton="0" quotePrefix="0" xfId="0">
      <alignment horizontal="center" vertical="center" wrapText="1"/>
    </xf>
    <xf numFmtId="173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1" fillId="0" borderId="26" applyAlignment="1" pivotButton="0" quotePrefix="0" xfId="0">
      <alignment horizontal="center"/>
    </xf>
    <xf numFmtId="165" fontId="1" fillId="0" borderId="6" applyAlignment="1" pivotButton="0" quotePrefix="0" xfId="0">
      <alignment vertical="center"/>
    </xf>
    <xf numFmtId="0" fontId="15" fillId="5" borderId="44" applyAlignment="1" pivotButton="0" quotePrefix="0" xfId="0">
      <alignment horizontal="center" vertical="center" wrapText="1"/>
    </xf>
    <xf numFmtId="175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9" fontId="1" fillId="0" borderId="0" pivotButton="0" quotePrefix="0" xfId="0"/>
    <xf numFmtId="0" fontId="33" fillId="2" borderId="2" applyAlignment="1" pivotButton="0" quotePrefix="0" xfId="0">
      <alignment horizontal="center" vertical="center"/>
    </xf>
    <xf numFmtId="176" fontId="21" fillId="3" borderId="2" pivotButton="0" quotePrefix="0" xfId="0"/>
    <xf numFmtId="0" fontId="34" fillId="3" borderId="2" applyAlignment="1" pivotButton="0" quotePrefix="0" xfId="0">
      <alignment horizontal="center" vertical="center"/>
    </xf>
    <xf numFmtId="2" fontId="33" fillId="2" borderId="2" applyAlignment="1" pivotButton="0" quotePrefix="0" xfId="0">
      <alignment horizontal="center" vertical="center"/>
    </xf>
    <xf numFmtId="165" fontId="1" fillId="0" borderId="67" applyAlignment="1" pivotButton="0" quotePrefix="0" xfId="0">
      <alignment vertical="center"/>
    </xf>
    <xf numFmtId="0" fontId="34" fillId="3" borderId="6" applyAlignment="1" pivotButton="0" quotePrefix="0" xfId="0">
      <alignment horizontal="center" vertical="center"/>
    </xf>
    <xf numFmtId="165" fontId="1" fillId="0" borderId="42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25" fillId="7" borderId="2" applyAlignment="1" pivotButton="0" quotePrefix="0" xfId="0">
      <alignment horizontal="center"/>
    </xf>
    <xf numFmtId="0" fontId="27" fillId="3" borderId="2" applyAlignment="1" pivotButton="0" quotePrefix="0" xfId="0">
      <alignment horizontal="center"/>
    </xf>
    <xf numFmtId="0" fontId="1" fillId="0" borderId="7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5" fillId="0" borderId="7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wrapText="1"/>
    </xf>
    <xf numFmtId="0" fontId="1" fillId="0" borderId="30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166" fontId="20" fillId="0" borderId="7" applyAlignment="1" pivotButton="0" quotePrefix="0" xfId="0">
      <alignment horizontal="center" vertical="center"/>
    </xf>
    <xf numFmtId="166" fontId="20" fillId="0" borderId="30" applyAlignment="1" pivotButton="0" quotePrefix="0" xfId="0">
      <alignment horizontal="center" vertical="center"/>
    </xf>
    <xf numFmtId="166" fontId="20" fillId="0" borderId="6" applyAlignment="1" pivotButton="0" quotePrefix="0" xfId="0">
      <alignment horizontal="center" vertical="center"/>
    </xf>
    <xf numFmtId="174" fontId="20" fillId="0" borderId="7" applyAlignment="1" pivotButton="0" quotePrefix="0" xfId="0">
      <alignment horizontal="center" vertical="center"/>
    </xf>
    <xf numFmtId="174" fontId="20" fillId="0" borderId="30" applyAlignment="1" pivotButton="0" quotePrefix="0" xfId="0">
      <alignment horizontal="center" vertical="center"/>
    </xf>
    <xf numFmtId="174" fontId="20" fillId="0" borderId="6" applyAlignment="1" pivotButton="0" quotePrefix="0" xfId="0">
      <alignment horizontal="center" vertical="center"/>
    </xf>
    <xf numFmtId="0" fontId="27" fillId="3" borderId="57" applyAlignment="1" pivotButton="0" quotePrefix="0" xfId="0">
      <alignment horizontal="center"/>
    </xf>
    <xf numFmtId="0" fontId="27" fillId="3" borderId="58" applyAlignment="1" pivotButton="0" quotePrefix="0" xfId="0">
      <alignment horizontal="center"/>
    </xf>
    <xf numFmtId="0" fontId="27" fillId="3" borderId="56" applyAlignment="1" pivotButton="0" quotePrefix="0" xfId="0">
      <alignment horizontal="center"/>
    </xf>
    <xf numFmtId="0" fontId="15" fillId="8" borderId="57" applyAlignment="1" pivotButton="0" quotePrefix="0" xfId="0">
      <alignment horizontal="center" vertical="center"/>
    </xf>
    <xf numFmtId="0" fontId="15" fillId="8" borderId="56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5" fillId="0" borderId="2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2" fontId="20" fillId="0" borderId="59" applyAlignment="1" pivotButton="0" quotePrefix="0" xfId="0">
      <alignment horizontal="left"/>
    </xf>
    <xf numFmtId="2" fontId="20" fillId="0" borderId="60" applyAlignment="1" pivotButton="0" quotePrefix="0" xfId="0">
      <alignment horizontal="left"/>
    </xf>
    <xf numFmtId="2" fontId="20" fillId="0" borderId="32" applyAlignment="1" pivotButton="0" quotePrefix="0" xfId="0">
      <alignment horizontal="left"/>
    </xf>
    <xf numFmtId="2" fontId="20" fillId="0" borderId="62" applyAlignment="1" pivotButton="0" quotePrefix="0" xfId="0">
      <alignment horizontal="left"/>
    </xf>
    <xf numFmtId="0" fontId="7" fillId="0" borderId="2" applyAlignment="1" pivotButton="0" quotePrefix="0" xfId="0">
      <alignment horizontal="center" vertical="center" wrapText="1"/>
    </xf>
    <xf numFmtId="2" fontId="20" fillId="0" borderId="57" applyAlignment="1" pivotButton="0" quotePrefix="0" xfId="0">
      <alignment horizontal="left"/>
    </xf>
    <xf numFmtId="2" fontId="20" fillId="0" borderId="56" applyAlignment="1" pivotButton="0" quotePrefix="0" xfId="0">
      <alignment horizontal="left"/>
    </xf>
    <xf numFmtId="0" fontId="1" fillId="0" borderId="57" applyAlignment="1" pivotButton="0" quotePrefix="0" xfId="0">
      <alignment horizontal="left" wrapText="1"/>
    </xf>
    <xf numFmtId="0" fontId="1" fillId="0" borderId="56" applyAlignment="1" pivotButton="0" quotePrefix="0" xfId="0">
      <alignment horizontal="left" wrapText="1"/>
    </xf>
    <xf numFmtId="0" fontId="1" fillId="0" borderId="30" applyAlignment="1" pivotButton="0" quotePrefix="0" xfId="0">
      <alignment horizontal="left"/>
    </xf>
    <xf numFmtId="0" fontId="1" fillId="0" borderId="59" applyAlignment="1" pivotButton="0" quotePrefix="0" xfId="0">
      <alignment horizontal="left"/>
    </xf>
    <xf numFmtId="0" fontId="1" fillId="0" borderId="60" applyAlignment="1" pivotButton="0" quotePrefix="0" xfId="0">
      <alignment horizontal="left"/>
    </xf>
    <xf numFmtId="0" fontId="1" fillId="0" borderId="61" applyAlignment="1" pivotButton="0" quotePrefix="0" xfId="0">
      <alignment horizontal="left"/>
    </xf>
    <xf numFmtId="0" fontId="1" fillId="0" borderId="63" applyAlignment="1" pivotButton="0" quotePrefix="0" xfId="0">
      <alignment horizontal="left"/>
    </xf>
    <xf numFmtId="0" fontId="1" fillId="0" borderId="32" applyAlignment="1" pivotButton="0" quotePrefix="0" xfId="0">
      <alignment horizontal="left"/>
    </xf>
    <xf numFmtId="0" fontId="1" fillId="0" borderId="62" applyAlignment="1" pivotButton="0" quotePrefix="0" xfId="0">
      <alignment horizontal="left"/>
    </xf>
    <xf numFmtId="0" fontId="1" fillId="0" borderId="57" applyAlignment="1" pivotButton="0" quotePrefix="0" xfId="0">
      <alignment horizontal="left"/>
    </xf>
    <xf numFmtId="0" fontId="1" fillId="0" borderId="56" applyAlignment="1" pivotButton="0" quotePrefix="0" xfId="0">
      <alignment horizontal="left"/>
    </xf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1" fontId="1" fillId="0" borderId="33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5" fillId="4" borderId="3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1" fillId="0" borderId="7" applyAlignment="1" pivotButton="0" quotePrefix="0" xfId="0">
      <alignment horizontal="left" vertical="center"/>
    </xf>
    <xf numFmtId="165" fontId="1" fillId="0" borderId="6" applyAlignment="1" pivotButton="0" quotePrefix="0" xfId="0">
      <alignment horizontal="left" vertical="center"/>
    </xf>
    <xf numFmtId="165" fontId="1" fillId="0" borderId="30" applyAlignment="1" pivotButton="0" quotePrefix="0" xfId="0">
      <alignment horizontal="left" vertical="center"/>
    </xf>
    <xf numFmtId="165" fontId="1" fillId="0" borderId="50" applyAlignment="1" pivotButton="0" quotePrefix="0" xfId="0">
      <alignment horizontal="left" vertical="center"/>
    </xf>
    <xf numFmtId="165" fontId="1" fillId="0" borderId="37" applyAlignment="1" pivotButton="0" quotePrefix="0" xfId="0">
      <alignment horizontal="center" vertical="center"/>
    </xf>
    <xf numFmtId="165" fontId="1" fillId="0" borderId="54" applyAlignment="1" pivotButton="0" quotePrefix="0" xfId="0">
      <alignment horizontal="center" vertical="center"/>
    </xf>
    <xf numFmtId="165" fontId="1" fillId="0" borderId="38" applyAlignment="1" pivotButton="0" quotePrefix="0" xfId="0">
      <alignment horizontal="center" vertical="center"/>
    </xf>
    <xf numFmtId="165" fontId="1" fillId="0" borderId="39" applyAlignment="1" pivotButton="0" quotePrefix="0" xfId="0">
      <alignment horizontal="center" vertical="center"/>
    </xf>
    <xf numFmtId="165" fontId="1" fillId="0" borderId="35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7" fillId="4" borderId="12" applyAlignment="1" pivotButton="0" quotePrefix="1" xfId="0">
      <alignment horizontal="left"/>
    </xf>
    <xf numFmtId="0" fontId="7" fillId="4" borderId="13" applyAlignment="1" pivotButton="0" quotePrefix="1" xfId="0">
      <alignment horizontal="left"/>
    </xf>
    <xf numFmtId="0" fontId="7" fillId="4" borderId="14" applyAlignment="1" pivotButton="0" quotePrefix="1" xfId="0">
      <alignment horizontal="left"/>
    </xf>
    <xf numFmtId="0" fontId="1" fillId="0" borderId="47" applyAlignment="1" pivotButton="0" quotePrefix="1" xfId="0">
      <alignment horizontal="center"/>
    </xf>
    <xf numFmtId="0" fontId="1" fillId="0" borderId="24" applyAlignment="1" pivotButton="0" quotePrefix="1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" fontId="1" fillId="0" borderId="33" applyAlignment="1" pivotButton="0" quotePrefix="0" xfId="0">
      <alignment horizontal="center" vertical="center"/>
    </xf>
    <xf numFmtId="177" fontId="7" fillId="4" borderId="12" applyAlignment="1" pivotButton="0" quotePrefix="1" xfId="0">
      <alignment horizontal="left"/>
    </xf>
    <xf numFmtId="177" fontId="0" fillId="4" borderId="13" applyAlignment="1" pivotButton="0" quotePrefix="0" xfId="0">
      <alignment horizontal="left"/>
    </xf>
    <xf numFmtId="177" fontId="0" fillId="0" borderId="14" applyAlignment="1" pivotButton="0" quotePrefix="0" xfId="0">
      <alignment horizontal="left"/>
    </xf>
    <xf numFmtId="0" fontId="7" fillId="4" borderId="12" applyAlignment="1" pivotButton="0" quotePrefix="1" xfId="0">
      <alignment horizontal="left"/>
    </xf>
    <xf numFmtId="0" fontId="0" fillId="4" borderId="13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15" fillId="0" borderId="3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5" fillId="4" borderId="3" applyAlignment="1" pivotButton="0" quotePrefix="0" xfId="0">
      <alignment horizontal="center"/>
    </xf>
    <xf numFmtId="0" fontId="5" fillId="4" borderId="5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165" fontId="1" fillId="0" borderId="2" applyAlignment="1" pivotButton="0" quotePrefix="0" xfId="0">
      <alignment horizontal="center" vertical="center"/>
    </xf>
    <xf numFmtId="0" fontId="32" fillId="3" borderId="3" applyAlignment="1" pivotButton="0" quotePrefix="0" xfId="0">
      <alignment horizontal="center" vertical="center" wrapText="1"/>
    </xf>
    <xf numFmtId="0" fontId="32" fillId="3" borderId="4" applyAlignment="1" pivotButton="0" quotePrefix="0" xfId="0">
      <alignment horizontal="center" vertical="center" wrapText="1"/>
    </xf>
    <xf numFmtId="165" fontId="1" fillId="0" borderId="7" applyAlignment="1" pivotButton="0" quotePrefix="0" xfId="0">
      <alignment horizontal="center" vertical="center"/>
    </xf>
    <xf numFmtId="165" fontId="1" fillId="0" borderId="6" applyAlignment="1" pivotButton="0" quotePrefix="0" xfId="0">
      <alignment horizontal="center" vertical="center"/>
    </xf>
    <xf numFmtId="165" fontId="1" fillId="0" borderId="30" applyAlignment="1" pivotButton="0" quotePrefix="0" xfId="0">
      <alignment horizontal="center" vertical="center"/>
    </xf>
    <xf numFmtId="0" fontId="1" fillId="4" borderId="12" applyAlignment="1" pivotButton="0" quotePrefix="1" xfId="0">
      <alignment horizontal="left"/>
    </xf>
    <xf numFmtId="0" fontId="1" fillId="4" borderId="13" applyAlignment="1" pivotButton="0" quotePrefix="1" xfId="0">
      <alignment horizontal="left"/>
    </xf>
    <xf numFmtId="0" fontId="1" fillId="4" borderId="14" applyAlignment="1" pivotButton="0" quotePrefix="1" xfId="0">
      <alignment horizontal="left"/>
    </xf>
    <xf numFmtId="2" fontId="1" fillId="0" borderId="68" applyAlignment="1" pivotButton="0" quotePrefix="0" xfId="0">
      <alignment horizontal="center"/>
    </xf>
    <xf numFmtId="2" fontId="1" fillId="0" borderId="64" applyAlignment="1" pivotButton="0" quotePrefix="0" xfId="0">
      <alignment horizontal="center"/>
    </xf>
    <xf numFmtId="2" fontId="1" fillId="0" borderId="56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  <xf numFmtId="176" fontId="21" fillId="3" borderId="2" applyAlignment="1" pivotButton="0" quotePrefix="0" xfId="0">
      <alignment horizontal="center"/>
    </xf>
    <xf numFmtId="2" fontId="1" fillId="0" borderId="22" applyAlignment="1" pivotButton="0" quotePrefix="0" xfId="0">
      <alignment horizontal="center"/>
    </xf>
    <xf numFmtId="2" fontId="1" fillId="0" borderId="23" applyAlignment="1" pivotButton="0" quotePrefix="0" xfId="0">
      <alignment horizontal="center"/>
    </xf>
    <xf numFmtId="2" fontId="1" fillId="0" borderId="25" applyAlignment="1" pivotButton="0" quotePrefix="0" xfId="0">
      <alignment horizontal="center"/>
    </xf>
    <xf numFmtId="2" fontId="1" fillId="0" borderId="26" applyAlignment="1" pivotButton="0" quotePrefix="0" xfId="0">
      <alignment horizontal="center"/>
    </xf>
    <xf numFmtId="2" fontId="1" fillId="0" borderId="65" applyAlignment="1" pivotButton="0" quotePrefix="0" xfId="0">
      <alignment horizontal="center"/>
    </xf>
    <xf numFmtId="2" fontId="1" fillId="0" borderId="66" applyAlignment="1" pivotButton="0" quotePrefix="0" xfId="0">
      <alignment horizontal="center"/>
    </xf>
    <xf numFmtId="176" fontId="21" fillId="3" borderId="58" applyAlignment="1" pivotButton="0" quotePrefix="0" xfId="0">
      <alignment horizontal="center"/>
    </xf>
    <xf numFmtId="176" fontId="21" fillId="3" borderId="56" applyAlignment="1" pivotButton="0" quotePrefix="0" xfId="0">
      <alignment horizontal="center"/>
    </xf>
    <xf numFmtId="0" fontId="1" fillId="0" borderId="25" applyAlignment="1" pivotButton="0" quotePrefix="1" xfId="0">
      <alignment horizontal="center"/>
    </xf>
    <xf numFmtId="0" fontId="1" fillId="0" borderId="26" applyAlignment="1" pivotButton="0" quotePrefix="1" xfId="0">
      <alignment horizontal="center"/>
    </xf>
    <xf numFmtId="165" fontId="1" fillId="0" borderId="7" applyAlignment="1" pivotButton="0" quotePrefix="0" xfId="0">
      <alignment vertical="center"/>
    </xf>
    <xf numFmtId="165" fontId="1" fillId="0" borderId="50" applyAlignment="1" pivotButton="0" quotePrefix="0" xfId="0">
      <alignment vertical="center"/>
    </xf>
    <xf numFmtId="0" fontId="1" fillId="0" borderId="26" applyAlignment="1" pivotButton="0" quotePrefix="0" xfId="0">
      <alignment horizontal="center"/>
    </xf>
    <xf numFmtId="165" fontId="1" fillId="0" borderId="55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/>
    </xf>
    <xf numFmtId="0" fontId="6" fillId="4" borderId="5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165" fontId="1" fillId="0" borderId="6" applyAlignment="1" pivotButton="0" quotePrefix="0" xfId="0">
      <alignment vertical="center"/>
    </xf>
    <xf numFmtId="165" fontId="1" fillId="0" borderId="30" applyAlignment="1" pivotButton="0" quotePrefix="0" xfId="0">
      <alignment vertical="center"/>
    </xf>
    <xf numFmtId="0" fontId="15" fillId="5" borderId="44" applyAlignment="1" pivotButton="0" quotePrefix="0" xfId="0">
      <alignment horizontal="center" vertical="center" wrapText="1"/>
    </xf>
    <xf numFmtId="0" fontId="15" fillId="5" borderId="48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6" fillId="11" borderId="0" applyAlignment="1" pivotButton="0" quotePrefix="0" xfId="0">
      <alignment horizontal="left" vertical="center" wrapText="1"/>
    </xf>
    <xf numFmtId="0" fontId="37" fillId="12" borderId="77" applyAlignment="1" pivotButton="0" quotePrefix="0" xfId="0">
      <alignment horizontal="left" vertical="center" wrapText="1"/>
    </xf>
    <xf numFmtId="166" fontId="36" fillId="13" borderId="77" applyAlignment="1" pivotButton="0" quotePrefix="0" xfId="0">
      <alignment horizontal="center" vertical="center" wrapText="1"/>
    </xf>
    <xf numFmtId="1" fontId="36" fillId="13" borderId="77" applyAlignment="1" pivotButton="0" quotePrefix="0" xfId="0">
      <alignment horizontal="center" vertical="center" wrapText="1"/>
    </xf>
    <xf numFmtId="0" fontId="36" fillId="13" borderId="77" applyAlignment="1" pivotButton="0" quotePrefix="0" xfId="0">
      <alignment horizontal="center" vertical="center" wrapText="1"/>
    </xf>
    <xf numFmtId="0" fontId="36" fillId="14" borderId="77" applyAlignment="1" pivotButton="0" quotePrefix="0" xfId="0">
      <alignment horizontal="left" vertical="center" wrapText="1"/>
    </xf>
    <xf numFmtId="1" fontId="36" fillId="14" borderId="77" applyAlignment="1" pivotButton="0" quotePrefix="0" xfId="0">
      <alignment horizontal="center" vertical="center" wrapText="1"/>
    </xf>
    <xf numFmtId="166" fontId="36" fillId="14" borderId="77" applyAlignment="1" pivotButton="0" quotePrefix="0" xfId="0">
      <alignment horizontal="center" vertical="center" wrapText="1"/>
    </xf>
    <xf numFmtId="0" fontId="37" fillId="12" borderId="77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38" fillId="0" borderId="77" applyAlignment="1" pivotButton="0" quotePrefix="0" xfId="0">
      <alignment horizontal="left" vertical="center" wrapText="1"/>
    </xf>
    <xf numFmtId="0" fontId="38" fillId="0" borderId="77" applyAlignment="1" pivotButton="0" quotePrefix="0" xfId="0">
      <alignment horizontal="center" vertical="center" wrapText="1"/>
    </xf>
    <xf numFmtId="166" fontId="36" fillId="15" borderId="77" applyAlignment="1" pivotButton="0" quotePrefix="0" xfId="0">
      <alignment horizontal="center" vertical="center" wrapText="1"/>
    </xf>
    <xf numFmtId="1" fontId="36" fillId="15" borderId="77" applyAlignment="1" pivotButton="0" quotePrefix="0" xfId="0">
      <alignment horizontal="center" vertical="center" wrapText="1"/>
    </xf>
    <xf numFmtId="0" fontId="39" fillId="0" borderId="77" applyAlignment="1" pivotButton="0" quotePrefix="0" xfId="0">
      <alignment horizontal="left" vertical="center" wrapText="1"/>
    </xf>
    <xf numFmtId="0" fontId="37" fillId="16" borderId="0" applyAlignment="1" pivotButton="0" quotePrefix="0" xfId="0">
      <alignment horizontal="left" vertical="center" wrapText="1"/>
    </xf>
    <xf numFmtId="0" fontId="0" fillId="16" borderId="0" pivotButton="0" quotePrefix="0" xfId="0"/>
    <xf numFmtId="0" fontId="40" fillId="17" borderId="77" applyAlignment="1" pivotButton="0" quotePrefix="0" xfId="0">
      <alignment horizontal="left" vertical="center" wrapText="1"/>
    </xf>
    <xf numFmtId="166" fontId="36" fillId="18" borderId="77" applyAlignment="1" pivotButton="0" quotePrefix="0" xfId="0">
      <alignment horizontal="center" vertical="center" wrapText="1"/>
    </xf>
    <xf numFmtId="1" fontId="36" fillId="18" borderId="77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left" vertical="center" wrapText="1"/>
    </xf>
    <xf numFmtId="0" fontId="0" fillId="0" borderId="80" pivotButton="0" quotePrefix="0" xfId="0"/>
    <xf numFmtId="0" fontId="0" fillId="0" borderId="81" pivotButton="0" quotePrefix="0" xfId="0"/>
    <xf numFmtId="0" fontId="37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0" borderId="77" pivotButton="0" quotePrefix="0" xfId="0"/>
    <xf numFmtId="174" fontId="36" fillId="13" borderId="77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60" pivotButton="0" quotePrefix="0" xfId="0"/>
    <xf numFmtId="0" fontId="0" fillId="0" borderId="32" pivotButton="0" quotePrefix="0" xfId="0"/>
    <xf numFmtId="0" fontId="0" fillId="0" borderId="70" pivotButton="0" quotePrefix="0" xfId="0"/>
    <xf numFmtId="0" fontId="0" fillId="0" borderId="62" pivotButton="0" quotePrefix="0" xfId="0"/>
    <xf numFmtId="0" fontId="0" fillId="0" borderId="58" pivotButton="0" quotePrefix="0" xfId="0"/>
    <xf numFmtId="0" fontId="0" fillId="0" borderId="56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wrapText="1"/>
    </xf>
    <xf numFmtId="166" fontId="20" fillId="0" borderId="2" applyAlignment="1" pivotButton="0" quotePrefix="0" xfId="0">
      <alignment horizontal="center" vertical="center"/>
    </xf>
    <xf numFmtId="174" fontId="20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174" fontId="29" fillId="0" borderId="0" applyAlignment="1" pivotButton="0" quotePrefix="0" xfId="0">
      <alignment horizontal="center"/>
    </xf>
    <xf numFmtId="2" fontId="20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wrapText="1"/>
    </xf>
    <xf numFmtId="174" fontId="21" fillId="0" borderId="6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3" pivotButton="0" quotePrefix="0" xfId="0"/>
    <xf numFmtId="174" fontId="21" fillId="0" borderId="61" applyAlignment="1" pivotButton="0" quotePrefix="0" xfId="0">
      <alignment vertical="center"/>
    </xf>
    <xf numFmtId="0" fontId="5" fillId="4" borderId="3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5" fillId="0" borderId="31" applyAlignment="1" pivotButton="0" quotePrefix="0" xfId="0">
      <alignment horizontal="center" vertical="center"/>
    </xf>
    <xf numFmtId="0" fontId="7" fillId="4" borderId="53" applyAlignment="1" pivotButton="0" quotePrefix="1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177" fontId="7" fillId="4" borderId="53" applyAlignment="1" pivotButton="0" quotePrefix="1" xfId="0">
      <alignment horizontal="left"/>
    </xf>
    <xf numFmtId="0" fontId="2" fillId="4" borderId="31" applyAlignment="1" pivotButton="0" quotePrefix="0" xfId="0">
      <alignment horizontal="center" vertical="center"/>
    </xf>
    <xf numFmtId="165" fontId="1" fillId="0" borderId="2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33" pivotButton="0" quotePrefix="0" xfId="0"/>
    <xf numFmtId="0" fontId="0" fillId="0" borderId="38" pivotButton="0" quotePrefix="0" xfId="0"/>
    <xf numFmtId="165" fontId="1" fillId="0" borderId="76" applyAlignment="1" pivotButton="0" quotePrefix="0" xfId="0">
      <alignment horizontal="left" vertical="center"/>
    </xf>
    <xf numFmtId="0" fontId="0" fillId="0" borderId="50" pivotButton="0" quotePrefix="0" xfId="0"/>
    <xf numFmtId="0" fontId="0" fillId="0" borderId="54" pivotButton="0" quotePrefix="0" xfId="0"/>
    <xf numFmtId="169" fontId="1" fillId="2" borderId="2" applyAlignment="1" pivotButton="0" quotePrefix="0" xfId="0">
      <alignment horizontal="center"/>
    </xf>
    <xf numFmtId="168" fontId="1" fillId="0" borderId="2" applyAlignment="1" pivotButton="0" quotePrefix="0" xfId="0">
      <alignment horizontal="center"/>
    </xf>
    <xf numFmtId="169" fontId="1" fillId="0" borderId="36" applyAlignment="1" pivotButton="0" quotePrefix="0" xfId="0">
      <alignment horizontal="center"/>
    </xf>
    <xf numFmtId="169" fontId="1" fillId="2" borderId="36" applyAlignment="1" pivotButton="0" quotePrefix="0" xfId="0">
      <alignment horizontal="center"/>
    </xf>
    <xf numFmtId="168" fontId="1" fillId="2" borderId="36" applyAlignment="1" pivotButton="0" quotePrefix="0" xfId="0">
      <alignment horizontal="center"/>
    </xf>
    <xf numFmtId="168" fontId="1" fillId="2" borderId="18" applyAlignment="1" pivotButton="0" quotePrefix="0" xfId="0">
      <alignment horizontal="center"/>
    </xf>
    <xf numFmtId="173" fontId="1" fillId="0" borderId="0" applyAlignment="1" pivotButton="0" quotePrefix="0" xfId="0">
      <alignment horizontal="center"/>
    </xf>
    <xf numFmtId="172" fontId="1" fillId="0" borderId="0" applyAlignment="1" pivotButton="0" quotePrefix="0" xfId="0">
      <alignment horizontal="center"/>
    </xf>
    <xf numFmtId="0" fontId="1" fillId="0" borderId="17" applyAlignment="1" pivotButton="0" quotePrefix="1" xfId="0">
      <alignment horizontal="center"/>
    </xf>
    <xf numFmtId="0" fontId="0" fillId="0" borderId="24" pivotButton="0" quotePrefix="0" xfId="0"/>
    <xf numFmtId="0" fontId="5" fillId="4" borderId="31" applyAlignment="1" pivotButton="0" quotePrefix="0" xfId="0">
      <alignment horizontal="center"/>
    </xf>
    <xf numFmtId="173" fontId="1" fillId="0" borderId="0" applyAlignment="1" pivotButton="0" quotePrefix="0" xfId="0">
      <alignment horizontal="right"/>
    </xf>
    <xf numFmtId="168" fontId="1" fillId="0" borderId="18" applyAlignment="1" pivotButton="0" quotePrefix="0" xfId="0">
      <alignment horizontal="center"/>
    </xf>
    <xf numFmtId="0" fontId="1" fillId="4" borderId="53" applyAlignment="1" pivotButton="0" quotePrefix="1" xfId="0">
      <alignment horizontal="left"/>
    </xf>
    <xf numFmtId="0" fontId="32" fillId="3" borderId="31" applyAlignment="1" pivotButton="0" quotePrefix="0" xfId="0">
      <alignment horizontal="center" vertical="center" wrapText="1"/>
    </xf>
    <xf numFmtId="175" fontId="1" fillId="0" borderId="6" applyAlignment="1" pivotButton="0" quotePrefix="0" xfId="0">
      <alignment horizontal="center"/>
    </xf>
    <xf numFmtId="0" fontId="0" fillId="0" borderId="64" pivotButton="0" quotePrefix="0" xfId="0"/>
    <xf numFmtId="176" fontId="21" fillId="3" borderId="2" applyAlignment="1" pivotButton="0" quotePrefix="0" xfId="0">
      <alignment horizontal="center"/>
    </xf>
    <xf numFmtId="2" fontId="1" fillId="0" borderId="11" applyAlignment="1" pivotButton="0" quotePrefix="0" xfId="0">
      <alignment horizontal="center"/>
    </xf>
    <xf numFmtId="0" fontId="0" fillId="0" borderId="23" pivotButton="0" quotePrefix="0" xfId="0"/>
    <xf numFmtId="2" fontId="1" fillId="0" borderId="18" applyAlignment="1" pivotButton="0" quotePrefix="0" xfId="0">
      <alignment horizontal="center"/>
    </xf>
    <xf numFmtId="0" fontId="0" fillId="0" borderId="26" pivotButton="0" quotePrefix="0" xfId="0"/>
    <xf numFmtId="2" fontId="1" fillId="0" borderId="29" applyAlignment="1" pivotButton="0" quotePrefix="0" xfId="0">
      <alignment horizontal="center"/>
    </xf>
    <xf numFmtId="0" fontId="0" fillId="0" borderId="66" pivotButton="0" quotePrefix="0" xfId="0"/>
    <xf numFmtId="176" fontId="21" fillId="3" borderId="56" applyAlignment="1" pivotButton="0" quotePrefix="0" xfId="0">
      <alignment horizontal="center"/>
    </xf>
    <xf numFmtId="176" fontId="21" fillId="3" borderId="2" pivotButton="0" quotePrefix="0" xfId="0"/>
    <xf numFmtId="0" fontId="1" fillId="0" borderId="18" applyAlignment="1" pivotButton="0" quotePrefix="1" xfId="0">
      <alignment horizontal="center"/>
    </xf>
    <xf numFmtId="165" fontId="1" fillId="0" borderId="76" applyAlignment="1" pivotButton="0" quotePrefix="0" xfId="0">
      <alignment vertical="center"/>
    </xf>
    <xf numFmtId="0" fontId="6" fillId="4" borderId="31" applyAlignment="1" pivotButton="0" quotePrefix="0" xfId="0">
      <alignment horizontal="center"/>
    </xf>
    <xf numFmtId="169" fontId="1" fillId="0" borderId="18" applyAlignment="1" pivotButton="0" quotePrefix="0" xfId="0">
      <alignment horizontal="center"/>
    </xf>
    <xf numFmtId="169" fontId="1" fillId="2" borderId="18" applyAlignment="1" pivotButton="0" quotePrefix="0" xfId="0">
      <alignment horizontal="center"/>
    </xf>
    <xf numFmtId="165" fontId="1" fillId="0" borderId="2" applyAlignment="1" pivotButton="0" quotePrefix="0" xfId="0">
      <alignment vertical="center"/>
    </xf>
    <xf numFmtId="0" fontId="0" fillId="0" borderId="48" pivotButton="0" quotePrefix="0" xfId="0"/>
    <xf numFmtId="170" fontId="1" fillId="0" borderId="18" applyAlignment="1" pivotButton="0" quotePrefix="0" xfId="0">
      <alignment horizontal="center"/>
    </xf>
    <xf numFmtId="0" fontId="6" fillId="4" borderId="31" applyAlignment="1" pivotButton="0" quotePrefix="0" xfId="0">
      <alignment horizontal="center" vertical="center"/>
    </xf>
    <xf numFmtId="171" fontId="1" fillId="2" borderId="45" applyAlignment="1" pivotButton="0" quotePrefix="0" xfId="0">
      <alignment horizontal="center"/>
    </xf>
    <xf numFmtId="171" fontId="1" fillId="2" borderId="18" applyAlignment="1" pivotButton="0" quotePrefix="0" xfId="0">
      <alignment horizontal="center"/>
    </xf>
    <xf numFmtId="171" fontId="1" fillId="2" borderId="1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omments/comment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1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  <comment ref="D129" authorId="0" shapeId="0">
      <text>
        <t>เลือกยางเฟรมกันน้ำ</t>
      </text>
    </comment>
  </commentList>
</comments>
</file>

<file path=xl/comments/comment2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29.xml><?xml version="1.0" encoding="utf-8"?>
<comments xmlns="http://schemas.openxmlformats.org/spreadsheetml/2006/main">
  <authors>
    <author>เฉลิมเกียรติ ศรีณรงค์</author>
  </authors>
  <commentList>
    <comment ref="D127" authorId="0" shapeId="0">
      <text>
        <t>เลือกขนาดกระจก</t>
      </text>
    </comment>
  </commentList>
</comments>
</file>

<file path=xl/comments/comment3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3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comments/comment4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t>เลือกสีผิวงาน</t>
      </text>
    </comment>
    <comment ref="D127" authorId="0" shapeId="0">
      <text>
        <t>เลือกขนาดกระจก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47.xml" Id="comments"/><Relationship Type="http://schemas.openxmlformats.org/officeDocument/2006/relationships/vmlDrawing" Target="/xl/drawings/commentsDrawing4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4" customWidth="1" style="344" min="1" max="1"/>
    <col width="34" customWidth="1" style="344" min="2" max="2"/>
    <col width="14" customWidth="1" style="344" min="3" max="3"/>
    <col width="13" customWidth="1" style="344" min="4" max="4"/>
    <col width="9" customWidth="1" style="344" min="5" max="5"/>
    <col width="26" customWidth="1" style="344" min="6" max="6"/>
    <col width="11" customWidth="1" style="344" min="7" max="7"/>
  </cols>
  <sheetData>
    <row r="1">
      <c r="A1" s="584" t="inlineStr">
        <is>
          <t>JR ALUMINIUM &amp; GLASS  —  เฟี้ยม SMS (240 Bi-Fold) · หน้าคำนวณ  ·  ซม.</t>
        </is>
      </c>
    </row>
    <row r="2"/>
    <row r="3">
      <c r="B3" s="586" t="inlineStr">
        <is>
          <t>① กรอก + ดรอปดาว (เหลือง)</t>
        </is>
      </c>
    </row>
    <row r="4">
      <c r="B4" s="587" t="inlineStr">
        <is>
          <t>กว้างช่องปูน</t>
        </is>
      </c>
      <c r="C4" s="588" t="n">
        <v>315.8</v>
      </c>
    </row>
    <row r="5">
      <c r="B5" s="587" t="inlineStr">
        <is>
          <t>สูงช่องปูน</t>
        </is>
      </c>
      <c r="C5" s="589" t="n">
        <v>240</v>
      </c>
    </row>
    <row r="6">
      <c r="B6" s="587" t="inlineStr">
        <is>
          <t>จำนวนบาน</t>
        </is>
      </c>
      <c r="C6" s="589" t="n">
        <v>5</v>
      </c>
    </row>
    <row r="7">
      <c r="B7" s="587" t="inlineStr">
        <is>
          <t>แบ่งบาน</t>
        </is>
      </c>
      <c r="C7" s="590" t="inlineStr">
        <is>
          <t>ปกติ / ไม่สมมาตร</t>
        </is>
      </c>
    </row>
    <row r="8">
      <c r="B8" s="587" t="inlineStr">
        <is>
          <t>มุมตัด</t>
        </is>
      </c>
      <c r="C8" s="590" t="inlineStr">
        <is>
          <t>45°</t>
        </is>
      </c>
    </row>
    <row r="9">
      <c r="B9" s="586" t="inlineStr">
        <is>
          <t>② คำนวณอัตโนมัติ</t>
        </is>
      </c>
    </row>
    <row r="10">
      <c r="B10" s="591" t="inlineStr">
        <is>
          <t>สมมาตร?(1)</t>
        </is>
      </c>
      <c r="C10" s="592">
        <f>IF($C$7="สมมาตร ซ้าย=ขวา",1,0)</f>
        <v/>
      </c>
    </row>
    <row r="11">
      <c r="B11" s="591" t="inlineStr">
        <is>
          <t>ขวาง ต่อบาน</t>
        </is>
      </c>
      <c r="C11" s="593">
        <f>IF($C$8="90°",($C$4-$F$42-$F$43*($C$6-1))/$C$6,IF($C$10=1,(($C$4/2)-$F$40-($C$6/2+1)*$F$41)/($C$6/2),($C$4-$F$40-($C$6+1)*$F$41)/$C$6))</f>
        <v/>
      </c>
    </row>
    <row r="13">
      <c r="A13" s="594" t="inlineStr">
        <is>
          <t>#</t>
        </is>
      </c>
      <c r="B13" s="594" t="inlineStr">
        <is>
          <t>โปรไฟล์ (ไทย / EN)</t>
        </is>
      </c>
      <c r="C13" s="594" t="inlineStr">
        <is>
          <t>รหัส</t>
        </is>
      </c>
      <c r="D13" s="594" t="inlineStr">
        <is>
          <t>ยาวตัด (ซม.)</t>
        </is>
      </c>
      <c r="E13" s="594" t="inlineStr">
        <is>
          <t>จำนวน</t>
        </is>
      </c>
      <c r="F13" s="594" t="inlineStr">
        <is>
          <t>หมายเหตุ</t>
        </is>
      </c>
    </row>
    <row r="14" ht="22" customHeight="1" s="344">
      <c r="A14" s="595" t="n">
        <v>1</v>
      </c>
      <c r="B14" s="596" t="inlineStr">
        <is>
          <t>เฟรมบน (HEAD)</t>
        </is>
      </c>
      <c r="C14" s="597" t="inlineStr">
        <is>
          <t>B24001</t>
        </is>
      </c>
      <c r="D14" s="598">
        <f>$C$4-$F$36</f>
        <v/>
      </c>
      <c r="E14" s="599" t="inlineStr">
        <is>
          <t>1</t>
        </is>
      </c>
      <c r="F14" s="600" t="inlineStr">
        <is>
          <t>กว้าง−6</t>
        </is>
      </c>
    </row>
    <row r="15" ht="22" customHeight="1" s="344">
      <c r="A15" s="595" t="n">
        <v>2</v>
      </c>
      <c r="B15" s="596" t="inlineStr">
        <is>
          <t>บังใบบน (STOP HEAD)</t>
        </is>
      </c>
      <c r="C15" s="597" t="inlineStr">
        <is>
          <t>B24002</t>
        </is>
      </c>
      <c r="D15" s="598">
        <f>$C$4-$F$37</f>
        <v/>
      </c>
      <c r="E15" s="599" t="inlineStr">
        <is>
          <t>1</t>
        </is>
      </c>
      <c r="F15" s="600" t="inlineStr">
        <is>
          <t>กว้าง−8.6</t>
        </is>
      </c>
    </row>
    <row r="16" ht="22" customHeight="1" s="344">
      <c r="A16" s="595" t="n">
        <v>3</v>
      </c>
      <c r="B16" s="596" t="inlineStr">
        <is>
          <t>เฟรมล่าง (SILL)</t>
        </is>
      </c>
      <c r="C16" s="597" t="inlineStr">
        <is>
          <t>B24003</t>
        </is>
      </c>
      <c r="D16" s="598">
        <f>$C$4-$F$36</f>
        <v/>
      </c>
      <c r="E16" s="599" t="inlineStr">
        <is>
          <t>1</t>
        </is>
      </c>
      <c r="F16" s="600" t="inlineStr">
        <is>
          <t>กว้าง−6</t>
        </is>
      </c>
    </row>
    <row r="17" ht="22" customHeight="1" s="344">
      <c r="A17" s="595" t="n">
        <v>4</v>
      </c>
      <c r="B17" s="596" t="inlineStr">
        <is>
          <t>ตัวตับธรณี (STOP SILL)</t>
        </is>
      </c>
      <c r="C17" s="597" t="inlineStr">
        <is>
          <t>B24004</t>
        </is>
      </c>
      <c r="D17" s="598">
        <f>$C$4-$F$36</f>
        <v/>
      </c>
      <c r="E17" s="599" t="inlineStr">
        <is>
          <t>1</t>
        </is>
      </c>
      <c r="F17" s="600" t="inlineStr">
        <is>
          <t>กว้าง−6</t>
        </is>
      </c>
    </row>
    <row r="18" ht="22" customHeight="1" s="344">
      <c r="A18" s="595" t="n">
        <v>5</v>
      </c>
      <c r="B18" s="596" t="inlineStr">
        <is>
          <t>เฟรมข้าง ซ้าย (JAMB L)</t>
        </is>
      </c>
      <c r="C18" s="597" t="inlineStr">
        <is>
          <t>B24005</t>
        </is>
      </c>
      <c r="D18" s="598">
        <f>$C$5</f>
        <v/>
      </c>
      <c r="E18" s="599" t="inlineStr">
        <is>
          <t>1</t>
        </is>
      </c>
      <c r="F18" s="600" t="inlineStr">
        <is>
          <t>สูง</t>
        </is>
      </c>
    </row>
    <row r="19" ht="22" customHeight="1" s="344">
      <c r="A19" s="595" t="n">
        <v>6</v>
      </c>
      <c r="B19" s="596" t="inlineStr">
        <is>
          <t>เฟรมข้าง ขวา (JAMB R)</t>
        </is>
      </c>
      <c r="C19" s="597" t="inlineStr">
        <is>
          <t>B24005</t>
        </is>
      </c>
      <c r="D19" s="598">
        <f>$C$5</f>
        <v/>
      </c>
      <c r="E19" s="599" t="inlineStr">
        <is>
          <t>1</t>
        </is>
      </c>
      <c r="F19" s="600" t="inlineStr">
        <is>
          <t>สูง</t>
        </is>
      </c>
    </row>
    <row r="20" ht="22" customHeight="1" s="344">
      <c r="A20" s="595" t="n">
        <v>7</v>
      </c>
      <c r="B20" s="596" t="inlineStr">
        <is>
          <t>บังใบข้าง ซ้าย</t>
        </is>
      </c>
      <c r="C20" s="597" t="inlineStr">
        <is>
          <t>B24006</t>
        </is>
      </c>
      <c r="D20" s="598">
        <f>$C$5-$F$38</f>
        <v/>
      </c>
      <c r="E20" s="599" t="inlineStr">
        <is>
          <t>1</t>
        </is>
      </c>
      <c r="F20" s="600" t="inlineStr">
        <is>
          <t>สูง−9.6</t>
        </is>
      </c>
    </row>
    <row r="21" ht="22" customHeight="1" s="344">
      <c r="A21" s="595" t="n">
        <v>8</v>
      </c>
      <c r="B21" s="596" t="inlineStr">
        <is>
          <t>บังใบข้าง ขวา</t>
        </is>
      </c>
      <c r="C21" s="597" t="inlineStr">
        <is>
          <t>B24006</t>
        </is>
      </c>
      <c r="D21" s="598">
        <f>$C$5-$F$38</f>
        <v/>
      </c>
      <c r="E21" s="599" t="inlineStr">
        <is>
          <t>1</t>
        </is>
      </c>
      <c r="F21" s="600" t="inlineStr">
        <is>
          <t>สูง−9.6</t>
        </is>
      </c>
    </row>
    <row r="22" ht="22" customHeight="1" s="344">
      <c r="A22" s="595" t="n">
        <v>9</v>
      </c>
      <c r="B22" s="596" t="inlineStr">
        <is>
          <t>ขวางบน (SASH Hor T)</t>
        </is>
      </c>
      <c r="C22" s="597" t="inlineStr">
        <is>
          <t>B24007</t>
        </is>
      </c>
      <c r="D22" s="598">
        <f>$C$11</f>
        <v/>
      </c>
      <c r="E22" s="599">
        <f>$C$6</f>
        <v/>
      </c>
      <c r="F22" s="600" t="inlineStr">
        <is>
          <t>ตาม มุมตัด/แบ่งบาน</t>
        </is>
      </c>
    </row>
    <row r="23" ht="22" customHeight="1" s="344">
      <c r="A23" s="595" t="n">
        <v>10</v>
      </c>
      <c r="B23" s="596" t="inlineStr">
        <is>
          <t>ขวางล่าง (SASH Hor B)</t>
        </is>
      </c>
      <c r="C23" s="597" t="inlineStr">
        <is>
          <t>B24007</t>
        </is>
      </c>
      <c r="D23" s="598">
        <f>$C$11</f>
        <v/>
      </c>
      <c r="E23" s="599">
        <f>$C$6</f>
        <v/>
      </c>
      <c r="F23" s="600" t="inlineStr">
        <is>
          <t>ตาม มุมตัด/แบ่งบาน</t>
        </is>
      </c>
    </row>
    <row r="24" ht="22" customHeight="1" s="344">
      <c r="A24" s="595" t="n">
        <v>11</v>
      </c>
      <c r="B24" s="596" t="inlineStr">
        <is>
          <t>เสา (SASH Ver)</t>
        </is>
      </c>
      <c r="C24" s="597" t="inlineStr">
        <is>
          <t>B24007</t>
        </is>
      </c>
      <c r="D24" s="598">
        <f>$C$5-$F$39</f>
        <v/>
      </c>
      <c r="E24" s="599">
        <f>$C$6+INT($C$6/2)</f>
        <v/>
      </c>
      <c r="F24" s="600" t="inlineStr">
        <is>
          <t>สูง−9.2</t>
        </is>
      </c>
    </row>
    <row r="25" ht="22" customHeight="1" s="344">
      <c r="A25" s="595" t="n">
        <v>12</v>
      </c>
      <c r="B25" s="596" t="inlineStr">
        <is>
          <t>เสากุญแจ (SASH Ver Lock)</t>
        </is>
      </c>
      <c r="C25" s="597" t="inlineStr">
        <is>
          <t>B24007</t>
        </is>
      </c>
      <c r="D25" s="598">
        <f>$C$5-$F$39</f>
        <v/>
      </c>
      <c r="E25" s="599">
        <f>INT($C$6/2)</f>
        <v/>
      </c>
      <c r="F25" s="600" t="inlineStr">
        <is>
          <t>สูง−9.2</t>
        </is>
      </c>
    </row>
    <row r="27">
      <c r="B27" s="601" t="inlineStr">
        <is>
          <t>③ กระดานคำนวณ ขวาง 45° (ฟ้า=สด เขียว=ผล)</t>
        </is>
      </c>
    </row>
    <row r="28">
      <c r="B28" s="594" t="inlineStr">
        <is>
          <t>กรณี</t>
        </is>
      </c>
      <c r="C28" s="594" t="inlineStr">
        <is>
          <t>ฐาน(กว้าง)</t>
        </is>
      </c>
      <c r="D28" s="594" t="inlineStr">
        <is>
          <t>− เฟรม</t>
        </is>
      </c>
      <c r="E28" s="594" t="inlineStr">
        <is>
          <t>− ยาง</t>
        </is>
      </c>
      <c r="F28" s="594" t="inlineStr">
        <is>
          <t>÷ บาน</t>
        </is>
      </c>
      <c r="G28" s="594" t="inlineStr">
        <is>
          <t>ยาวตัด</t>
        </is>
      </c>
    </row>
    <row r="29">
      <c r="B29" s="603" t="inlineStr">
        <is>
          <t>ปกติ (คิดรวม)</t>
        </is>
      </c>
      <c r="C29" s="604">
        <f>$C$4</f>
        <v/>
      </c>
      <c r="D29" s="604">
        <f>$F$40</f>
        <v/>
      </c>
      <c r="E29" s="604">
        <f>($C$6+1)*$F$41</f>
        <v/>
      </c>
      <c r="F29" s="605">
        <f>$C$6</f>
        <v/>
      </c>
      <c r="G29" s="593">
        <f>($C$4-$F$40-($C$6+1)*$F$41)/$C$6</f>
        <v/>
      </c>
    </row>
    <row r="30">
      <c r="B30" s="603" t="inlineStr">
        <is>
          <t>สมมาตร (แยกฝั่ง)</t>
        </is>
      </c>
      <c r="C30" s="604">
        <f>$C$4/2</f>
        <v/>
      </c>
      <c r="D30" s="604">
        <f>$F$40</f>
        <v/>
      </c>
      <c r="E30" s="604">
        <f>($C$6/2+1)*$F$41</f>
        <v/>
      </c>
      <c r="F30" s="605">
        <f>$C$6/2</f>
        <v/>
      </c>
      <c r="G30" s="593">
        <f>(($C$4/2)-$F$40-($C$6/2+1)*$F$41)/($C$6/2)</f>
        <v/>
      </c>
    </row>
    <row r="31">
      <c r="B31" s="606" t="inlineStr">
        <is>
          <t>→ ที่ใช้จริง (ตาม มุมตัด + แบ่งบาน)</t>
        </is>
      </c>
      <c r="C31" s="607" t="n"/>
      <c r="D31" s="607" t="n"/>
      <c r="E31" s="607" t="n"/>
      <c r="F31" s="608" t="n"/>
      <c r="G31" s="593">
        <f>$C$11</f>
        <v/>
      </c>
    </row>
    <row r="34">
      <c r="B34" s="609" t="inlineStr">
        <is>
          <t>④ แผงแก้สูตร — ตัวหักลบ (เหลือง)</t>
        </is>
      </c>
    </row>
    <row r="35">
      <c r="B35" s="587" t="inlineStr">
        <is>
          <t>ความหมาย</t>
        </is>
      </c>
      <c r="C35" s="607" t="n"/>
      <c r="D35" s="607" t="n"/>
      <c r="E35" s="608" t="n"/>
      <c r="F35" s="594" t="inlineStr">
        <is>
          <t>ค่า</t>
        </is>
      </c>
    </row>
    <row r="36" ht="19" customHeight="1" s="344">
      <c r="B36" s="596" t="inlineStr">
        <is>
          <t>เฟรมบน/ล่าง/ตับธรณี — หัก</t>
        </is>
      </c>
      <c r="C36" s="607" t="n"/>
      <c r="D36" s="607" t="n"/>
      <c r="E36" s="608" t="n"/>
      <c r="F36" s="588" t="n">
        <v>6</v>
      </c>
    </row>
    <row r="37" ht="19" customHeight="1" s="344">
      <c r="B37" s="596" t="inlineStr">
        <is>
          <t>บังใบบน — หัก</t>
        </is>
      </c>
      <c r="C37" s="607" t="n"/>
      <c r="D37" s="607" t="n"/>
      <c r="E37" s="608" t="n"/>
      <c r="F37" s="588" t="n">
        <v>8.6</v>
      </c>
    </row>
    <row r="38" ht="19" customHeight="1" s="344">
      <c r="B38" s="596" t="inlineStr">
        <is>
          <t>บังใบข้าง — หัก</t>
        </is>
      </c>
      <c r="C38" s="607" t="n"/>
      <c r="D38" s="607" t="n"/>
      <c r="E38" s="608" t="n"/>
      <c r="F38" s="588" t="n">
        <v>9.6</v>
      </c>
    </row>
    <row r="39" ht="19" customHeight="1" s="344">
      <c r="B39" s="596" t="inlineStr">
        <is>
          <t>เสา/เสากุญแจ — หัก</t>
        </is>
      </c>
      <c r="C39" s="607" t="n"/>
      <c r="D39" s="607" t="n"/>
      <c r="E39" s="608" t="n"/>
      <c r="F39" s="588" t="n">
        <v>9.199999999999999</v>
      </c>
    </row>
    <row r="40" ht="19" customHeight="1" s="344">
      <c r="B40" s="596" t="inlineStr">
        <is>
          <t>ขวาง 45° — หักเฟรม 2 ข้าง</t>
        </is>
      </c>
      <c r="C40" s="607" t="n"/>
      <c r="D40" s="607" t="n"/>
      <c r="E40" s="608" t="n"/>
      <c r="F40" s="588" t="n">
        <v>6</v>
      </c>
    </row>
    <row r="41" ht="19" customHeight="1" s="344">
      <c r="B41" s="596" t="inlineStr">
        <is>
          <t>ขวาง 45° — ยางคั่นต่อช่อง</t>
        </is>
      </c>
      <c r="C41" s="607" t="n"/>
      <c r="D41" s="607" t="n"/>
      <c r="E41" s="608" t="n"/>
      <c r="F41" s="588" t="n">
        <v>0.4</v>
      </c>
    </row>
    <row r="42" ht="19" customHeight="1" s="344">
      <c r="B42" s="596" t="inlineStr">
        <is>
          <t>ขวาง 90° — หักเฟรม+เสา 2 ข้าง</t>
        </is>
      </c>
      <c r="C42" s="607" t="n"/>
      <c r="D42" s="607" t="n"/>
      <c r="E42" s="608" t="n"/>
      <c r="F42" s="588" t="n">
        <v>18.2</v>
      </c>
    </row>
    <row r="43" ht="19" customHeight="1" s="344">
      <c r="B43" s="596" t="inlineStr">
        <is>
          <t>ขวาง 90° — หักต่อรอยต่อ ×(บาน−1)</t>
        </is>
      </c>
      <c r="C43" s="607" t="n"/>
      <c r="D43" s="607" t="n"/>
      <c r="E43" s="608" t="n"/>
      <c r="F43" s="612" t="n">
        <v>11.325</v>
      </c>
    </row>
  </sheetData>
  <mergeCells count="15">
    <mergeCell ref="B40:E40"/>
    <mergeCell ref="B41:E41"/>
    <mergeCell ref="B35:E35"/>
    <mergeCell ref="B34:F34"/>
    <mergeCell ref="B3:C3"/>
    <mergeCell ref="B43:E43"/>
    <mergeCell ref="B27:G27"/>
    <mergeCell ref="B38:E38"/>
    <mergeCell ref="B39:E39"/>
    <mergeCell ref="B31:F31"/>
    <mergeCell ref="B37:E37"/>
    <mergeCell ref="B9:C9"/>
    <mergeCell ref="A1:H2"/>
    <mergeCell ref="B42:E42"/>
    <mergeCell ref="B36:E36"/>
  </mergeCells>
  <dataValidations count="2">
    <dataValidation sqref="C7" showDropDown="0" showInputMessage="0" showErrorMessage="0" allowBlank="0" type="list">
      <formula1>"ปกติ / ไม่สมมาตร,สมมาตร ซ้าย=ขวา"</formula1>
    </dataValidation>
    <dataValidation sqref="C8" showDropDown="0" showInputMessage="0" showErrorMessage="0" allowBlank="0" type="list">
      <formula1>"45°,90°"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00B050"/>
    <outlinePr summaryBelow="1" summaryRight="1"/>
    <pageSetUpPr fitToPage="1"/>
  </sheetPr>
  <dimension ref="B2:B194"/>
  <sheetViews>
    <sheetView topLeftCell="A13" zoomScaleNormal="100" workbookViewId="0">
      <selection activeCell="A120" sqref="A120"/>
    </sheetView>
  </sheetViews>
  <sheetFormatPr baseColWidth="8" defaultColWidth="9.109375" defaultRowHeight="14.4"/>
  <cols>
    <col width="9.109375" customWidth="1" style="226" min="1" max="16384"/>
  </cols>
  <sheetData>
    <row r="2" ht="36.6" customHeight="1" s="344">
      <c r="B2" s="225" t="inlineStr">
        <is>
          <t>240 BI-FOLD DOOR TYPE</t>
        </is>
      </c>
    </row>
    <row r="5" ht="17.4" customHeight="1" s="344">
      <c r="B5" s="227" t="inlineStr">
        <is>
          <t>【2 Panel】</t>
        </is>
      </c>
    </row>
    <row r="17" ht="17.4" customHeight="1" s="344">
      <c r="B17" s="227" t="inlineStr">
        <is>
          <t>【3 Panel】</t>
        </is>
      </c>
    </row>
    <row r="29" ht="17.4" customHeight="1" s="344">
      <c r="B29" s="227" t="inlineStr">
        <is>
          <t>【4 Panel】</t>
        </is>
      </c>
    </row>
    <row r="50" ht="17.4" customHeight="1" s="344">
      <c r="B50" s="227" t="inlineStr">
        <is>
          <t>【5 Panel】</t>
        </is>
      </c>
    </row>
    <row r="71" ht="17.4" customHeight="1" s="344">
      <c r="B71" s="227" t="inlineStr">
        <is>
          <t>【6 Panel】</t>
        </is>
      </c>
    </row>
    <row r="93" ht="17.4" customHeight="1" s="344">
      <c r="B93" s="227" t="inlineStr">
        <is>
          <t>【7 Panel】</t>
        </is>
      </c>
    </row>
    <row r="114" ht="17.4" customHeight="1" s="344">
      <c r="B114" s="227" t="inlineStr">
        <is>
          <t>【8 Panel】</t>
        </is>
      </c>
    </row>
    <row r="125" ht="17.4" customHeight="1" s="344">
      <c r="B125" s="227" t="inlineStr">
        <is>
          <t>【9 Panel】</t>
        </is>
      </c>
    </row>
    <row r="148" ht="17.4" customHeight="1" s="344">
      <c r="B148" s="227" t="inlineStr">
        <is>
          <t>【10 Panel】</t>
        </is>
      </c>
    </row>
    <row r="159" ht="17.4" customHeight="1" s="344">
      <c r="B159" s="227" t="inlineStr">
        <is>
          <t>【11 Panel】</t>
        </is>
      </c>
    </row>
    <row r="171" ht="17.4" customHeight="1" s="344">
      <c r="B171" s="227" t="inlineStr">
        <is>
          <t>【12 Panel】</t>
        </is>
      </c>
    </row>
    <row r="183" ht="17.4" customHeight="1" s="344">
      <c r="B183" s="227" t="inlineStr">
        <is>
          <t>【14 Panel】</t>
        </is>
      </c>
    </row>
    <row r="194" ht="17.4" customHeight="1" s="344">
      <c r="B194" s="227" t="inlineStr">
        <is>
          <t>【15 Panel】</t>
        </is>
      </c>
    </row>
  </sheetData>
  <pageMargins left="0.7086614173228347" right="0.7086614173228347" top="0.7480314960629921" bottom="0.7480314960629921" header="0.3149606299212598" footer="0.3149606299212598"/>
  <pageSetup orientation="portrait" paperSize="9" scale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zoomScaleNormal="100" workbookViewId="0">
      <selection activeCell="J16" sqref="J16"/>
    </sheetView>
  </sheetViews>
  <sheetFormatPr baseColWidth="8" defaultRowHeight="14.4"/>
  <cols>
    <col width="13" bestFit="1" customWidth="1" style="344" min="1" max="1"/>
    <col width="30.5546875" customWidth="1" style="344" min="2" max="2"/>
    <col width="28.44140625" customWidth="1" style="344" min="3" max="3"/>
    <col width="31.5546875" customWidth="1" style="344" min="4" max="4"/>
    <col width="29.109375" customWidth="1" style="344" min="5" max="5"/>
    <col width="18.44140625" customWidth="1" style="399" min="6" max="6"/>
  </cols>
  <sheetData>
    <row r="1" ht="20.1" customHeight="1" s="344">
      <c r="A1" s="452" t="inlineStr">
        <is>
          <t>REFERENCE (เอกสารอ้างอิงของซีรี่ย์ 240 ประตูบานเฟี๊ยม)</t>
        </is>
      </c>
      <c r="B1" s="613" t="n"/>
      <c r="C1" s="613" t="n"/>
      <c r="D1" s="613" t="n"/>
      <c r="E1" s="614" t="n"/>
      <c r="I1" s="400" t="n"/>
      <c r="J1" s="400" t="n"/>
    </row>
    <row r="2" ht="20.1" customHeight="1" s="344">
      <c r="A2" s="615" t="n"/>
      <c r="B2" s="616" t="n"/>
      <c r="C2" s="616" t="n"/>
      <c r="D2" s="616" t="n"/>
      <c r="E2" s="617" t="n"/>
    </row>
    <row r="3" ht="20.1" customHeight="1" s="344">
      <c r="A3" s="453" t="inlineStr">
        <is>
          <t>ข้อมูลแม่พิมพ์</t>
        </is>
      </c>
      <c r="B3" s="618" t="n"/>
      <c r="C3" s="618" t="n"/>
      <c r="D3" s="618" t="n"/>
      <c r="E3" s="619" t="n"/>
    </row>
    <row r="4" ht="20.1" customHeight="1" s="344">
      <c r="A4" s="401" t="inlineStr">
        <is>
          <t>DIE NO.</t>
        </is>
      </c>
      <c r="B4" s="401" t="inlineStr">
        <is>
          <t>IMAGE</t>
        </is>
      </c>
      <c r="C4" s="401" t="inlineStr">
        <is>
          <t>DESCRIPTION</t>
        </is>
      </c>
      <c r="D4" s="401" t="inlineStr">
        <is>
          <t>THICKNESS(mm.)</t>
        </is>
      </c>
      <c r="E4" s="401" t="inlineStr">
        <is>
          <t>WEIGHT(Kg./m.)</t>
        </is>
      </c>
    </row>
    <row r="5" ht="20.1" customHeight="1" s="344">
      <c r="A5" s="620" t="inlineStr">
        <is>
          <t>B24001-18</t>
        </is>
      </c>
      <c r="B5" s="476" t="n"/>
      <c r="C5" s="621" t="inlineStr">
        <is>
          <t>HEAD / เฟรมบน</t>
        </is>
      </c>
      <c r="D5" s="622" t="n">
        <v>1.8</v>
      </c>
      <c r="E5" s="623" t="n">
        <v>1.603</v>
      </c>
    </row>
    <row r="6" ht="20.1" customHeight="1" s="344">
      <c r="A6" s="624" t="n"/>
      <c r="B6" s="624" t="n"/>
      <c r="C6" s="624" t="n"/>
      <c r="D6" s="624" t="n"/>
      <c r="E6" s="624" t="n"/>
    </row>
    <row r="7" ht="20.1" customHeight="1" s="344">
      <c r="A7" s="624" t="n"/>
      <c r="B7" s="624" t="n"/>
      <c r="C7" s="624" t="n"/>
      <c r="D7" s="624" t="n"/>
      <c r="E7" s="624" t="n"/>
    </row>
    <row r="8" ht="20.1" customHeight="1" s="344">
      <c r="A8" s="625" t="n"/>
      <c r="B8" s="625" t="n"/>
      <c r="C8" s="625" t="n"/>
      <c r="D8" s="625" t="n"/>
      <c r="E8" s="625" t="n"/>
    </row>
    <row r="9" ht="20.1" customHeight="1" s="344">
      <c r="A9" s="404" t="n"/>
      <c r="B9" s="404" t="n"/>
      <c r="C9" s="404" t="n"/>
      <c r="D9" s="404" t="n"/>
      <c r="E9" s="414" t="n"/>
    </row>
    <row r="10" ht="20.1" customHeight="1" s="344">
      <c r="A10" s="620" t="inlineStr">
        <is>
          <t>B24002-14</t>
        </is>
      </c>
      <c r="B10" s="476" t="n"/>
      <c r="C10" s="621" t="inlineStr">
        <is>
          <t>DOOR STOP HEAD / บังใบบน</t>
        </is>
      </c>
      <c r="D10" s="622" t="n">
        <v>1.4</v>
      </c>
      <c r="E10" s="623" t="n">
        <v>0.278</v>
      </c>
    </row>
    <row r="11" ht="20.1" customHeight="1" s="344">
      <c r="A11" s="624" t="n"/>
      <c r="B11" s="624" t="n"/>
      <c r="C11" s="624" t="n"/>
      <c r="D11" s="624" t="n"/>
      <c r="E11" s="624" t="n"/>
    </row>
    <row r="12" ht="20.1" customHeight="1" s="344">
      <c r="A12" s="624" t="n"/>
      <c r="B12" s="624" t="n"/>
      <c r="C12" s="624" t="n"/>
      <c r="D12" s="624" t="n"/>
      <c r="E12" s="624" t="n"/>
    </row>
    <row r="13" ht="20.1" customHeight="1" s="344">
      <c r="A13" s="625" t="n"/>
      <c r="B13" s="625" t="n"/>
      <c r="C13" s="625" t="n"/>
      <c r="D13" s="625" t="n"/>
      <c r="E13" s="625" t="n"/>
    </row>
    <row r="14" ht="20.1" customHeight="1" s="344">
      <c r="A14" s="404" t="n"/>
      <c r="B14" s="404" t="n"/>
      <c r="C14" s="404" t="n"/>
      <c r="D14" s="404" t="n"/>
      <c r="E14" s="414" t="n"/>
    </row>
    <row r="15" ht="20.1" customHeight="1" s="344">
      <c r="A15" s="620" t="inlineStr">
        <is>
          <t>B24003-15</t>
        </is>
      </c>
      <c r="B15" s="476" t="n"/>
      <c r="C15" s="621" t="inlineStr">
        <is>
          <t>SILL / เฟรมล่าง</t>
        </is>
      </c>
      <c r="D15" s="622" t="n">
        <v>1.2</v>
      </c>
      <c r="E15" s="623" t="n">
        <v>0.271</v>
      </c>
    </row>
    <row r="16" ht="20.1" customHeight="1" s="344">
      <c r="A16" s="624" t="n"/>
      <c r="B16" s="624" t="n"/>
      <c r="C16" s="624" t="n"/>
      <c r="D16" s="624" t="n"/>
      <c r="E16" s="624" t="n"/>
    </row>
    <row r="17" ht="20.1" customFormat="1" customHeight="1" s="399">
      <c r="A17" s="624" t="n"/>
      <c r="B17" s="624" t="n"/>
      <c r="C17" s="624" t="n"/>
      <c r="D17" s="624" t="n"/>
      <c r="E17" s="624" t="n"/>
    </row>
    <row r="18" ht="20.1" customFormat="1" customHeight="1" s="399">
      <c r="A18" s="625" t="n"/>
      <c r="B18" s="625" t="n"/>
      <c r="C18" s="625" t="n"/>
      <c r="D18" s="625" t="n"/>
      <c r="E18" s="625" t="n"/>
    </row>
    <row r="19" ht="20.1" customFormat="1" customHeight="1" s="399">
      <c r="A19" s="404" t="n"/>
      <c r="B19" s="404" t="n"/>
      <c r="C19" s="404" t="n"/>
      <c r="D19" s="404" t="n"/>
      <c r="E19" s="414" t="n"/>
    </row>
    <row r="20" ht="20.1" customFormat="1" customHeight="1" s="399">
      <c r="A20" s="620" t="inlineStr">
        <is>
          <t>B24004-14</t>
        </is>
      </c>
      <c r="B20" s="476" t="n"/>
      <c r="C20" s="621" t="inlineStr">
        <is>
          <t>DOOR STOP SILL / ตัวตบธรณี</t>
        </is>
      </c>
      <c r="D20" s="622" t="n">
        <v>1.4</v>
      </c>
      <c r="E20" s="623" t="n">
        <v>0.516</v>
      </c>
    </row>
    <row r="21" ht="20.1" customFormat="1" customHeight="1" s="399">
      <c r="A21" s="624" t="n"/>
      <c r="B21" s="624" t="n"/>
      <c r="C21" s="624" t="n"/>
      <c r="D21" s="624" t="n"/>
      <c r="E21" s="624" t="n"/>
    </row>
    <row r="22" ht="20.1" customFormat="1" customHeight="1" s="399">
      <c r="A22" s="624" t="n"/>
      <c r="B22" s="624" t="n"/>
      <c r="C22" s="624" t="n"/>
      <c r="D22" s="624" t="n"/>
      <c r="E22" s="624" t="n"/>
    </row>
    <row r="23" ht="20.1" customFormat="1" customHeight="1" s="399">
      <c r="A23" s="625" t="n"/>
      <c r="B23" s="625" t="n"/>
      <c r="C23" s="625" t="n"/>
      <c r="D23" s="625" t="n"/>
      <c r="E23" s="625" t="n"/>
    </row>
    <row r="24" ht="20.1" customFormat="1" customHeight="1" s="399">
      <c r="A24" s="404" t="n"/>
      <c r="B24" s="404" t="n"/>
      <c r="C24" s="404" t="n"/>
      <c r="D24" s="404" t="n"/>
      <c r="E24" s="414" t="n"/>
    </row>
    <row r="25" ht="20.1" customFormat="1" customHeight="1" s="399">
      <c r="A25" s="620" t="inlineStr">
        <is>
          <t>B24005-15</t>
        </is>
      </c>
      <c r="B25" s="476" t="n"/>
      <c r="C25" s="621" t="inlineStr">
        <is>
          <t>JAMB / เฟรมข้าง</t>
        </is>
      </c>
      <c r="D25" s="622" t="n">
        <v>1.5</v>
      </c>
      <c r="E25" s="623" t="n">
        <v>0.893</v>
      </c>
    </row>
    <row r="26" ht="20.1" customFormat="1" customHeight="1" s="399">
      <c r="A26" s="624" t="n"/>
      <c r="B26" s="624" t="n"/>
      <c r="C26" s="624" t="n"/>
      <c r="D26" s="624" t="n"/>
      <c r="E26" s="624" t="n"/>
    </row>
    <row r="27" ht="20.1" customFormat="1" customHeight="1" s="399">
      <c r="A27" s="624" t="n"/>
      <c r="B27" s="624" t="n"/>
      <c r="C27" s="624" t="n"/>
      <c r="D27" s="624" t="n"/>
      <c r="E27" s="624" t="n"/>
    </row>
    <row r="28" ht="20.1" customFormat="1" customHeight="1" s="399">
      <c r="A28" s="625" t="n"/>
      <c r="B28" s="625" t="n"/>
      <c r="C28" s="625" t="n"/>
      <c r="D28" s="625" t="n"/>
      <c r="E28" s="625" t="n"/>
    </row>
    <row r="29" ht="20.1" customFormat="1" customHeight="1" s="399">
      <c r="A29" s="404" t="n"/>
      <c r="B29" s="404" t="n"/>
      <c r="C29" s="404" t="n"/>
      <c r="D29" s="404" t="n"/>
      <c r="E29" s="414" t="n"/>
    </row>
    <row r="30" ht="20.1" customFormat="1" customHeight="1" s="399">
      <c r="A30" s="620" t="inlineStr">
        <is>
          <t>B24006-12</t>
        </is>
      </c>
      <c r="B30" s="476" t="n"/>
      <c r="C30" s="621" t="inlineStr">
        <is>
          <t>DOOR STOP JAMB / บังใบข้าง</t>
        </is>
      </c>
      <c r="D30" s="622" t="n">
        <v>1.2</v>
      </c>
      <c r="E30" s="623" t="n">
        <v>0.235</v>
      </c>
    </row>
    <row r="31" ht="20.1" customFormat="1" customHeight="1" s="399">
      <c r="A31" s="624" t="n"/>
      <c r="B31" s="624" t="n"/>
      <c r="C31" s="624" t="n"/>
      <c r="D31" s="624" t="n"/>
      <c r="E31" s="624" t="n"/>
    </row>
    <row r="32" ht="20.1" customFormat="1" customHeight="1" s="399">
      <c r="A32" s="624" t="n"/>
      <c r="B32" s="624" t="n"/>
      <c r="C32" s="624" t="n"/>
      <c r="D32" s="624" t="n"/>
      <c r="E32" s="624" t="n"/>
      <c r="I32" s="399" t="inlineStr">
        <is>
          <t xml:space="preserve">  </t>
        </is>
      </c>
    </row>
    <row r="33" ht="20.1" customFormat="1" customHeight="1" s="399">
      <c r="A33" s="625" t="n"/>
      <c r="B33" s="625" t="n"/>
      <c r="C33" s="625" t="n"/>
      <c r="D33" s="625" t="n"/>
      <c r="E33" s="625" t="n"/>
    </row>
    <row r="34" ht="20.1" customFormat="1" customHeight="1" s="399">
      <c r="A34" s="404" t="n"/>
      <c r="B34" s="404" t="n"/>
      <c r="C34" s="404" t="n"/>
      <c r="D34" s="404" t="n"/>
      <c r="E34" s="414" t="n"/>
    </row>
    <row r="35" ht="20.1" customFormat="1" customHeight="1" s="399">
      <c r="A35" s="620" t="inlineStr">
        <is>
          <t>B24007-15</t>
        </is>
      </c>
      <c r="B35" s="476" t="n"/>
      <c r="C35" s="621" t="inlineStr">
        <is>
          <t>SASH STILE / กรอบบานกระจก(แนวนอน)</t>
        </is>
      </c>
      <c r="D35" s="622" t="n">
        <v>1.5</v>
      </c>
      <c r="E35" s="623" t="n">
        <v>1.106</v>
      </c>
    </row>
    <row r="36" ht="20.1" customFormat="1" customHeight="1" s="399">
      <c r="A36" s="624" t="n"/>
      <c r="B36" s="624" t="n"/>
      <c r="C36" s="624" t="n"/>
      <c r="D36" s="624" t="n"/>
      <c r="E36" s="624" t="n"/>
    </row>
    <row r="37" ht="20.1" customFormat="1" customHeight="1" s="399">
      <c r="A37" s="624" t="n"/>
      <c r="B37" s="624" t="n"/>
      <c r="C37" s="624" t="n"/>
      <c r="D37" s="624" t="n"/>
      <c r="E37" s="624" t="n"/>
    </row>
    <row r="38" ht="20.1" customFormat="1" customHeight="1" s="399">
      <c r="A38" s="625" t="n"/>
      <c r="B38" s="625" t="n"/>
      <c r="C38" s="625" t="n"/>
      <c r="D38" s="625" t="n"/>
      <c r="E38" s="625" t="n"/>
    </row>
    <row r="39" ht="20.1" customFormat="1" customHeight="1" s="399">
      <c r="A39" s="404" t="n"/>
      <c r="B39" s="404" t="n"/>
      <c r="C39" s="404" t="n"/>
      <c r="D39" s="404" t="n"/>
      <c r="E39" s="414" t="n"/>
    </row>
    <row r="40" ht="20.1" customFormat="1" customHeight="1" s="399">
      <c r="A40" s="620" t="inlineStr">
        <is>
          <t>B24008-12</t>
        </is>
      </c>
      <c r="B40" s="476" t="n"/>
      <c r="C40" s="621" t="inlineStr">
        <is>
          <t>GLAZING BEAD / คิ้วตบกระจก 5-6 มิลลิเมตร</t>
        </is>
      </c>
      <c r="D40" s="622" t="n">
        <v>1.2</v>
      </c>
      <c r="E40" s="623" t="n">
        <v>0.231</v>
      </c>
    </row>
    <row r="41" ht="20.1" customFormat="1" customHeight="1" s="399">
      <c r="A41" s="624" t="n"/>
      <c r="B41" s="624" t="n"/>
      <c r="C41" s="624" t="n"/>
      <c r="D41" s="624" t="n"/>
      <c r="E41" s="624" t="n"/>
    </row>
    <row r="42" ht="20.1" customFormat="1" customHeight="1" s="399">
      <c r="A42" s="624" t="n"/>
      <c r="B42" s="624" t="n"/>
      <c r="C42" s="624" t="n"/>
      <c r="D42" s="624" t="n"/>
      <c r="E42" s="624" t="n"/>
    </row>
    <row r="43" ht="20.1" customFormat="1" customHeight="1" s="399">
      <c r="A43" s="625" t="n"/>
      <c r="B43" s="625" t="n"/>
      <c r="C43" s="625" t="n"/>
      <c r="D43" s="625" t="n"/>
      <c r="E43" s="625" t="n"/>
    </row>
    <row r="44" ht="20.1" customFormat="1" customHeight="1" s="399">
      <c r="A44" s="404" t="n"/>
      <c r="B44" s="404" t="n"/>
      <c r="C44" s="404" t="n"/>
      <c r="D44" s="404" t="n"/>
      <c r="E44" s="414" t="n"/>
    </row>
    <row r="45" ht="20.1" customFormat="1" customHeight="1" s="399">
      <c r="A45" s="620" t="inlineStr">
        <is>
          <t>B24016-12</t>
        </is>
      </c>
      <c r="B45" s="476" t="n"/>
      <c r="C45" s="621" t="inlineStr">
        <is>
          <t>GLAZING BEAD / คิ้วตบกระจก 8-12 มิลลิเมตร</t>
        </is>
      </c>
      <c r="D45" s="622" t="n">
        <v>1.2</v>
      </c>
      <c r="E45" s="623" t="n">
        <v>0.215</v>
      </c>
    </row>
    <row r="46" ht="20.1" customFormat="1" customHeight="1" s="399">
      <c r="A46" s="624" t="n"/>
      <c r="B46" s="624" t="n"/>
      <c r="C46" s="624" t="n"/>
      <c r="D46" s="624" t="n"/>
      <c r="E46" s="624" t="n"/>
    </row>
    <row r="47" ht="20.1" customFormat="1" customHeight="1" s="399">
      <c r="A47" s="624" t="n"/>
      <c r="B47" s="624" t="n"/>
      <c r="C47" s="624" t="n"/>
      <c r="D47" s="624" t="n"/>
      <c r="E47" s="624" t="n"/>
    </row>
    <row r="48" ht="20.1" customFormat="1" customHeight="1" s="399">
      <c r="A48" s="625" t="n"/>
      <c r="B48" s="625" t="n"/>
      <c r="C48" s="625" t="n"/>
      <c r="D48" s="625" t="n"/>
      <c r="E48" s="625" t="n"/>
    </row>
    <row r="49" ht="20.1" customFormat="1" customHeight="1" s="399">
      <c r="A49" s="404" t="n"/>
      <c r="B49" s="404" t="n"/>
      <c r="C49" s="404" t="n"/>
      <c r="D49" s="404" t="n"/>
      <c r="E49" s="414" t="n"/>
    </row>
    <row r="50" ht="20.1" customFormat="1" customHeight="1" s="399">
      <c r="A50" s="620" t="inlineStr">
        <is>
          <t>B24013-12</t>
        </is>
      </c>
      <c r="B50" s="476" t="n"/>
      <c r="C50" s="621" t="inlineStr">
        <is>
          <t>GLAZING BEAD / คิ้วตบกระจก 14-20 มิลลิเมตร</t>
        </is>
      </c>
      <c r="D50" s="622" t="n">
        <v>1.5</v>
      </c>
      <c r="E50" s="623" t="n">
        <v>0.169</v>
      </c>
    </row>
    <row r="51" ht="20.1" customFormat="1" customHeight="1" s="399">
      <c r="A51" s="624" t="n"/>
      <c r="B51" s="624" t="n"/>
      <c r="C51" s="624" t="n"/>
      <c r="D51" s="624" t="n"/>
      <c r="E51" s="624" t="n"/>
    </row>
    <row r="52" ht="20.1" customFormat="1" customHeight="1" s="399">
      <c r="A52" s="624" t="n"/>
      <c r="B52" s="624" t="n"/>
      <c r="C52" s="624" t="n"/>
      <c r="D52" s="624" t="n"/>
      <c r="E52" s="624" t="n"/>
    </row>
    <row r="53" ht="20.1" customFormat="1" customHeight="1" s="399">
      <c r="A53" s="625" t="n"/>
      <c r="B53" s="625" t="n"/>
      <c r="C53" s="625" t="n"/>
      <c r="D53" s="625" t="n"/>
      <c r="E53" s="625" t="n"/>
    </row>
    <row r="54" ht="20.1" customHeight="1" s="344">
      <c r="A54" s="404" t="n"/>
      <c r="B54" s="404" t="n"/>
      <c r="C54" s="404" t="n"/>
      <c r="D54" s="404" t="n"/>
      <c r="E54" s="414" t="n"/>
    </row>
    <row r="55" ht="20.1" customHeight="1" s="344">
      <c r="A55" s="620" t="inlineStr">
        <is>
          <t>B24009-12</t>
        </is>
      </c>
      <c r="B55" s="476" t="n"/>
      <c r="C55" s="621" t="inlineStr">
        <is>
          <t>SASH STOP / คิ้วบานประตูเปิดคู่</t>
        </is>
      </c>
      <c r="D55" s="622" t="n">
        <v>1.2</v>
      </c>
      <c r="E55" s="623" t="n">
        <v>0.226</v>
      </c>
    </row>
    <row r="56" ht="20.1" customHeight="1" s="344">
      <c r="A56" s="624" t="n"/>
      <c r="B56" s="624" t="n"/>
      <c r="C56" s="624" t="n"/>
      <c r="D56" s="624" t="n"/>
      <c r="E56" s="624" t="n"/>
    </row>
    <row r="57" ht="20.1" customHeight="1" s="344">
      <c r="A57" s="624" t="n"/>
      <c r="B57" s="624" t="n"/>
      <c r="C57" s="624" t="n"/>
      <c r="D57" s="624" t="n"/>
      <c r="E57" s="624" t="n"/>
    </row>
    <row r="58" ht="20.1" customHeight="1" s="344">
      <c r="A58" s="625" t="n"/>
      <c r="B58" s="625" t="n"/>
      <c r="C58" s="625" t="n"/>
      <c r="D58" s="625" t="n"/>
      <c r="E58" s="625" t="n"/>
    </row>
    <row r="59" ht="20.1" customHeight="1" s="344">
      <c r="A59" s="404" t="n"/>
      <c r="B59" s="404" t="n"/>
      <c r="C59" s="404" t="n"/>
      <c r="D59" s="404" t="n"/>
      <c r="E59" s="414" t="n"/>
    </row>
    <row r="60" ht="20.1" customHeight="1" s="344">
      <c r="A60" s="620" t="inlineStr">
        <is>
          <t>B24017-15</t>
        </is>
      </c>
      <c r="B60" s="476" t="n"/>
      <c r="C60" s="621" t="inlineStr">
        <is>
          <t>BIFOLD ROLLER / รางยู</t>
        </is>
      </c>
      <c r="D60" s="622" t="n">
        <v>1.5</v>
      </c>
      <c r="E60" s="623" t="n">
        <v>0.242</v>
      </c>
    </row>
    <row r="61" ht="20.1" customHeight="1" s="344">
      <c r="A61" s="624" t="n"/>
      <c r="B61" s="624" t="n"/>
      <c r="C61" s="624" t="n"/>
      <c r="D61" s="624" t="n"/>
      <c r="E61" s="624" t="n"/>
    </row>
    <row r="62" ht="20.1" customHeight="1" s="344">
      <c r="A62" s="624" t="n"/>
      <c r="B62" s="624" t="n"/>
      <c r="C62" s="624" t="n"/>
      <c r="D62" s="624" t="n"/>
      <c r="E62" s="624" t="n"/>
    </row>
    <row r="63" ht="20.1" customHeight="1" s="344">
      <c r="A63" s="625" t="n"/>
      <c r="B63" s="625" t="n"/>
      <c r="C63" s="625" t="n"/>
      <c r="D63" s="625" t="n"/>
      <c r="E63" s="625" t="n"/>
    </row>
    <row r="64" ht="20.1" customHeight="1" s="344">
      <c r="A64" s="404" t="n"/>
      <c r="B64" s="404" t="n"/>
      <c r="C64" s="404" t="n"/>
      <c r="D64" s="404" t="n"/>
      <c r="E64" s="414" t="n"/>
    </row>
    <row r="65" ht="20.1" customHeight="1" s="344">
      <c r="A65" s="620" t="inlineStr">
        <is>
          <t>B25006-15</t>
        </is>
      </c>
      <c r="B65" s="476" t="n"/>
      <c r="C65" s="621" t="inlineStr">
        <is>
          <t>DOOR MIDDLE / ซอยลูกฟัก</t>
        </is>
      </c>
      <c r="D65" s="622" t="n">
        <v>1.5</v>
      </c>
      <c r="E65" s="623" t="n">
        <v>0.9320000000000001</v>
      </c>
    </row>
    <row r="66" ht="20.1" customHeight="1" s="344">
      <c r="A66" s="624" t="n"/>
      <c r="B66" s="624" t="n"/>
      <c r="C66" s="624" t="n"/>
      <c r="D66" s="624" t="n"/>
      <c r="E66" s="624" t="n"/>
    </row>
    <row r="67" ht="20.1" customHeight="1" s="344">
      <c r="A67" s="624" t="n"/>
      <c r="B67" s="624" t="n"/>
      <c r="C67" s="624" t="n"/>
      <c r="D67" s="624" t="n"/>
      <c r="E67" s="624" t="n"/>
    </row>
    <row r="68" ht="20.1" customHeight="1" s="344">
      <c r="A68" s="625" t="n"/>
      <c r="B68" s="625" t="n"/>
      <c r="C68" s="625" t="n"/>
      <c r="D68" s="625" t="n"/>
      <c r="E68" s="625" t="n"/>
    </row>
    <row r="69" ht="20.1" customHeight="1" s="344">
      <c r="A69" s="406" t="n"/>
      <c r="B69" s="541" t="n"/>
      <c r="C69" s="407" t="n"/>
      <c r="D69" s="408" t="n"/>
      <c r="E69" s="626" t="n"/>
      <c r="I69" t="inlineStr">
        <is>
          <t xml:space="preserve">  </t>
        </is>
      </c>
    </row>
    <row r="70" ht="20.1" customHeight="1" s="344">
      <c r="A70" s="453" t="inlineStr">
        <is>
          <t>ข้อมูลฮาร์ดแวร์</t>
        </is>
      </c>
      <c r="B70" s="618" t="n"/>
      <c r="C70" s="618" t="n"/>
      <c r="D70" s="618" t="n"/>
      <c r="E70" s="619" t="n"/>
    </row>
    <row r="71" ht="20.1" customHeight="1" s="344">
      <c r="A71" s="401" t="inlineStr">
        <is>
          <t>CODE SMS.</t>
        </is>
      </c>
      <c r="B71" s="401" t="inlineStr">
        <is>
          <t>IMAGE</t>
        </is>
      </c>
      <c r="C71" s="401" t="inlineStr">
        <is>
          <t>GROUP</t>
        </is>
      </c>
      <c r="D71" s="401" t="inlineStr">
        <is>
          <t>DESCRIPTION</t>
        </is>
      </c>
      <c r="E71" s="619" t="n"/>
    </row>
    <row r="72" ht="30" customHeight="1" s="344">
      <c r="A72" s="280" t="inlineStr">
        <is>
          <t>00-024-BL</t>
        </is>
      </c>
      <c r="B72" s="476" t="n"/>
      <c r="C72" s="484" t="inlineStr">
        <is>
          <t>STAINLESS STEEL MORTISE LOCK-HANDLE / มือจับ</t>
        </is>
      </c>
      <c r="D72" s="627" t="inlineStr">
        <is>
          <t>มือจับสแตนเลสประตูบานเปิด(ด้ามจับทรงโค้ง)-สีดำ</t>
        </is>
      </c>
      <c r="E72" s="614" t="n"/>
      <c r="F72" s="410" t="n"/>
    </row>
    <row r="73" ht="30" customHeight="1" s="344">
      <c r="A73" s="625" t="n"/>
      <c r="B73" s="625" t="n"/>
      <c r="C73" s="624" t="n"/>
      <c r="D73" s="615" t="n"/>
      <c r="E73" s="617" t="n"/>
    </row>
    <row r="74" ht="30" customHeight="1" s="344">
      <c r="A74" s="280" t="inlineStr">
        <is>
          <t>00-024-SL</t>
        </is>
      </c>
      <c r="B74" s="476" t="n"/>
      <c r="C74" s="624" t="n"/>
      <c r="D74" s="627" t="inlineStr">
        <is>
          <t>มือจับสแตนเลสประตูบานเปิด(ด้ามจับทรงโค้ง)-สีเงิน</t>
        </is>
      </c>
      <c r="E74" s="614" t="n"/>
    </row>
    <row r="75" ht="30" customHeight="1" s="344">
      <c r="A75" s="625" t="n"/>
      <c r="B75" s="625" t="n"/>
      <c r="C75" s="624" t="n"/>
      <c r="D75" s="615" t="n"/>
      <c r="E75" s="617" t="n"/>
    </row>
    <row r="76" ht="30" customHeight="1" s="344">
      <c r="A76" s="280" t="inlineStr">
        <is>
          <t>00-024-WH</t>
        </is>
      </c>
      <c r="B76" s="476" t="n"/>
      <c r="C76" s="624" t="n"/>
      <c r="D76" s="627" t="inlineStr">
        <is>
          <t>มือจับสแตนเลสประตูบานเปิด(ด้ามจับทรงโค้ง)-สีขาว</t>
        </is>
      </c>
      <c r="E76" s="614" t="n"/>
    </row>
    <row r="77" ht="30" customHeight="1" s="344">
      <c r="A77" s="625" t="n"/>
      <c r="B77" s="625" t="n"/>
      <c r="C77" s="624" t="n"/>
      <c r="D77" s="615" t="n"/>
      <c r="E77" s="617" t="n"/>
      <c r="J77" t="inlineStr">
        <is>
          <t xml:space="preserve"> </t>
        </is>
      </c>
    </row>
    <row r="78" ht="30" customHeight="1" s="344">
      <c r="A78" s="280" t="inlineStr">
        <is>
          <t>00-027-BL</t>
        </is>
      </c>
      <c r="B78" s="476" t="n"/>
      <c r="C78" s="624" t="n"/>
      <c r="D78" s="627" t="inlineStr">
        <is>
          <t>มือจับสแตนเลสประตูบานเปิด(ด้ามจับทรงเหลี่ยม)-สีดำ</t>
        </is>
      </c>
      <c r="E78" s="614" t="n"/>
    </row>
    <row r="79" ht="30" customHeight="1" s="344">
      <c r="A79" s="625" t="n"/>
      <c r="B79" s="625" t="n"/>
      <c r="C79" s="624" t="n"/>
      <c r="D79" s="615" t="n"/>
      <c r="E79" s="617" t="n"/>
    </row>
    <row r="80" ht="30" customHeight="1" s="344">
      <c r="A80" s="280" t="inlineStr">
        <is>
          <t>00-027-SL</t>
        </is>
      </c>
      <c r="B80" s="476" t="n"/>
      <c r="C80" s="624" t="n"/>
      <c r="D80" s="627" t="inlineStr">
        <is>
          <t>มือจับสแตนเลสประตูบานเปิด(ด้ามจับทรงเหลี่ยม)-สีเงิน</t>
        </is>
      </c>
      <c r="E80" s="614" t="n"/>
    </row>
    <row r="81" ht="30" customHeight="1" s="344">
      <c r="A81" s="625" t="n"/>
      <c r="B81" s="625" t="n"/>
      <c r="C81" s="624" t="n"/>
      <c r="D81" s="615" t="n"/>
      <c r="E81" s="617" t="n"/>
      <c r="G81" t="inlineStr">
        <is>
          <t xml:space="preserve"> </t>
        </is>
      </c>
    </row>
    <row r="82" ht="30" customHeight="1" s="344">
      <c r="A82" s="280" t="inlineStr">
        <is>
          <t>00-027-WH</t>
        </is>
      </c>
      <c r="B82" s="476" t="n"/>
      <c r="C82" s="624" t="n"/>
      <c r="D82" s="627" t="inlineStr">
        <is>
          <t>มือจับสแตนเลสประตูบานเปิด(ด้ามจับทรงเหลี่ยม)-สีขาว</t>
        </is>
      </c>
      <c r="E82" s="614" t="n"/>
    </row>
    <row r="83" ht="30" customHeight="1" s="344">
      <c r="A83" s="625" t="n"/>
      <c r="B83" s="625" t="n"/>
      <c r="C83" s="625" t="n"/>
      <c r="D83" s="615" t="n"/>
      <c r="E83" s="617" t="n"/>
    </row>
    <row r="84" ht="20.1" customHeight="1" s="344">
      <c r="A84" s="411" t="n"/>
      <c r="B84" s="412" t="n"/>
      <c r="C84" s="413" t="n"/>
      <c r="D84" s="412" t="n"/>
      <c r="E84" s="414" t="n"/>
    </row>
    <row r="85" ht="20.1" customHeight="1" s="344">
      <c r="A85" s="415" t="inlineStr">
        <is>
          <t>00-020-25</t>
        </is>
      </c>
      <c r="B85" s="476" t="n"/>
      <c r="C85" s="484" t="inlineStr">
        <is>
          <t>CONCEALED FLUSH BOLT / ชุดล็อค</t>
        </is>
      </c>
      <c r="D85" s="627" t="inlineStr">
        <is>
          <t>กลอนสวิง ขนาด 25เซนติเมตร</t>
        </is>
      </c>
      <c r="E85" s="619" t="n"/>
    </row>
    <row r="86" ht="20.1" customHeight="1" s="344">
      <c r="A86" s="415" t="inlineStr">
        <is>
          <t>00-020-50</t>
        </is>
      </c>
      <c r="B86" s="624" t="n"/>
      <c r="C86" s="624" t="n"/>
      <c r="D86" s="627" t="inlineStr">
        <is>
          <t>กลอนสวิง ขนาด 50เซนติเมตร</t>
        </is>
      </c>
      <c r="E86" s="619" t="n"/>
    </row>
    <row r="87" ht="20.1" customHeight="1" s="344">
      <c r="A87" s="415" t="inlineStr">
        <is>
          <t>00-020-90</t>
        </is>
      </c>
      <c r="B87" s="625" t="n"/>
      <c r="C87" s="625" t="n"/>
      <c r="D87" s="627" t="inlineStr">
        <is>
          <t>กลอนสวิง ขนาด 90เซนติเมตร</t>
        </is>
      </c>
      <c r="E87" s="619" t="n"/>
    </row>
    <row r="88" ht="20.1" customHeight="1" s="344">
      <c r="A88" s="404" t="n"/>
      <c r="B88" s="404" t="n"/>
      <c r="C88" s="416" t="n"/>
      <c r="D88" s="404" t="n"/>
      <c r="E88" s="414" t="n"/>
    </row>
    <row r="89" ht="60" customHeight="1" s="344">
      <c r="A89" s="415" t="inlineStr">
        <is>
          <t>02-015</t>
        </is>
      </c>
      <c r="B89" s="476" t="n"/>
      <c r="C89" s="484" t="inlineStr">
        <is>
          <t>FRAME SEAL / แผ่นประเก็นกันน้ำ</t>
        </is>
      </c>
      <c r="D89" s="280" t="inlineStr">
        <is>
          <t>ประเก็นกันน้ำ เฟรมบนบานเฟี๊ยม B24001 HEAD</t>
        </is>
      </c>
      <c r="E89" s="619" t="n"/>
    </row>
    <row r="90" ht="60" customHeight="1" s="344">
      <c r="A90" s="415" t="inlineStr">
        <is>
          <t>02-016</t>
        </is>
      </c>
      <c r="B90" s="476" t="n"/>
      <c r="C90" s="625" t="n"/>
      <c r="D90" s="280" t="inlineStr">
        <is>
          <t>ประเก็นกันน้ำ เฟรมล่างบานเฟี๊ยม B24003 SILL</t>
        </is>
      </c>
      <c r="E90" s="619" t="n"/>
    </row>
    <row r="91" ht="20.1" customHeight="1" s="344">
      <c r="A91" s="404" t="n"/>
      <c r="B91" s="404" t="n"/>
      <c r="C91" s="416" t="n"/>
      <c r="D91" s="404" t="n"/>
      <c r="E91" s="418" t="n"/>
    </row>
    <row r="92" ht="50.1" customHeight="1" s="344">
      <c r="A92" s="415" t="inlineStr">
        <is>
          <t>02-022</t>
        </is>
      </c>
      <c r="B92" s="476" t="n"/>
      <c r="C92" s="484" t="inlineStr">
        <is>
          <t>GASKET / ยาง</t>
        </is>
      </c>
      <c r="D92" s="628" t="inlineStr">
        <is>
          <t>(5 mm GLASS) INSERT GLAZING / 5mm ยางรอง</t>
        </is>
      </c>
      <c r="E92" s="619" t="n"/>
      <c r="F92" s="629" t="n"/>
    </row>
    <row r="93" ht="50.1" customHeight="1" s="344">
      <c r="A93" s="415" t="inlineStr">
        <is>
          <t>02-026</t>
        </is>
      </c>
      <c r="B93" s="476" t="n"/>
      <c r="C93" s="624" t="n"/>
      <c r="D93" s="280" t="inlineStr">
        <is>
          <t>FRAME SEAL-FOAM / ยางวงกบบานเฟี๊ยม ชนิดโฟม</t>
        </is>
      </c>
      <c r="E93" s="619" t="n"/>
    </row>
    <row r="94" ht="50.1" customHeight="1" s="344">
      <c r="A94" s="415" t="inlineStr">
        <is>
          <t>02-031</t>
        </is>
      </c>
      <c r="B94" s="499" t="n"/>
      <c r="C94" s="624" t="n"/>
      <c r="D94" s="628" t="inlineStr">
        <is>
          <t>SASH SEAL FOAM/ยางขอบกรอบบาน(วัสดุโฟม)</t>
        </is>
      </c>
      <c r="E94" s="619" t="n"/>
    </row>
    <row r="95" ht="50.1" customHeight="1" s="344">
      <c r="A95" s="415" t="inlineStr">
        <is>
          <t>02-032</t>
        </is>
      </c>
      <c r="B95" s="476" t="n"/>
      <c r="C95" s="624" t="n"/>
      <c r="D95" s="628" t="inlineStr">
        <is>
          <t>(6 mm GLASS) INSERT GLAZING / 6mm ยางรอง</t>
        </is>
      </c>
      <c r="E95" s="619" t="n"/>
    </row>
    <row r="96" ht="50.1" customHeight="1" s="344">
      <c r="A96" s="415" t="inlineStr">
        <is>
          <t>02-033</t>
        </is>
      </c>
      <c r="B96" s="476" t="n"/>
      <c r="C96" s="624" t="n"/>
      <c r="D96" s="628" t="inlineStr">
        <is>
          <t>ROLL IN WEDGE FOR GLASS 5 mm  /5mm ยางอัด</t>
        </is>
      </c>
      <c r="E96" s="619" t="n"/>
    </row>
    <row r="97" ht="50.1" customHeight="1" s="344">
      <c r="A97" s="415" t="inlineStr">
        <is>
          <t>02-034</t>
        </is>
      </c>
      <c r="B97" s="476" t="n"/>
      <c r="C97" s="624" t="n"/>
      <c r="D97" s="628" t="inlineStr">
        <is>
          <t>ROLL IN WEDGE FOR GLASS 6 mm  /6mm ยางอัด</t>
        </is>
      </c>
      <c r="E97" s="619" t="n"/>
    </row>
    <row r="98" ht="50.1" customHeight="1" s="344">
      <c r="A98" s="415" t="inlineStr">
        <is>
          <t>02-045</t>
        </is>
      </c>
      <c r="B98" s="499" t="n"/>
      <c r="C98" s="625" t="n"/>
      <c r="D98" s="628" t="inlineStr">
        <is>
          <t>ROLL IN WEDGE FOR GLASS 14 mm  /14mm ยางอัด</t>
        </is>
      </c>
      <c r="E98" s="619" t="n"/>
    </row>
    <row r="99" ht="20.1" customHeight="1" s="344">
      <c r="A99" s="404" t="n"/>
      <c r="B99" s="404" t="n"/>
      <c r="C99" s="416" t="n"/>
      <c r="D99" s="404" t="n"/>
      <c r="E99" s="418" t="n"/>
    </row>
    <row r="100" ht="15" customHeight="1" s="344">
      <c r="A100" s="280" t="inlineStr">
        <is>
          <t>00-040</t>
        </is>
      </c>
      <c r="B100" s="457" t="n"/>
      <c r="C100" s="484" t="inlineStr">
        <is>
          <t>CYLINDER / ชุดล็อค-ไส้กุญแจ</t>
        </is>
      </c>
      <c r="D100" s="280" t="inlineStr">
        <is>
          <t xml:space="preserve">ชุดล็อค กุญแจนอกบ้าน-ลูกบิดในบ้าน </t>
        </is>
      </c>
      <c r="E100" s="614" t="n"/>
    </row>
    <row r="101" ht="15" customHeight="1" s="344">
      <c r="A101" s="624" t="n"/>
      <c r="B101" s="624" t="n"/>
      <c r="C101" s="624" t="n"/>
      <c r="D101" s="630" t="n"/>
      <c r="E101" s="631" t="n"/>
    </row>
    <row r="102" ht="15" customHeight="1" s="344">
      <c r="A102" s="624" t="n"/>
      <c r="B102" s="624" t="n"/>
      <c r="C102" s="624" t="n"/>
      <c r="D102" s="630" t="n"/>
      <c r="E102" s="631" t="n"/>
    </row>
    <row r="103" ht="15" customHeight="1" s="344">
      <c r="A103" s="624" t="n"/>
      <c r="B103" s="624" t="n"/>
      <c r="C103" s="624" t="n"/>
      <c r="D103" s="630" t="n"/>
      <c r="E103" s="631" t="n"/>
    </row>
    <row r="104" ht="15" customHeight="1" s="344">
      <c r="A104" s="624" t="n"/>
      <c r="B104" s="624" t="n"/>
      <c r="C104" s="624" t="n"/>
      <c r="D104" s="630" t="n"/>
      <c r="E104" s="631" t="n"/>
    </row>
    <row r="105" ht="15" customHeight="1" s="344">
      <c r="A105" s="625" t="n"/>
      <c r="B105" s="624" t="n"/>
      <c r="C105" s="624" t="n"/>
      <c r="D105" s="615" t="n"/>
      <c r="E105" s="617" t="n"/>
      <c r="F105" s="629" t="n"/>
    </row>
    <row r="106" ht="15" customHeight="1" s="344">
      <c r="A106" s="280" t="inlineStr">
        <is>
          <t>00-041</t>
        </is>
      </c>
      <c r="B106" s="476" t="n"/>
      <c r="C106" s="624" t="n"/>
      <c r="D106" s="280" t="inlineStr">
        <is>
          <t>ชุดล็อค กุญแจนอกบ้าน-ในบ้าน</t>
        </is>
      </c>
      <c r="E106" s="614" t="n"/>
    </row>
    <row r="107" ht="15" customHeight="1" s="344">
      <c r="A107" s="624" t="n"/>
      <c r="B107" s="624" t="n"/>
      <c r="C107" s="624" t="n"/>
      <c r="D107" s="630" t="n"/>
      <c r="E107" s="631" t="n"/>
    </row>
    <row r="108" ht="15" customHeight="1" s="344">
      <c r="A108" s="624" t="n"/>
      <c r="B108" s="624" t="n"/>
      <c r="C108" s="624" t="n"/>
      <c r="D108" s="630" t="n"/>
      <c r="E108" s="631" t="n"/>
    </row>
    <row r="109" ht="15" customHeight="1" s="344">
      <c r="A109" s="624" t="n"/>
      <c r="B109" s="624" t="n"/>
      <c r="C109" s="624" t="n"/>
      <c r="D109" s="630" t="n"/>
      <c r="E109" s="631" t="n"/>
    </row>
    <row r="110" ht="15" customHeight="1" s="344">
      <c r="A110" s="624" t="n"/>
      <c r="B110" s="624" t="n"/>
      <c r="C110" s="624" t="n"/>
      <c r="D110" s="630" t="n"/>
      <c r="E110" s="631" t="n"/>
      <c r="F110" s="632" t="n"/>
    </row>
    <row r="111" ht="15" customHeight="1" s="344">
      <c r="A111" s="625" t="n"/>
      <c r="B111" s="625" t="n"/>
      <c r="C111" s="625" t="n"/>
      <c r="D111" s="615" t="n"/>
      <c r="E111" s="617" t="n"/>
      <c r="F111" s="632" t="n"/>
    </row>
    <row r="112" ht="20.1" customHeight="1" s="344">
      <c r="A112" s="404" t="n"/>
      <c r="B112" s="404" t="n"/>
      <c r="C112" s="416" t="n"/>
      <c r="D112" s="404" t="n"/>
      <c r="E112" s="418" t="n"/>
    </row>
    <row r="113" ht="60" customHeight="1" s="344">
      <c r="A113" s="415" t="inlineStr">
        <is>
          <t>05-001</t>
        </is>
      </c>
      <c r="B113" s="422" t="n"/>
      <c r="C113" s="484" t="inlineStr">
        <is>
          <t>BIFOLD HARDWARE / อุปกรณ์ชุดบานเฟี๊ยม</t>
        </is>
      </c>
      <c r="D113" s="280" t="inlineStr">
        <is>
          <t>STANDARD HINGE ONLY / บานพับระดับเดียวกัน</t>
        </is>
      </c>
      <c r="E113" s="619" t="n"/>
    </row>
    <row r="114" ht="60" customHeight="1" s="344">
      <c r="A114" s="415" t="inlineStr">
        <is>
          <t>05-002</t>
        </is>
      </c>
      <c r="B114" s="422" t="n"/>
      <c r="C114" s="624" t="n"/>
      <c r="D114" s="280" t="inlineStr">
        <is>
          <t>OFFSET HINGE ONLY / บานพับต่างระดับ</t>
        </is>
      </c>
      <c r="E114" s="619" t="n"/>
    </row>
    <row r="115" ht="60" customHeight="1" s="344">
      <c r="A115" s="415" t="inlineStr">
        <is>
          <t>05-003</t>
        </is>
      </c>
      <c r="B115" s="422" t="n"/>
      <c r="C115" s="624" t="n"/>
      <c r="D115" s="280" t="inlineStr">
        <is>
          <t>STANDARD HINGE SET-NO HANDLE / ชุดบานพับระดับเดียวกัน</t>
        </is>
      </c>
      <c r="E115" s="619" t="n"/>
    </row>
    <row r="116" ht="60" customHeight="1" s="344">
      <c r="A116" s="415" t="inlineStr">
        <is>
          <t>05-004</t>
        </is>
      </c>
      <c r="B116" s="422" t="n"/>
      <c r="C116" s="624" t="n"/>
      <c r="D116" s="628" t="inlineStr">
        <is>
          <t>STANDARD HINGE SET-WITH HANDLE / ชุดบานพับระดับเดียวกันและบานพับมือจับ</t>
        </is>
      </c>
      <c r="E116" s="619" t="n"/>
    </row>
    <row r="117" ht="60" customHeight="1" s="344">
      <c r="A117" s="415" t="inlineStr">
        <is>
          <t>05-005</t>
        </is>
      </c>
      <c r="B117" s="422" t="n"/>
      <c r="C117" s="624" t="n"/>
      <c r="D117" s="628" t="inlineStr">
        <is>
          <t>OFFSET HINGE SET-WITH HANDLE / ชุดบานพับต่างระดับและบานพับมือจับ</t>
        </is>
      </c>
      <c r="E117" s="619" t="n"/>
    </row>
    <row r="118" ht="60" customHeight="1" s="344">
      <c r="A118" s="415" t="inlineStr">
        <is>
          <t>05-006</t>
        </is>
      </c>
      <c r="B118" s="422" t="n"/>
      <c r="C118" s="624" t="n"/>
      <c r="D118" s="280" t="inlineStr">
        <is>
          <t>LEFT HAND PIVOT SET / แกนหมุนบานพับข้างซ้าย</t>
        </is>
      </c>
      <c r="E118" s="619" t="n"/>
    </row>
    <row r="119" ht="60" customHeight="1" s="344">
      <c r="A119" s="415" t="inlineStr">
        <is>
          <t>05-007</t>
        </is>
      </c>
      <c r="B119" s="422" t="n"/>
      <c r="C119" s="624" t="n"/>
      <c r="D119" s="280" t="inlineStr">
        <is>
          <t>RIGHT HAND PIVOT SET / แกนหมุนบานพับข้างขวา</t>
        </is>
      </c>
      <c r="E119" s="619" t="n"/>
    </row>
    <row r="120" ht="60" customHeight="1" s="344">
      <c r="A120" s="415" t="inlineStr">
        <is>
          <t>05-008</t>
        </is>
      </c>
      <c r="B120" s="422" t="n"/>
      <c r="C120" s="624" t="n"/>
      <c r="D120" s="280" t="inlineStr">
        <is>
          <t>LEFT HAND CARRIER SET / ชุดล้อบนและไกด์บานเปิดซ้าย</t>
        </is>
      </c>
      <c r="E120" s="619" t="n"/>
    </row>
    <row r="121" ht="60" customHeight="1" s="344">
      <c r="A121" s="415" t="inlineStr">
        <is>
          <t>05-009</t>
        </is>
      </c>
      <c r="B121" s="422" t="n"/>
      <c r="C121" s="624" t="n"/>
      <c r="D121" s="280" t="inlineStr">
        <is>
          <t>RIGHT HAND CARRIER SET / ชุดล้อบนและไกด์บานเปิดขวา</t>
        </is>
      </c>
      <c r="E121" s="619" t="n"/>
    </row>
    <row r="122" ht="60" customHeight="1" s="344">
      <c r="A122" s="415" t="inlineStr">
        <is>
          <t>05-010</t>
        </is>
      </c>
      <c r="B122" s="422" t="n"/>
      <c r="C122" s="624" t="n"/>
      <c r="D122" s="280" t="inlineStr">
        <is>
          <t>MEETING SET / ชุดล้อบนและไกด์บานเปิดกลาง</t>
        </is>
      </c>
      <c r="E122" s="619" t="n"/>
    </row>
    <row r="123" ht="60" customHeight="1" s="344">
      <c r="A123" s="415" t="inlineStr">
        <is>
          <t>05-011</t>
        </is>
      </c>
      <c r="B123" s="422" t="n"/>
      <c r="C123" s="624" t="n"/>
      <c r="D123" s="280" t="inlineStr">
        <is>
          <t>INTERMEDIATE SET / ชุดล้อบน, บานพับ และไกด์บานกลาง</t>
        </is>
      </c>
      <c r="E123" s="619" t="n"/>
    </row>
    <row r="124" ht="60" customHeight="1" s="344">
      <c r="A124" s="415" t="inlineStr">
        <is>
          <t>05-012</t>
        </is>
      </c>
      <c r="B124" s="422" t="n"/>
      <c r="C124" s="624" t="n"/>
      <c r="D124" s="280" t="inlineStr">
        <is>
          <t>STANDARD HINGE ONLY-WITH HANDLE / บานพับมือจับสแตนดาร์ด</t>
        </is>
      </c>
      <c r="E124" s="619" t="n"/>
    </row>
    <row r="125" ht="60" customHeight="1" s="344">
      <c r="A125" s="415" t="inlineStr">
        <is>
          <t>05-013</t>
        </is>
      </c>
      <c r="B125" s="422" t="n"/>
      <c r="C125" s="624" t="n"/>
      <c r="D125" s="280" t="inlineStr">
        <is>
          <t>OFFSET HINGE ONLY-WITH HANDLE / บานพับมือจับเยื้อง</t>
        </is>
      </c>
      <c r="E125" s="619" t="n"/>
    </row>
    <row r="126" ht="60" customHeight="1" s="344">
      <c r="A126" s="415" t="inlineStr">
        <is>
          <t>05-014</t>
        </is>
      </c>
      <c r="B126" s="422" t="n"/>
      <c r="C126" s="625" t="n"/>
      <c r="D126" s="280" t="inlineStr">
        <is>
          <t>TWIN BOLT / มือจับกลอนมัลติพอยท์-ล็อค</t>
        </is>
      </c>
      <c r="E126" s="619" t="n"/>
    </row>
    <row r="127" ht="20.1" customHeight="1" s="344">
      <c r="A127" s="411" t="n"/>
      <c r="B127" s="412" t="n"/>
      <c r="C127" s="413" t="n"/>
      <c r="D127" s="412" t="n"/>
      <c r="E127" s="414" t="n"/>
    </row>
    <row r="128" ht="60" customHeight="1" s="344">
      <c r="A128" s="415" t="inlineStr">
        <is>
          <t>02-037</t>
        </is>
      </c>
      <c r="B128" s="476" t="n"/>
      <c r="C128" s="498" t="inlineStr">
        <is>
          <t>ACCESSORIES / อุปกรณ์เสริม</t>
        </is>
      </c>
      <c r="D128" s="280" t="inlineStr">
        <is>
          <t>GLASS SETTING BLOCK 6X10-ยางรองกระจก</t>
        </is>
      </c>
      <c r="E128" s="619" t="n"/>
      <c r="F128" s="629" t="n"/>
    </row>
    <row r="129" ht="60" customHeight="1" s="344">
      <c r="A129" s="415" t="inlineStr">
        <is>
          <t>04-003</t>
        </is>
      </c>
      <c r="B129" s="499" t="n"/>
      <c r="C129" s="624" t="n"/>
      <c r="D129" s="499" t="inlineStr">
        <is>
          <t>FLUSH BOLT GUIDE-ไกด์บานเฟี๊ยม กลอนยาว(แกนกลม)</t>
        </is>
      </c>
      <c r="E129" s="619" t="n"/>
    </row>
    <row r="130" ht="60" customHeight="1" s="344">
      <c r="A130" s="415" t="inlineStr">
        <is>
          <t>04-004</t>
        </is>
      </c>
      <c r="B130" s="476" t="n"/>
      <c r="C130" s="624" t="n"/>
      <c r="D130" s="628" t="inlineStr">
        <is>
          <t>TRACK INSERT / ปิดร่องเฟรมบน</t>
        </is>
      </c>
      <c r="E130" s="619" t="n"/>
    </row>
    <row r="131" ht="60" customHeight="1" s="344">
      <c r="A131" s="415" t="inlineStr">
        <is>
          <t>04-009</t>
        </is>
      </c>
      <c r="B131" s="476" t="n"/>
      <c r="C131" s="624" t="n"/>
      <c r="D131" s="499" t="inlineStr">
        <is>
          <t>FLUSH BOLT GUIDE-ไกด์บานเฟี๊ยม กลอนยาวคู่(แกนเหลี่ยม)</t>
        </is>
      </c>
      <c r="E131" s="619" t="n"/>
    </row>
    <row r="132" ht="60" customHeight="1" s="344">
      <c r="A132" s="415" t="inlineStr">
        <is>
          <t>04-016</t>
        </is>
      </c>
      <c r="B132" s="476" t="n"/>
      <c r="C132" s="625" t="n"/>
      <c r="D132" s="280" t="inlineStr">
        <is>
          <t>FLUSH BOLT RECEIVER BI-FOLD-ฝาปิดรูกลอน บานเฟี๊ยม</t>
        </is>
      </c>
      <c r="E132" s="619" t="n"/>
    </row>
  </sheetData>
  <mergeCells count="132">
    <mergeCell ref="D60:D63"/>
    <mergeCell ref="B50:B53"/>
    <mergeCell ref="E55:E58"/>
    <mergeCell ref="A30:A33"/>
    <mergeCell ref="A45:A48"/>
    <mergeCell ref="C30:C33"/>
    <mergeCell ref="C45:C48"/>
    <mergeCell ref="B106:B111"/>
    <mergeCell ref="D86:E86"/>
    <mergeCell ref="A65:A68"/>
    <mergeCell ref="C65:C68"/>
    <mergeCell ref="D106:E111"/>
    <mergeCell ref="B78:B79"/>
    <mergeCell ref="D45:D48"/>
    <mergeCell ref="C40:C43"/>
    <mergeCell ref="E65:E68"/>
    <mergeCell ref="E40:E43"/>
    <mergeCell ref="B80:B81"/>
    <mergeCell ref="D125:E125"/>
    <mergeCell ref="C113:C126"/>
    <mergeCell ref="C60:C63"/>
    <mergeCell ref="B15:B18"/>
    <mergeCell ref="A1:E2"/>
    <mergeCell ref="D71:E71"/>
    <mergeCell ref="E25:E28"/>
    <mergeCell ref="D15:D18"/>
    <mergeCell ref="A10:A13"/>
    <mergeCell ref="D114:E114"/>
    <mergeCell ref="C100:C111"/>
    <mergeCell ref="D98:E98"/>
    <mergeCell ref="D80:E81"/>
    <mergeCell ref="D113:E113"/>
    <mergeCell ref="E50:E53"/>
    <mergeCell ref="A35:A38"/>
    <mergeCell ref="D10:D13"/>
    <mergeCell ref="D50:D53"/>
    <mergeCell ref="D115:E115"/>
    <mergeCell ref="C5:C8"/>
    <mergeCell ref="D65:D68"/>
    <mergeCell ref="D90:E90"/>
    <mergeCell ref="C20:C23"/>
    <mergeCell ref="E20:E23"/>
    <mergeCell ref="D131:E131"/>
    <mergeCell ref="C35:C38"/>
    <mergeCell ref="D74:E75"/>
    <mergeCell ref="D124:E124"/>
    <mergeCell ref="A74:A75"/>
    <mergeCell ref="B85:B87"/>
    <mergeCell ref="E15:E18"/>
    <mergeCell ref="D126:E126"/>
    <mergeCell ref="A76:A77"/>
    <mergeCell ref="D82:E83"/>
    <mergeCell ref="A3:E3"/>
    <mergeCell ref="B60:B63"/>
    <mergeCell ref="E30:E33"/>
    <mergeCell ref="D25:D28"/>
    <mergeCell ref="B30:B33"/>
    <mergeCell ref="D30:D33"/>
    <mergeCell ref="D118:E118"/>
    <mergeCell ref="D5:D8"/>
    <mergeCell ref="C92:C98"/>
    <mergeCell ref="D100:E105"/>
    <mergeCell ref="B55:B58"/>
    <mergeCell ref="D55:D58"/>
    <mergeCell ref="D129:E129"/>
    <mergeCell ref="D89:E89"/>
    <mergeCell ref="B45:B48"/>
    <mergeCell ref="A40:A43"/>
    <mergeCell ref="C72:C83"/>
    <mergeCell ref="D128:E128"/>
    <mergeCell ref="A78:A79"/>
    <mergeCell ref="A60:A63"/>
    <mergeCell ref="E35:E38"/>
    <mergeCell ref="A25:A28"/>
    <mergeCell ref="E5:E8"/>
    <mergeCell ref="D96:E96"/>
    <mergeCell ref="B82:B83"/>
    <mergeCell ref="D40:D43"/>
    <mergeCell ref="A80:A81"/>
    <mergeCell ref="E60:E63"/>
    <mergeCell ref="D120:E120"/>
    <mergeCell ref="A50:A53"/>
    <mergeCell ref="C50:C53"/>
    <mergeCell ref="A55:A58"/>
    <mergeCell ref="D116:E116"/>
    <mergeCell ref="C55:C58"/>
    <mergeCell ref="A82:A83"/>
    <mergeCell ref="B10:B13"/>
    <mergeCell ref="A20:A23"/>
    <mergeCell ref="D93:E93"/>
    <mergeCell ref="E45:E48"/>
    <mergeCell ref="C128:C132"/>
    <mergeCell ref="B5:B8"/>
    <mergeCell ref="D117:E117"/>
    <mergeCell ref="D92:E92"/>
    <mergeCell ref="A106:A111"/>
    <mergeCell ref="B20:B23"/>
    <mergeCell ref="D20:D23"/>
    <mergeCell ref="D85:E85"/>
    <mergeCell ref="A15:A18"/>
    <mergeCell ref="D94:E94"/>
    <mergeCell ref="B72:B73"/>
    <mergeCell ref="C15:C18"/>
    <mergeCell ref="B35:B38"/>
    <mergeCell ref="B100:B105"/>
    <mergeCell ref="D78:E79"/>
    <mergeCell ref="D72:E73"/>
    <mergeCell ref="C89:C90"/>
    <mergeCell ref="D119:E119"/>
    <mergeCell ref="A70:E70"/>
    <mergeCell ref="C10:C13"/>
    <mergeCell ref="E10:E13"/>
    <mergeCell ref="D95:E95"/>
    <mergeCell ref="C25:C28"/>
    <mergeCell ref="D97:E97"/>
    <mergeCell ref="D87:E87"/>
    <mergeCell ref="B40:B43"/>
    <mergeCell ref="B74:B75"/>
    <mergeCell ref="D122:E122"/>
    <mergeCell ref="A72:A73"/>
    <mergeCell ref="A100:A105"/>
    <mergeCell ref="A5:A8"/>
    <mergeCell ref="C85:C87"/>
    <mergeCell ref="B65:B68"/>
    <mergeCell ref="B76:B77"/>
    <mergeCell ref="D121:E121"/>
    <mergeCell ref="D130:E130"/>
    <mergeCell ref="D35:D38"/>
    <mergeCell ref="D76:E77"/>
    <mergeCell ref="D123:E123"/>
    <mergeCell ref="B25:B28"/>
    <mergeCell ref="D132:E13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2">
    <tabColor theme="5" tint="-0.249977111117893"/>
    <outlinePr summaryBelow="1" summaryRight="1"/>
    <pageSetUpPr/>
  </sheetPr>
  <dimension ref="A2:AB534"/>
  <sheetViews>
    <sheetView showGridLines="0" view="pageBreakPreview" topLeftCell="A172" zoomScale="75" zoomScaleNormal="75" zoomScaleSheetLayoutView="75" workbookViewId="0">
      <selection activeCell="F186" sqref="F186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4.109375" bestFit="1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4.44140625" customWidth="1" style="344" min="8" max="8"/>
    <col width="11.109375" bestFit="1" customWidth="1" style="344" min="9" max="9"/>
    <col width="11.6640625" customWidth="1" style="112" min="10" max="10"/>
    <col hidden="1" outlineLevel="1" width="23.6640625" customWidth="1" style="344" min="14" max="14"/>
    <col hidden="1" outlineLevel="1" width="25.6640625" customWidth="1" style="344" min="15" max="15"/>
    <col hidden="1" outlineLevel="1" width="38.88671875" customWidth="1" style="344" min="16" max="16"/>
    <col hidden="1" outlineLevel="1" width="11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8.33203125" customWidth="1" style="344" min="21" max="21"/>
    <col hidden="1" outlineLevel="1" width="11.109375" customWidth="1" style="344" min="22" max="22"/>
    <col hidden="1" outlineLevel="1" width="10.4414062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240-2 Panel (L)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FG-240-2PL-1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6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Mini Mockup</t>
        </is>
      </c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 (มาตรฐาน)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500</v>
      </c>
      <c r="N123" s="248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700</v>
      </c>
      <c r="K126" s="507" t="n"/>
      <c r="L126" s="507" t="n"/>
      <c r="N126" s="248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8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 :</t>
        </is>
      </c>
      <c r="D129" s="637" t="inlineStr">
        <is>
          <t>Standard (มาตรฐาน)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4</v>
      </c>
      <c r="U133" s="283" t="inlineStr">
        <is>
          <t>(W-182-113.25)/2</t>
        </is>
      </c>
      <c r="V133" s="285">
        <f>($J$126-182-113.25)/2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4</v>
      </c>
      <c r="U134" s="143" t="inlineStr">
        <is>
          <t>(W-182-113.25)/2</t>
        </is>
      </c>
      <c r="V134" s="285">
        <f>($J$126-182-113.25)/2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4</v>
      </c>
      <c r="U135" s="240" t="inlineStr">
        <is>
          <t>(W-182-113.25)/2</t>
        </is>
      </c>
      <c r="V135" s="285">
        <f>($J$126-182-113.25)/2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  <c r="R140" s="278" t="n"/>
      <c r="S140" s="278" t="n"/>
      <c r="T140" s="278" t="n"/>
      <c r="U140" s="278" t="n"/>
      <c r="V140" s="278" t="n"/>
      <c r="W140" s="278" t="n"/>
      <c r="X140" s="278" t="n"/>
      <c r="Y140" s="278" t="n"/>
      <c r="Z140" s="278" t="n"/>
      <c r="AA140" s="278" t="n"/>
      <c r="AB140" s="278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2</v>
      </c>
      <c r="H141" s="143" t="inlineStr">
        <is>
          <t>45° (W-60-(2+1)×4)/2</t>
        </is>
      </c>
      <c r="I141" s="178">
        <f>($J$126-60-(2+1)*4)/2</f>
        <v/>
      </c>
      <c r="J141" s="131">
        <f>$J$120*G141</f>
        <v/>
      </c>
      <c r="N141" s="287" t="n"/>
      <c r="R141" s="278" t="n"/>
      <c r="S141" s="278" t="n"/>
      <c r="T141" s="278" t="n"/>
      <c r="U141" s="278" t="n"/>
      <c r="V141" s="278" t="n"/>
      <c r="W141" s="278" t="n"/>
      <c r="X141" s="278" t="n"/>
      <c r="Y141" s="278" t="n"/>
      <c r="Z141" s="278" t="n"/>
      <c r="AA141" s="278" t="n"/>
      <c r="AB141" s="278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2</v>
      </c>
      <c r="H142" s="143" t="inlineStr">
        <is>
          <t>45° (W-60-(2+1)×4)/2</t>
        </is>
      </c>
      <c r="I142" s="178">
        <f>($J$126-60-(2+1)*4)/2</f>
        <v/>
      </c>
      <c r="J142" s="131">
        <f>$J$120*G142</f>
        <v/>
      </c>
      <c r="N142" s="287" t="n"/>
      <c r="R142" s="278" t="n"/>
      <c r="S142" s="278" t="n"/>
      <c r="T142" s="278" t="n"/>
      <c r="U142" s="278" t="n"/>
      <c r="V142" s="278" t="n"/>
      <c r="W142" s="278" t="n"/>
      <c r="X142" s="278" t="n"/>
      <c r="Y142" s="278" t="n"/>
      <c r="Z142" s="278" t="n"/>
      <c r="AA142" s="278" t="n"/>
      <c r="AB142" s="278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  <c r="R143" s="278" t="n"/>
      <c r="S143" s="278" t="n"/>
      <c r="T143" s="278" t="n"/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  <c r="R144" s="278" t="n"/>
      <c r="S144" s="278" t="n"/>
      <c r="T144" s="278" t="n"/>
      <c r="U144" s="278" t="n"/>
      <c r="V144" s="278" t="n"/>
      <c r="W144" s="278" t="n"/>
      <c r="X144" s="278" t="n"/>
      <c r="Y144" s="278" t="n"/>
      <c r="Z144" s="278" t="n"/>
      <c r="AA144" s="278" t="n"/>
      <c r="AB144" s="278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44">
        <f>IF($D$127=5,W133,IF($D$127=6,W133,IF($D$127=8,W134,IF($D$127=10,W134,IF($D$127=12,W134,IF($D$127=14,W135,IF($D$127=18,W135,IF($D$127=20,W135,IF($D$127=22,W135,)))))))))</f>
        <v/>
      </c>
      <c r="N145" s="287" t="n"/>
      <c r="R145" s="278" t="n"/>
      <c r="S145" s="278" t="n"/>
      <c r="T145" s="278" t="n"/>
      <c r="U145" s="278" t="n"/>
      <c r="V145" s="278" t="n"/>
      <c r="W145" s="278" t="n"/>
      <c r="X145" s="278" t="n"/>
      <c r="Y145" s="278" t="n"/>
      <c r="Z145" s="278" t="n"/>
      <c r="AA145" s="278" t="n"/>
      <c r="AB145" s="278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44">
        <f>IF($D$127=5,W136,IF($D$127=6,W136,IF($D$127=8,W137,IF($D$127=10,W137,IF($D$127=12,W137,IF($D$127=14,W138,IF($D$127=18,W138,IF($D$127=20,W138,IF($D$127=22,W138,)))))))))</f>
        <v/>
      </c>
      <c r="N146" s="287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44" t="n"/>
      <c r="J147" s="131">
        <f>$J$120*G147</f>
        <v/>
      </c>
      <c r="N147" s="287" t="n"/>
      <c r="R147" s="278" t="n"/>
      <c r="S147" s="278" t="n"/>
      <c r="T147" s="278" t="n"/>
      <c r="U147" s="278" t="n"/>
      <c r="V147" s="278" t="n"/>
      <c r="W147" s="278" t="n"/>
      <c r="X147" s="278" t="n"/>
      <c r="Y147" s="278" t="n"/>
      <c r="Z147" s="278" t="n"/>
      <c r="AA147" s="278" t="n"/>
      <c r="AB147" s="278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44" t="n"/>
      <c r="J148" s="131">
        <f>$J$120*G148</f>
        <v/>
      </c>
      <c r="N148" s="287" t="n"/>
      <c r="R148" s="278" t="n"/>
      <c r="S148" s="278" t="n"/>
      <c r="T148" s="278" t="n"/>
      <c r="U148" s="278" t="n"/>
      <c r="V148" s="278" t="n"/>
      <c r="W148" s="278" t="n"/>
      <c r="X148" s="278" t="n"/>
      <c r="Y148" s="278" t="n"/>
      <c r="Z148" s="278" t="n"/>
      <c r="AA148" s="278" t="n"/>
      <c r="AB148" s="278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44" t="n"/>
      <c r="J149" s="131">
        <f>$J$120*G149</f>
        <v/>
      </c>
      <c r="N149" s="287" t="n"/>
      <c r="R149" s="278" t="n"/>
      <c r="S149" s="278" t="n"/>
      <c r="T149" s="278" t="n"/>
      <c r="U149" s="278" t="n"/>
      <c r="V149" s="278" t="n"/>
      <c r="W149" s="278" t="n"/>
      <c r="X149" s="278" t="n"/>
      <c r="Y149" s="278" t="n"/>
      <c r="Z149" s="278" t="n"/>
      <c r="AA149" s="278" t="n"/>
      <c r="AB149" s="278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  <c r="R150" s="278" t="n"/>
      <c r="S150" s="278" t="n"/>
      <c r="T150" s="278" t="n"/>
      <c r="U150" s="278" t="n"/>
      <c r="V150" s="278" t="n"/>
      <c r="W150" s="278" t="n"/>
      <c r="X150" s="278" t="n"/>
      <c r="Y150" s="278" t="n"/>
      <c r="Z150" s="278" t="n"/>
      <c r="AA150" s="278" t="n"/>
      <c r="AB150" s="278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>
        <f>$J$120*G151</f>
        <v/>
      </c>
      <c r="N151" s="287" t="n"/>
      <c r="R151" s="278" t="n"/>
      <c r="S151" s="278" t="n"/>
      <c r="T151" s="278" t="n"/>
      <c r="U151" s="278" t="n"/>
      <c r="V151" s="278" t="n"/>
      <c r="W151" s="278" t="n"/>
      <c r="X151" s="278" t="n"/>
      <c r="Y151" s="278" t="n"/>
      <c r="Z151" s="278" t="n"/>
      <c r="AA151" s="278" t="n"/>
      <c r="AB151" s="278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  <c r="R152" s="278" t="n"/>
      <c r="S152" s="278" t="n"/>
      <c r="T152" s="278" t="n"/>
      <c r="U152" s="278" t="n"/>
      <c r="V152" s="278" t="n"/>
      <c r="W152" s="278" t="n"/>
      <c r="X152" s="278" t="n"/>
      <c r="Y152" s="278" t="n"/>
      <c r="Z152" s="278" t="n"/>
      <c r="AA152" s="278" t="n"/>
      <c r="AB152" s="278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  <c r="R153" s="278" t="n"/>
      <c r="S153" s="278" t="n"/>
      <c r="T153" s="278" t="n"/>
      <c r="U153" s="278" t="n"/>
      <c r="V153" s="278" t="n"/>
      <c r="W153" s="278" t="n"/>
      <c r="X153" s="278" t="n"/>
      <c r="Y153" s="278" t="n"/>
      <c r="Z153" s="278" t="n"/>
      <c r="AA153" s="278" t="n"/>
      <c r="AB153" s="278" t="n"/>
    </row>
    <row r="154" ht="18" customFormat="1" customHeight="1" s="278">
      <c r="A154" s="143">
        <f>IF(B154="","",+A153+1)</f>
        <v/>
      </c>
      <c r="B154" s="140" t="n"/>
      <c r="C154" s="140" t="n"/>
      <c r="D154" s="139" t="n"/>
      <c r="E154" s="143" t="n"/>
      <c r="F154" s="139" t="n"/>
      <c r="G154" s="143" t="n"/>
      <c r="H154" s="143" t="n"/>
      <c r="I154" s="144" t="n"/>
      <c r="J154" s="131">
        <f>$J$120*G154</f>
        <v/>
      </c>
      <c r="N154" s="287" t="n"/>
    </row>
    <row r="155" ht="18" customFormat="1" customHeight="1" s="278">
      <c r="A155" s="143">
        <f>IF(B155="","",+A154+1)</f>
        <v/>
      </c>
      <c r="B155" s="140" t="n"/>
      <c r="C155" s="140" t="n"/>
      <c r="D155" s="139" t="n"/>
      <c r="E155" s="143" t="n"/>
      <c r="F155" s="139" t="n"/>
      <c r="G155" s="143" t="n"/>
      <c r="H155" s="143" t="n"/>
      <c r="I155" s="144" t="n"/>
      <c r="J155" s="131">
        <f>$J$120*G155</f>
        <v/>
      </c>
      <c r="N155" s="287" t="n"/>
    </row>
    <row r="156" ht="18" customFormat="1" customHeight="1" s="278">
      <c r="A156" s="143">
        <f>IF(B156="","",+A155+1)</f>
        <v/>
      </c>
      <c r="B156" s="140" t="n"/>
      <c r="C156" s="140" t="n"/>
      <c r="D156" s="139" t="n"/>
      <c r="E156" s="143" t="n"/>
      <c r="F156" s="139" t="n"/>
      <c r="G156" s="143" t="n"/>
      <c r="H156" s="143" t="n"/>
      <c r="I156" s="144" t="n"/>
      <c r="J156" s="131">
        <f>$J$120*G156</f>
        <v/>
      </c>
      <c r="N156" s="287" t="n"/>
    </row>
    <row r="157" ht="18" customFormat="1" customHeight="1" s="278" thickBot="1">
      <c r="A157" s="143">
        <f>IF(B157="","",+A156+1)</f>
        <v/>
      </c>
      <c r="B157" s="207" t="n"/>
      <c r="C157" s="207" t="n"/>
      <c r="D157" s="208" t="n"/>
      <c r="E157" s="209" t="n"/>
      <c r="F157" s="208" t="n"/>
      <c r="G157" s="209" t="n"/>
      <c r="H157" s="209" t="n"/>
      <c r="I157" s="171" t="n"/>
      <c r="J157" s="172">
        <f>$J$120*G157</f>
        <v/>
      </c>
    </row>
    <row r="158" outlineLevel="1" ht="27" customFormat="1" customHeight="1" s="278" thickBot="1">
      <c r="A158" s="169" t="inlineStr">
        <is>
          <t>ITEM</t>
        </is>
      </c>
      <c r="B158" s="169" t="inlineStr">
        <is>
          <t>THAI</t>
        </is>
      </c>
      <c r="C158" s="169" t="inlineStr">
        <is>
          <t>DESCRIPTION</t>
        </is>
      </c>
      <c r="D158" s="169" t="inlineStr">
        <is>
          <t>DIE NO.</t>
        </is>
      </c>
      <c r="E158" s="169" t="inlineStr">
        <is>
          <t>KG/m</t>
        </is>
      </c>
      <c r="F158" s="177" t="inlineStr">
        <is>
          <t>TOTAL
LENGTH/SET(mm)</t>
        </is>
      </c>
      <c r="G158" s="169" t="inlineStr">
        <is>
          <t>LENGTH/SET(m)</t>
        </is>
      </c>
      <c r="H158" s="170" t="inlineStr">
        <is>
          <t>TAKE OFF/6.4M</t>
        </is>
      </c>
      <c r="I158" s="540" t="n"/>
    </row>
    <row r="159" outlineLevel="1" ht="15" customFormat="1" customHeight="1" s="278">
      <c r="A159" s="21">
        <f>IF(B159="","",1)</f>
        <v/>
      </c>
      <c r="B159" s="173">
        <f>B133</f>
        <v/>
      </c>
      <c r="C159" s="173">
        <f>C133</f>
        <v/>
      </c>
      <c r="D159" s="577">
        <f>VLOOKUP(C159,$C$133:$H$157,2,0)</f>
        <v/>
      </c>
      <c r="E159" s="175">
        <f>VLOOKUP(C159,$C$133:$H$157,3,0)</f>
        <v/>
      </c>
      <c r="F159" s="175">
        <f>VLOOKUP(C159,$C$133:$J$157,7,0)</f>
        <v/>
      </c>
      <c r="G159" s="175">
        <f>VLOOKUP(C159,$C$133:$J$157,8,0)</f>
        <v/>
      </c>
      <c r="H159" s="176">
        <f>ROUNDUP((F159*G159)/6400,0)</f>
        <v/>
      </c>
      <c r="I159" s="500" t="n"/>
    </row>
    <row r="160" outlineLevel="1" ht="15" customFormat="1" customHeight="1" s="278">
      <c r="A160" s="213">
        <f>IF(B160="","",+A159+1)</f>
        <v/>
      </c>
      <c r="B160" s="173">
        <f>B134</f>
        <v/>
      </c>
      <c r="C160" s="173">
        <f>C134</f>
        <v/>
      </c>
      <c r="D160" s="577">
        <f>VLOOKUP(C160,$C$133:$H$157,2,0)</f>
        <v/>
      </c>
      <c r="E160" s="175">
        <f>VLOOKUP(C160,$C$133:$H$157,3,0)</f>
        <v/>
      </c>
      <c r="F160" s="175">
        <f>VLOOKUP(C160,$C$133:$I$157,7,0)</f>
        <v/>
      </c>
      <c r="G160" s="175">
        <f>VLOOKUP(C160,$C$133:$J$157,8,0)</f>
        <v/>
      </c>
      <c r="H160" s="176">
        <f>ROUNDUP((F160*G160)/6400,0)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B135</f>
        <v/>
      </c>
      <c r="C161" s="173">
        <f>C135</f>
        <v/>
      </c>
      <c r="D161" s="577">
        <f>VLOOKUP(C161,$C$133:$H$157,2,0)</f>
        <v/>
      </c>
      <c r="E161" s="175">
        <f>VLOOKUP(C161,$C$133:$H$157,3,0)</f>
        <v/>
      </c>
      <c r="F161" s="175">
        <f>VLOOKUP(C161,$C$133:$I$157,7,0)</f>
        <v/>
      </c>
      <c r="G161" s="175">
        <f>VLOOKUP(C161,$C$133:$J$157,8,0)</f>
        <v/>
      </c>
      <c r="H161" s="176">
        <f>ROUNDUP((F161*G161)/6400,0)</f>
        <v/>
      </c>
      <c r="I161" s="500" t="n"/>
    </row>
    <row r="162" outlineLevel="1" ht="15" customFormat="1" customHeight="1" s="278">
      <c r="A162" s="213">
        <f>IF(B162="","",+A161+1)</f>
        <v/>
      </c>
      <c r="B162" s="173">
        <f>B136</f>
        <v/>
      </c>
      <c r="C162" s="173">
        <f>C136</f>
        <v/>
      </c>
      <c r="D162" s="577">
        <f>VLOOKUP(C162,$C$133:$H$157,2,0)</f>
        <v/>
      </c>
      <c r="E162" s="175">
        <f>VLOOKUP(C162,$C$133:$H$157,3,0)</f>
        <v/>
      </c>
      <c r="F162" s="175">
        <f>VLOOKUP(C162,$C$133:$I$157,7,0)</f>
        <v/>
      </c>
      <c r="G162" s="175">
        <f>VLOOKUP(C162,$C$133:$J$157,8,0)</f>
        <v/>
      </c>
      <c r="H162" s="176">
        <f>ROUNDUP((F162*G162)/6400,0)</f>
        <v/>
      </c>
      <c r="I162" s="500" t="n"/>
    </row>
    <row r="163" outlineLevel="1" ht="15" customFormat="1" customHeight="1" s="278">
      <c r="A163" s="213">
        <f>IF(B163="","",+A162+1)</f>
        <v/>
      </c>
      <c r="B163" s="173">
        <f>B137</f>
        <v/>
      </c>
      <c r="C163" s="173">
        <f>C137</f>
        <v/>
      </c>
      <c r="D163" s="643">
        <f>VLOOKUP(C163,$C$133:$H$157,2,0)</f>
        <v/>
      </c>
      <c r="E163" s="175">
        <f>VLOOKUP(C163,$C$133:$H$157,3,0)</f>
        <v/>
      </c>
      <c r="F163" s="175">
        <f>VLOOKUP(C163,$C$133:$I$157,7,0)</f>
        <v/>
      </c>
      <c r="G163" s="175">
        <f>VLOOKUP(C163,$C$133:$J$157,8,0)</f>
        <v/>
      </c>
      <c r="H163" s="516">
        <f>ROUNDUP(((F163*G163)+(F164*G164))/6400,0)</f>
        <v/>
      </c>
      <c r="I163" s="506" t="n"/>
    </row>
    <row r="164" outlineLevel="1" ht="15" customFormat="1" customHeight="1" s="278">
      <c r="A164" s="213">
        <f>IF(B164="","",+A163+1)</f>
        <v/>
      </c>
      <c r="B164" s="173">
        <f>B138</f>
        <v/>
      </c>
      <c r="C164" s="173">
        <f>C138</f>
        <v/>
      </c>
      <c r="D164" s="625" t="n"/>
      <c r="E164" s="175">
        <f>VLOOKUP(C164,$C$133:$H$157,3,0)</f>
        <v/>
      </c>
      <c r="F164" s="175">
        <f>VLOOKUP(C164,$C$133:$I$157,7,0)</f>
        <v/>
      </c>
      <c r="G164" s="175">
        <f>VLOOKUP(C164,$C$133:$J$157,8,0)</f>
        <v/>
      </c>
      <c r="H164" s="644" t="n"/>
    </row>
    <row r="165" outlineLevel="1" ht="15" customFormat="1" customHeight="1" s="278">
      <c r="A165" s="213">
        <f>IF(B165="","",+A164+1)</f>
        <v/>
      </c>
      <c r="B165" s="173">
        <f>B139</f>
        <v/>
      </c>
      <c r="C165" s="173">
        <f>C139</f>
        <v/>
      </c>
      <c r="D165" s="643">
        <f>VLOOKUP(C165,$C$133:$H$157,2,0)</f>
        <v/>
      </c>
      <c r="E165" s="175">
        <f>VLOOKUP(C165,$C$133:$H$157,3,0)</f>
        <v/>
      </c>
      <c r="F165" s="175">
        <f>VLOOKUP(C165,$C$133:$I$157,7,0)</f>
        <v/>
      </c>
      <c r="G165" s="175">
        <f>VLOOKUP(C165,$C$133:$J$157,8,0)</f>
        <v/>
      </c>
      <c r="H165" s="516">
        <f>ROUNDUP(((F165*G165)+(F166*G166))/6400,0)</f>
        <v/>
      </c>
      <c r="I165" s="500" t="n"/>
    </row>
    <row r="166" outlineLevel="1" ht="15" customFormat="1" customHeight="1" s="278">
      <c r="A166" s="213">
        <f>IF(B166="","",+A165+1)</f>
        <v/>
      </c>
      <c r="B166" s="173">
        <f>B140</f>
        <v/>
      </c>
      <c r="C166" s="173">
        <f>C140</f>
        <v/>
      </c>
      <c r="D166" s="625" t="n"/>
      <c r="E166" s="175">
        <f>VLOOKUP(C166,$C$133:$H$157,3,0)</f>
        <v/>
      </c>
      <c r="F166" s="175">
        <f>VLOOKUP(C166,$C$133:$I$157,7,0)</f>
        <v/>
      </c>
      <c r="G166" s="175">
        <f>VLOOKUP(C166,$C$133:$J$157,8,0)</f>
        <v/>
      </c>
      <c r="H166" s="644" t="n"/>
      <c r="I166" s="533" t="n"/>
    </row>
    <row r="167" outlineLevel="1" ht="13.8" customFormat="1" customHeight="1" s="278">
      <c r="A167" s="213">
        <f>IF(B167="","",+A166+1)</f>
        <v/>
      </c>
      <c r="B167" s="173">
        <f>B141</f>
        <v/>
      </c>
      <c r="C167" s="173">
        <f>C141</f>
        <v/>
      </c>
      <c r="D167" s="643">
        <f>VLOOKUP(C167,$C$133:$H$157,2,0)</f>
        <v/>
      </c>
      <c r="E167" s="175">
        <f>VLOOKUP(C167,$C$133:$H$157,3,0)</f>
        <v/>
      </c>
      <c r="F167" s="175">
        <f>VLOOKUP(C167,$C$133:$I$157,7,0)</f>
        <v/>
      </c>
      <c r="G167" s="175">
        <f>VLOOKUP(C167,$C$133:$J$157,8,0)</f>
        <v/>
      </c>
      <c r="H167" s="516">
        <f>ROUNDUP(((F167*G167)+(F168*G168)+(F169*G169)+(F170*G170))/6400,0)</f>
        <v/>
      </c>
      <c r="I167" s="645" t="n"/>
    </row>
    <row r="168" outlineLevel="1" ht="13.8" customFormat="1" customHeight="1" s="278">
      <c r="A168" s="213">
        <f>IF(B168="","",+A167+1)</f>
        <v/>
      </c>
      <c r="B168" s="173">
        <f>B142</f>
        <v/>
      </c>
      <c r="C168" s="173">
        <f>C142</f>
        <v/>
      </c>
      <c r="D168" s="624" t="n"/>
      <c r="E168" s="175">
        <f>VLOOKUP(C168,$C$133:$H$157,3,0)</f>
        <v/>
      </c>
      <c r="F168" s="175">
        <f>VLOOKUP(C168,$C$133:$I$157,7,0)</f>
        <v/>
      </c>
      <c r="G168" s="175">
        <f>VLOOKUP(C168,$C$133:$J$157,8,0)</f>
        <v/>
      </c>
      <c r="H168" s="646" t="n"/>
      <c r="I168" s="645" t="n"/>
    </row>
    <row r="169" outlineLevel="1" ht="13.8" customFormat="1" customHeight="1" s="278">
      <c r="A169" s="213">
        <f>IF(B169="","",+A168+1)</f>
        <v/>
      </c>
      <c r="B169" s="173">
        <f>B143</f>
        <v/>
      </c>
      <c r="C169" s="173">
        <f>C143</f>
        <v/>
      </c>
      <c r="D169" s="624" t="n"/>
      <c r="E169" s="175">
        <f>VLOOKUP(C169,$C$133:$H$157,3,0)</f>
        <v/>
      </c>
      <c r="F169" s="175">
        <f>VLOOKUP(C169,$C$133:$I$157,7,0)</f>
        <v/>
      </c>
      <c r="G169" s="175">
        <f>VLOOKUP(C169,$C$133:$J$157,8,0)</f>
        <v/>
      </c>
      <c r="H169" s="646" t="n"/>
      <c r="I169" s="645" t="n"/>
    </row>
    <row r="170" outlineLevel="1" ht="13.8" customFormat="1" customHeight="1" s="278">
      <c r="A170" s="213">
        <f>IF(B170="","",+A169+1)</f>
        <v/>
      </c>
      <c r="B170" s="173">
        <f>B144</f>
        <v/>
      </c>
      <c r="C170" s="173">
        <f>C144</f>
        <v/>
      </c>
      <c r="D170" s="625" t="n"/>
      <c r="E170" s="175">
        <f>VLOOKUP(C170,$C$133:$H$157,3,0)</f>
        <v/>
      </c>
      <c r="F170" s="175">
        <f>VLOOKUP(C170,$C$133:$I$157,7,0)</f>
        <v/>
      </c>
      <c r="G170" s="175">
        <f>VLOOKUP(C170,$C$133:$J$157,8,0)</f>
        <v/>
      </c>
      <c r="H170" s="644" t="n"/>
      <c r="I170" s="533" t="n"/>
    </row>
    <row r="171" outlineLevel="1" ht="13.8" customFormat="1" customHeight="1" s="278">
      <c r="A171" s="213">
        <f>IF(B171="","",+A170+1)</f>
        <v/>
      </c>
      <c r="B171" s="173">
        <f>B145</f>
        <v/>
      </c>
      <c r="C171" s="173">
        <f>C145</f>
        <v/>
      </c>
      <c r="D171" s="647">
        <f>VLOOKUP(C171,$C$133:$H$157,2,0)</f>
        <v/>
      </c>
      <c r="E171" s="175">
        <f>VLOOKUP(C171,$C$133:$H$157,3,0)</f>
        <v/>
      </c>
      <c r="F171" s="175">
        <f>VLOOKUP(C171,$C$133:$I$157,7,0)</f>
        <v/>
      </c>
      <c r="G171" s="175">
        <f>VLOOKUP(C171,$C$133:$J$157,8,0)</f>
        <v/>
      </c>
      <c r="H171" s="573">
        <f>ROUNDUP(((F171*G171)+(F172*G172))/6400,0)</f>
        <v/>
      </c>
      <c r="I171" s="645" t="n"/>
    </row>
    <row r="172" outlineLevel="1" customFormat="1" s="278" thickBot="1">
      <c r="A172" s="213">
        <f>IF(B172="","",+A171+1)</f>
        <v/>
      </c>
      <c r="B172" s="173">
        <f>B146</f>
        <v/>
      </c>
      <c r="C172" s="173">
        <f>C146</f>
        <v/>
      </c>
      <c r="D172" s="648" t="n"/>
      <c r="E172" s="175">
        <f>VLOOKUP(C172,$C$133:$H$157,3,0)</f>
        <v/>
      </c>
      <c r="F172" s="175">
        <f>VLOOKUP(C172,$C$133:$I$157,7,0)</f>
        <v/>
      </c>
      <c r="G172" s="175">
        <f>VLOOKUP(C172,$C$133:$J$157,8,0)</f>
        <v/>
      </c>
      <c r="H172" s="649" t="n"/>
      <c r="I172" s="500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ตัวรับกลอน</t>
        </is>
      </c>
      <c r="C175" s="140" t="inlineStr">
        <is>
          <t xml:space="preserve">FLUSH BOLT RECEIVER </t>
        </is>
      </c>
      <c r="D175" s="139" t="inlineStr">
        <is>
          <t>04-016</t>
        </is>
      </c>
      <c r="E175" s="143" t="n"/>
      <c r="F175" s="143" t="inlineStr">
        <is>
          <t>04-016</t>
        </is>
      </c>
      <c r="G175" s="242" t="inlineStr">
        <is>
          <t>PC</t>
        </is>
      </c>
      <c r="H175" s="143" t="n">
        <v>1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หมอนรองกระจก</t>
        </is>
      </c>
      <c r="C176" s="140" t="inlineStr">
        <is>
          <t>SETTING BLOCK</t>
        </is>
      </c>
      <c r="D176" s="139" t="inlineStr">
        <is>
          <t>02-037</t>
        </is>
      </c>
      <c r="E176" s="143" t="n"/>
      <c r="F176" s="143" t="inlineStr">
        <is>
          <t>02-037</t>
        </is>
      </c>
      <c r="G176" s="143" t="inlineStr">
        <is>
          <t>PC</t>
        </is>
      </c>
      <c r="H176" s="143" t="n">
        <v>4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ประเก็นเฟรมบน</t>
        </is>
      </c>
      <c r="C177" s="140" t="inlineStr">
        <is>
          <t>FRAME SEAL BI-FOLD HEAD (L/R)</t>
        </is>
      </c>
      <c r="D177" s="139" t="inlineStr">
        <is>
          <t>02-015</t>
        </is>
      </c>
      <c r="E177" s="143" t="n"/>
      <c r="F177" s="143" t="inlineStr">
        <is>
          <t>02-015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ประเก็นเฟรมล่าง</t>
        </is>
      </c>
      <c r="C178" s="140" t="inlineStr">
        <is>
          <t>FRAME SEAL BI-FOLD SILL (L/R)</t>
        </is>
      </c>
      <c r="D178" s="139" t="inlineStr">
        <is>
          <t>02-016</t>
        </is>
      </c>
      <c r="E178" s="143" t="n"/>
      <c r="F178" s="143" t="inlineStr">
        <is>
          <t>02-016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38</t>
        </is>
      </c>
      <c r="C179" s="140" t="inlineStr">
        <is>
          <t>#8x38 mm. SS PH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16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12</t>
        </is>
      </c>
      <c r="C180" s="140" t="inlineStr">
        <is>
          <t>#8x12 mm. CSK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32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451" t="inlineStr">
        <is>
          <t>05-006</t>
        </is>
      </c>
      <c r="G181" s="451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ชุดล้อแขวนบานสุดท้าย</t>
        </is>
      </c>
      <c r="C182" s="140" t="inlineStr">
        <is>
          <t>Right Hand End Carriert Set</t>
        </is>
      </c>
      <c r="D182" s="139" t="inlineStr">
        <is>
          <t>05-009</t>
        </is>
      </c>
      <c r="E182" s="143" t="n"/>
      <c r="F182" s="451" t="inlineStr">
        <is>
          <t>05-009</t>
        </is>
      </c>
      <c r="G182" s="451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ชุดบานพับมีมือจับ</t>
        </is>
      </c>
      <c r="C183" s="140" t="inlineStr">
        <is>
          <t>Standard Hinge Handle Set</t>
        </is>
      </c>
      <c r="D183" s="139" t="inlineStr">
        <is>
          <t>05-004</t>
        </is>
      </c>
      <c r="E183" s="143" t="n"/>
      <c r="F183" s="451" t="inlineStr">
        <is>
          <t>05-004</t>
        </is>
      </c>
      <c r="G183" s="451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451" t="inlineStr">
        <is>
          <t>05-014</t>
        </is>
      </c>
      <c r="G184" s="451" t="inlineStr">
        <is>
          <t>SET</t>
        </is>
      </c>
      <c r="H184" s="143" t="n">
        <v>1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  <c r="X184" s="278" t="n"/>
      <c r="Y184" s="278" t="n"/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2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  <c r="X185" s="278" t="n"/>
      <c r="Y185" s="278" t="n"/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  <c r="X186" s="278" t="n"/>
      <c r="Y186" s="278" t="n"/>
    </row>
    <row r="187" ht="18" customFormat="1" customHeight="1" s="278">
      <c r="A187" s="201">
        <f>IF(B187="","",+A186+1)</f>
        <v/>
      </c>
      <c r="B187" s="139">
        <f>IF($D$129="Standard",O186,IF($D$129="Soumdproof",O187,))</f>
        <v/>
      </c>
      <c r="C187" s="139">
        <f>IF($D$129="Standard",P186,IF($D$129="Soumdproof",P187,))</f>
        <v/>
      </c>
      <c r="D187" s="139">
        <f>IF($D$129="Standard",Q186,IF($D$129="Soumdproof",Q187,))</f>
        <v/>
      </c>
      <c r="E187" s="143">
        <f>IF($D$129="Standard",R186,IF($D$129="Soumdproof",R187,))</f>
        <v/>
      </c>
      <c r="F187" s="143">
        <f>IF($D$129="Standard",S186,IF($D$129="Soumdproof",S187,))</f>
        <v/>
      </c>
      <c r="G187" s="143">
        <f>IF($D$129="Standard",T186,IF($D$129="Soumdproof",T187,))</f>
        <v/>
      </c>
      <c r="H187" s="652">
        <f>IF($D$129="Standard",U186,IF($D$129="Soumdproof",U187,))</f>
        <v/>
      </c>
      <c r="I187" s="653">
        <f>IF($D$129="Standard",V186,IF($D$129="Soumdproof",V187,))</f>
        <v/>
      </c>
      <c r="J187" s="654">
        <f>ROUNDUP((H187)/100,0)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  <c r="X187" s="278" t="n"/>
      <c r="Y187" s="278" t="n"/>
    </row>
    <row r="188" ht="18" customFormat="1" customHeight="1" s="278">
      <c r="A188" s="201">
        <f>IF(B188="","",+A187+1)</f>
        <v/>
      </c>
      <c r="B188" s="139">
        <f>IF($D$129="Standard",O188,IF($D$129="Soumdproof",O189,))</f>
        <v/>
      </c>
      <c r="C188" s="139">
        <f>IF($D$129="Standard",P188,IF($D$129="Soumdproof",P189,))</f>
        <v/>
      </c>
      <c r="D188" s="139">
        <f>IF($D$129="Standard",Q188,IF($D$129="Soumdproof",Q189,))</f>
        <v/>
      </c>
      <c r="E188" s="143">
        <f>IF($D$129="Standard",R188,IF($D$129="Soumdproof",R189,))</f>
        <v/>
      </c>
      <c r="F188" s="143">
        <f>IF($D$129="Standard",S188,IF($D$129="Soumdproof",S189,))</f>
        <v/>
      </c>
      <c r="G188" s="143">
        <f>IF($D$129="Standard",T188,IF($D$129="Soumdproof",T189,))</f>
        <v/>
      </c>
      <c r="H188" s="652">
        <f>IF($D$129="Standard",U188,IF($D$129="Soumdproof",U189,))</f>
        <v/>
      </c>
      <c r="I188" s="653">
        <f>IF($D$129="Standard",V188,IF($D$129="Soumdproof",V189,))</f>
        <v/>
      </c>
      <c r="J188" s="654">
        <f>ROUNDUP((H188)/100,0)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((($I$143*$G$143*2)+($I$144*$G$144*2)+($I$141*$G$141*2))/1000)*$J$120</f>
        <v/>
      </c>
      <c r="V188" s="650" t="n">
        <v>350</v>
      </c>
      <c r="W188" s="651">
        <f>ROUNDUP((U188)/V188,0)</f>
        <v/>
      </c>
      <c r="X188" s="278" t="n"/>
      <c r="Y188" s="278" t="n"/>
    </row>
    <row r="189" ht="18" customFormat="1" customHeight="1" s="278">
      <c r="A189" s="201">
        <f>IFERROR(IF(B189="","",+A188+1),"")</f>
        <v/>
      </c>
      <c r="B189" s="296">
        <f>IF($D$127=5,$O$177,IF($D$127=6,$O$178,IF($D$127=8,$O$179,IF($D$127=10,$O$177,IF($D$127=12,$O$177,IF($D$127=14,$O$179,IF($D$127=18,$O$177,IF($D$127=20,$O$178,IF($D$127=22,"")))))))))</f>
        <v/>
      </c>
      <c r="C189" s="296">
        <f>IF($D$127=5,$P$177,IF($D$127=6,$P$178,IF($D$127=8,$P$179,IF($D$127=10,$P$177,IF($D$127=12,$P$177,IF($D$127=14,$P$179,IF($D$127=18,$P$177,IF($D$127=20,$P$178,IF($D$127=22,"")))))))))</f>
        <v/>
      </c>
      <c r="D189" s="296">
        <f>IF($D$127=5,$Q$177,IF($D$127=6,$Q$178,IF($D$127=8,$Q$179,IF($D$127=10,$Q$177,IF($D$127=12,$Q$177,IF($D$127=14,$Q$179,IF($D$127=18,$Q$177,IF($D$127=20,$Q$178,IF($D$127=22,"")))))))))</f>
        <v/>
      </c>
      <c r="E189" s="296">
        <f>IF($D$129=5,R177,IF($D$129=6,R178,IF($D$129=8,R179,IF($D$129=10,R177,IF($D$129=12,R177,IF($D$129=14,R179,IF($D$129=18,R177,IF($D$129=20,R178,IF($D$129=22,"",)))))))))</f>
        <v/>
      </c>
      <c r="F189" s="242">
        <f>IF($D$127=5,$S$177,IF($D$127=6,$S$178,IF($D$127=8,$S$179,IF($D$127=10,$S$177,IF($D$127=12,$S$177,IF($D$127=14,$S$179,IF($D$127=18,$S$177,IF($D$127=20,$S$178,IF($D$127=22,"")))))))))</f>
        <v/>
      </c>
      <c r="G189" s="242">
        <f>IF($D$127=5,$T$177,IF($D$127=6,$T$178,IF($D$127=8,$T$179,IF($D$127=10,$T$177,IF($D$127=12,$T$177,IF($D$127=14,$T$179,IF($D$127=18,$T$177,IF($D$127=20,$T$178,IF($D$127=22,"")))))))))</f>
        <v/>
      </c>
      <c r="H189" s="652">
        <f>IF($D$127=5,$U$177,IF($D$127=6,$U$178,IF($D$127=8,$U$179,IF($D$127=10,$U$177*2,IF($D$127=12,$U$177,IF($D$127=14,$U$179*2,IF($D$127=18,$U$177,IF($D$127=20,$U$178,IF($D$127=22,"")))))))))</f>
        <v/>
      </c>
      <c r="I189" s="653">
        <f>IF($D$127=5,$V$177,IF($D$127=6,$V$178,IF($D$127=8,$V$179,IF($D$127=10,$V$177,IF($D$127=12,$V$177,IF($D$127=14,$V$179,IF($D$127=18,$V$177,IF($D$127=20,$V$178,IF($D$127=22,"")))))))))</f>
        <v/>
      </c>
      <c r="J189" s="655">
        <f>ROUNDUP((H189)/100,0)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((($I$143*$G$143*2)+($I$144*$G$144*2)+($I$141*$G$141*2))/1000)*$J$120</f>
        <v/>
      </c>
      <c r="V189" s="650" t="n">
        <v>100</v>
      </c>
      <c r="W189" s="651">
        <f>ROUNDUP((U189)/V189,0)</f>
        <v/>
      </c>
      <c r="X189" s="278" t="n"/>
      <c r="Y189" s="278" t="n"/>
    </row>
    <row r="190" ht="18" customFormat="1" customHeight="1" s="278">
      <c r="A190" s="201">
        <f>IFERROR(IF(B190="","",+A189+1),"")</f>
        <v/>
      </c>
      <c r="B190" s="296">
        <f>IF($D$127=5,$O$175,IF($D$127=6,$O$175,IF($D$127=8,$O$177,IF($D$127=10,"",IF($D$127=12,$O$176,IF($D$127=14,"",IF($D$127=18,$O$175,IF($D$127=20,$O$176,IF($D$127=22,"",)))))))))</f>
        <v/>
      </c>
      <c r="C190" s="296">
        <f>IF($D$127=5,$P$175,IF($D$127=6,$P$175,IF($D$127=8,$P$177,IF($D$127=10,"",IF($D$127=12,$P$176,IF($D$127=14,"",IF($D$127=18,$P$175,IF($D$127=20,$P$176,IF($D$127=22,"",)))))))))</f>
        <v/>
      </c>
      <c r="D190" s="296">
        <f>IF($D$127=5,$Q$175,IF($D$127=6,$Q$175,IF($D$127=8,$Q$177,IF($D$127=10,"",IF($D$127=12,$Q$176,IF($D$127=14,"",IF($D$127=18,$Q$175,IF($D$127=20,$Q$176,IF($D$127=22,"",)))))))))</f>
        <v/>
      </c>
      <c r="E190" s="296">
        <f>IF($D$129=5,R175,IF($D$129=6,R175,IF($D$129=8,R177,IF($D$129=10,"",IF($D$129=12,R176,IF($D$129=14,"",IF($D$129=18,R175,IF($D$129=20,R176,IF($D$129=22,"",)))))))))</f>
        <v/>
      </c>
      <c r="F190" s="242">
        <f>IF($D$127=5,$S$175,IF($D$127=6,$S$175,IF($D$127=8,$S$177,IF($D$127=10,"",IF($D$127=12,$S$176,IF($D$127=14,"",IF($D$127=18,$S$175,IF($D$127=20,$S$176,IF($D$127=22,"",)))))))))</f>
        <v/>
      </c>
      <c r="G190" s="242">
        <f>IF($D$127=5,$T$175,IF($D$127=6,$T$175,IF($D$127=8,$T$177,IF($D$127=10,"",IF($D$127=12,$T$176,IF($D$127=14,"",IF($D$127=18,$T$175,IF($D$127=20,$T$176,IF($D$127=22,"",)))))))))</f>
        <v/>
      </c>
      <c r="H190" s="652">
        <f>IF($D$127=5,$U$175,IF($D$127=6,$U$175,IF($D$127=8,$U$177,IF($D$127=10,"",IF($D$127=12,$U$176,IF($D$127=14,"",IF($D$127=18,$U$175,IF($D$127=20,$U$176,IF($D$127=22,"")))))))))</f>
        <v/>
      </c>
      <c r="I190" s="653">
        <f>IF($D$127=5,$V$175,IF($D$127=6,$V$175,IF($D$127=8,$V$177,IF($D$127=10,"",IF($D$127=12,$V$176,IF($D$127=14,"",IF($D$127=18,$V$175,IF($D$127=20,$V$176,IF($D$127=22,"",)))))))))</f>
        <v/>
      </c>
      <c r="J190" s="655">
        <f>ROUNDUP((H190)/100,0)</f>
        <v/>
      </c>
      <c r="Y190" s="278" t="n"/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44" t="n"/>
      <c r="J191" s="131">
        <f>$J$120*H191</f>
        <v/>
      </c>
      <c r="N191" s="278" t="n"/>
      <c r="O191" s="278" t="n"/>
      <c r="P191" s="278" t="n"/>
      <c r="Q191" s="278" t="n"/>
      <c r="Y191" s="278" t="n"/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44" t="n"/>
      <c r="J192" s="131">
        <f>$J$120*H192</f>
        <v/>
      </c>
      <c r="Y192" s="278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44" t="n"/>
      <c r="J193" s="131">
        <f>$J$120*H193</f>
        <v/>
      </c>
      <c r="N193" s="278" t="n"/>
      <c r="O193" s="278" t="n"/>
      <c r="P193" s="278" t="n"/>
      <c r="Q193" s="278" t="n"/>
      <c r="Y193" s="278" t="n"/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44" t="n"/>
      <c r="J194" s="131">
        <f>$J$120*H194</f>
        <v/>
      </c>
      <c r="Y194" s="278" t="n"/>
    </row>
    <row r="195" ht="18" customHeight="1" s="344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44" t="n"/>
      <c r="J195" s="131">
        <f>$J$120*H195</f>
        <v/>
      </c>
      <c r="M195" s="278" t="n"/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44" t="n"/>
      <c r="J196" s="131">
        <f>$J$120*H196</f>
        <v/>
      </c>
      <c r="N196" s="109" t="n"/>
      <c r="O196" s="161" t="n"/>
      <c r="P196" s="161" t="n"/>
      <c r="Q196" s="278" t="n"/>
      <c r="Y196" s="278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44" t="n"/>
      <c r="J197" s="131">
        <f>$J$120*H197</f>
        <v/>
      </c>
      <c r="N197" s="109" t="n"/>
      <c r="O197" s="161" t="n"/>
      <c r="P197" s="161" t="n"/>
      <c r="Q197" s="278" t="n"/>
      <c r="Y197" s="278" t="n"/>
    </row>
    <row r="198" ht="18" customFormat="1" customHeight="1" s="278">
      <c r="A198" s="201">
        <f>IF(B198="","",+""+1)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44" t="n"/>
      <c r="J198" s="131">
        <f>$J$120*H198</f>
        <v/>
      </c>
      <c r="N198" s="109" t="n"/>
      <c r="O198" s="161" t="n"/>
      <c r="P198" s="161" t="n"/>
      <c r="Q198" s="278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44" t="n"/>
      <c r="J199" s="131">
        <f>$J$120*H199</f>
        <v/>
      </c>
      <c r="N199" s="109" t="n"/>
      <c r="O199" s="161" t="n"/>
      <c r="P199" s="334" t="n"/>
      <c r="Q199" s="278" t="n"/>
    </row>
    <row r="200" ht="18" customFormat="1" customHeight="1" s="278">
      <c r="A200" s="201" t="n"/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 t="n"/>
      <c r="N200" s="109" t="n"/>
      <c r="O200" s="161" t="n"/>
      <c r="P200" s="334" t="n"/>
      <c r="Q200" s="278" t="n"/>
    </row>
    <row r="201" ht="18" customFormat="1" customHeight="1" s="278">
      <c r="A201" s="201" t="n"/>
      <c r="B201" s="140" t="n"/>
      <c r="C201" s="140" t="n"/>
      <c r="D201" s="139" t="n"/>
      <c r="E201" s="143" t="n"/>
      <c r="F201" s="143" t="n"/>
      <c r="G201" s="143" t="n"/>
      <c r="H201" s="143" t="n"/>
      <c r="I201" s="144" t="n"/>
      <c r="J201" s="131" t="n"/>
      <c r="N201" s="109" t="n"/>
      <c r="O201" s="161" t="n"/>
      <c r="P201" s="334" t="n"/>
      <c r="Q201" s="278" t="n"/>
    </row>
    <row r="202" ht="18" customFormat="1" customHeight="1" s="278">
      <c r="A202" s="201">
        <f>IF(B202="","",+A199+1)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44" t="n"/>
      <c r="J202" s="131">
        <f>$J$120*H202</f>
        <v/>
      </c>
      <c r="N202" s="109" t="n"/>
      <c r="O202" s="161" t="n"/>
      <c r="P202" s="278" t="n"/>
      <c r="Q202" s="278" t="n"/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44" t="n"/>
      <c r="J203" s="131">
        <f>$J$120*H203</f>
        <v/>
      </c>
      <c r="N203" s="109" t="n"/>
      <c r="O203" s="161" t="n"/>
      <c r="P203" s="278" t="n"/>
      <c r="Q203" s="278" t="n"/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44" t="n"/>
      <c r="J204" s="131">
        <f>$J$120*H204</f>
        <v/>
      </c>
      <c r="N204" s="109" t="n"/>
      <c r="O204" s="161" t="n"/>
      <c r="P204" s="278" t="n"/>
      <c r="Q204" s="278" t="n"/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45" t="n"/>
      <c r="J205" s="293">
        <f>$J$120*H205</f>
        <v/>
      </c>
      <c r="N205" s="109" t="n"/>
      <c r="O205" s="161" t="n"/>
      <c r="P205" s="278" t="n"/>
      <c r="Q205" s="278" t="n"/>
    </row>
    <row r="206" ht="18" customHeight="1" s="344">
      <c r="A206" s="109" t="n"/>
      <c r="B206" s="278" t="n"/>
      <c r="C206" s="278" t="n"/>
      <c r="D206" s="161" t="n"/>
      <c r="E206" s="109" t="n"/>
      <c r="F206" s="109" t="n"/>
      <c r="G206" s="109" t="n"/>
      <c r="H206" s="109" t="n"/>
      <c r="J206" s="99">
        <f>LEFT($J$111,10)&amp;"-02"</f>
        <v/>
      </c>
      <c r="N206" s="109" t="n"/>
      <c r="O206" s="161" t="n"/>
    </row>
    <row r="207" ht="12.75" customHeight="1" s="344">
      <c r="K207" s="37" t="n"/>
      <c r="L207" s="37" t="n"/>
      <c r="M207" s="2" t="n"/>
      <c r="N207" s="109" t="n"/>
      <c r="O207" s="161" t="n"/>
    </row>
    <row r="208" ht="30" customHeight="1" s="344">
      <c r="C208" s="5" t="n"/>
      <c r="D208" s="95" t="n"/>
      <c r="E208" s="95" t="n"/>
      <c r="F208" s="95" t="n"/>
      <c r="G208" s="95" t="n"/>
      <c r="H208" s="95" t="n"/>
      <c r="I208" s="95" t="n"/>
      <c r="J208" s="90">
        <f>$J$2</f>
        <v/>
      </c>
      <c r="K208" s="35" t="n"/>
      <c r="L208" s="35" t="n"/>
      <c r="M208" s="2" t="n"/>
      <c r="N208" s="109" t="n"/>
      <c r="O208" s="161" t="n"/>
    </row>
    <row r="209" ht="24.9" customHeight="1" s="344">
      <c r="C209" s="28" t="n"/>
      <c r="D209" s="28" t="n"/>
      <c r="E209" s="28" t="n"/>
      <c r="F209" s="28" t="n"/>
      <c r="G209" s="28" t="n"/>
      <c r="H209" s="28" t="n"/>
      <c r="I209" s="28" t="n"/>
      <c r="J209" s="91">
        <f>$J$3</f>
        <v/>
      </c>
      <c r="K209" s="35" t="n"/>
      <c r="L209" s="35" t="n"/>
      <c r="M209" s="2" t="n"/>
      <c r="N209" s="109" t="n"/>
      <c r="O209" s="161" t="n"/>
    </row>
    <row r="210" ht="24.9" customHeight="1" s="344">
      <c r="B210" s="72" t="n"/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109" t="n"/>
      <c r="O210" s="161" t="n"/>
    </row>
    <row r="211" ht="15" customFormat="1" customHeight="1" s="278" thickBot="1">
      <c r="A211" s="78" t="n"/>
      <c r="B211" s="78" t="n"/>
      <c r="C211" s="78" t="n"/>
      <c r="D211" s="82" t="n"/>
      <c r="E211" s="78" t="n"/>
      <c r="F211" s="78" t="n"/>
      <c r="G211" s="78" t="n"/>
      <c r="H211" s="78" t="n"/>
      <c r="I211" s="78" t="n"/>
      <c r="J211" s="113" t="n"/>
      <c r="K211" s="4" t="n"/>
      <c r="L211" s="4" t="n"/>
      <c r="M211" s="4" t="n"/>
      <c r="N211" s="109" t="n"/>
      <c r="O211" s="161" t="n"/>
      <c r="P211" s="278" t="n"/>
      <c r="Q211" s="278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109" t="n"/>
      <c r="O212" s="161" t="n"/>
      <c r="P212" s="278" t="n"/>
      <c r="Q212" s="278" t="n"/>
    </row>
    <row r="213">
      <c r="N213" s="109" t="n"/>
      <c r="O213" s="161" t="n"/>
    </row>
    <row r="214">
      <c r="N214" s="109" t="n"/>
      <c r="O214" s="161" t="n"/>
    </row>
    <row r="215">
      <c r="N215" s="109" t="n"/>
      <c r="O215" s="161" t="n"/>
    </row>
    <row r="216" ht="15.6" customHeight="1" s="344">
      <c r="A216" s="109" t="n"/>
      <c r="B216" s="278" t="n"/>
      <c r="C216" s="328" t="n"/>
      <c r="D216" s="161" t="n"/>
      <c r="E216" s="35" t="n"/>
      <c r="F216" s="161" t="n"/>
      <c r="G216" s="278" t="n"/>
      <c r="H216" s="278" t="n"/>
      <c r="N216" s="109" t="n"/>
      <c r="O216" s="161" t="n"/>
    </row>
    <row r="217" ht="15.6" customHeight="1" s="344">
      <c r="A217" s="109" t="n"/>
      <c r="B217" s="278" t="n"/>
      <c r="C217" s="542" t="n"/>
      <c r="D217" s="161" t="n"/>
      <c r="E217" s="109" t="n"/>
      <c r="F217" s="161" t="n"/>
      <c r="G217" s="278" t="n"/>
      <c r="H217" s="328" t="n"/>
      <c r="N217" s="109" t="n"/>
      <c r="O217" s="161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60" t="n"/>
      <c r="J218" s="532" t="n"/>
      <c r="N218" s="109" t="n"/>
      <c r="O218" s="161" t="n"/>
      <c r="P218" s="278" t="n"/>
      <c r="Q218" s="278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J219" s="109" t="n"/>
      <c r="N219" s="278" t="n"/>
      <c r="O219" s="278" t="n"/>
      <c r="P219" s="278" t="n"/>
      <c r="Q219" s="278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  <c r="N220" s="278" t="n"/>
      <c r="O220" s="278" t="n"/>
      <c r="P220" s="278" t="n"/>
      <c r="Q220" s="278" t="n"/>
    </row>
    <row r="221" ht="15.6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  <c r="N221" s="278" t="n"/>
      <c r="O221" s="278" t="n"/>
      <c r="P221" s="278" t="n"/>
      <c r="Q221" s="278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I222" s="109" t="n"/>
      <c r="J222" s="109" t="n"/>
      <c r="N222" s="278" t="n"/>
      <c r="O222" s="278" t="n"/>
      <c r="P222" s="278" t="n"/>
      <c r="Q222" s="278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  <c r="N223" s="278" t="n"/>
      <c r="O223" s="278" t="n"/>
      <c r="P223" s="278" t="n"/>
      <c r="Q223" s="278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J224" s="109" t="n"/>
      <c r="N224" s="278" t="n"/>
      <c r="O224" s="278" t="n"/>
      <c r="P224" s="278" t="n"/>
      <c r="Q224" s="278" t="n"/>
    </row>
    <row r="225" ht="15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J225" s="109" t="n"/>
      <c r="N225" s="278" t="n"/>
      <c r="O225" s="278" t="n"/>
      <c r="P225" s="278" t="n"/>
      <c r="Q225" s="278" t="n"/>
    </row>
    <row r="226" ht="15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J226" s="109" t="n"/>
      <c r="N226" s="278" t="n"/>
      <c r="O226" s="278" t="n"/>
      <c r="P226" s="278" t="n"/>
      <c r="Q226" s="278" t="n"/>
    </row>
    <row r="227" ht="15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  <c r="N227" s="278" t="n"/>
      <c r="O227" s="278" t="n"/>
      <c r="P227" s="278" t="n"/>
      <c r="Q227" s="278" t="n"/>
    </row>
    <row r="228" ht="15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109" t="n"/>
      <c r="J228" s="109" t="n"/>
      <c r="N228" s="278" t="n"/>
      <c r="O228" s="278" t="n"/>
      <c r="P228" s="278" t="n"/>
      <c r="Q228" s="278" t="n"/>
    </row>
    <row r="229" ht="15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109" t="n"/>
      <c r="J229" s="109" t="n"/>
      <c r="N229" s="278" t="n"/>
      <c r="O229" s="278" t="n"/>
      <c r="P229" s="278" t="n"/>
      <c r="Q229" s="278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109" t="n"/>
      <c r="J230" s="109" t="n"/>
      <c r="N230" s="278" t="n"/>
      <c r="O230" s="278" t="n"/>
      <c r="P230" s="278" t="n"/>
      <c r="Q230" s="278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109" t="n"/>
      <c r="J231" s="109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" t="n"/>
      <c r="J232" s="40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I234" s="328" t="n"/>
      <c r="J234" s="117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ความกว้าง(วงกบ) - 86</t>
        </is>
      </c>
      <c r="D235" s="161" t="n"/>
      <c r="E235" s="109" t="n"/>
      <c r="F235" s="161" t="n"/>
      <c r="G235" s="109" t="n"/>
      <c r="H235" s="109" t="n"/>
      <c r="I235" s="328" t="n"/>
      <c r="J235" s="117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328" t="n"/>
      <c r="J236" s="117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J238" s="109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109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109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36" t="n"/>
      <c r="I242" s="89" t="n"/>
      <c r="J242" s="118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109" t="n"/>
      <c r="I243" s="328" t="n"/>
      <c r="J243" s="117" t="n"/>
    </row>
    <row r="244" ht="15.9" customFormat="1" customHeight="1" s="278">
      <c r="A244" s="109" t="n"/>
      <c r="B244" s="278" t="n"/>
      <c r="C244" s="89" t="inlineStr">
        <is>
          <t xml:space="preserve">                          Sill</t>
        </is>
      </c>
      <c r="D244" s="161" t="n"/>
      <c r="E244" s="109" t="n"/>
      <c r="F244" s="161" t="n"/>
      <c r="G244" s="109" t="n"/>
      <c r="H244" s="109" t="n"/>
      <c r="I244" s="328" t="n"/>
      <c r="J244" s="117" t="n"/>
    </row>
    <row r="245" ht="15.9" customFormat="1" customHeight="1" s="278">
      <c r="A245" s="109" t="n"/>
      <c r="B245" s="278" t="n"/>
      <c r="C245" s="328" t="inlineStr">
        <is>
          <t xml:space="preserve">                          = Frame Width -60.00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542" t="inlineStr">
        <is>
          <t xml:space="preserve">                          ความกว้าง(วงกบ) - 60.00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656">
        <f>$I$135</f>
        <v/>
      </c>
      <c r="D247" s="161" t="n"/>
      <c r="E247" s="109" t="n"/>
      <c r="F247" s="161" t="n"/>
      <c r="G247" s="109" t="n"/>
      <c r="H247" s="109" t="n"/>
      <c r="I247" s="109" t="n"/>
      <c r="J247" s="501" t="n"/>
    </row>
    <row r="248" ht="15.9" customFormat="1" customHeight="1" s="278">
      <c r="A248" s="109" t="n"/>
      <c r="B248" s="278" t="n"/>
      <c r="C248" s="657">
        <f>$J$135</f>
        <v/>
      </c>
      <c r="D248" s="161" t="n"/>
      <c r="E248" s="109" t="n"/>
      <c r="F248" s="161" t="n"/>
      <c r="G248" s="109" t="n"/>
      <c r="H248" s="109" t="n"/>
      <c r="I248" s="501" t="n"/>
      <c r="J248" s="501" t="n"/>
    </row>
    <row r="249" ht="15.9" customFormat="1" customHeight="1" s="278">
      <c r="A249" s="109" t="n"/>
      <c r="B249" s="278" t="n"/>
      <c r="C249" s="161" t="n"/>
      <c r="D249" s="161" t="n"/>
      <c r="E249" s="109" t="n"/>
      <c r="F249" s="161" t="n"/>
      <c r="G249" s="109" t="n"/>
      <c r="H249" s="109" t="n"/>
      <c r="I249" s="501" t="n"/>
      <c r="J249" s="501" t="n"/>
    </row>
    <row r="250" ht="15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I250" s="501" t="n"/>
      <c r="J250" s="501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I251" s="44" t="n"/>
      <c r="J251" s="11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I252" s="44" t="n"/>
      <c r="J252" s="11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0" t="n"/>
      <c r="H253" s="109" t="n"/>
      <c r="I253" s="32" t="n"/>
      <c r="J253" s="40" t="n"/>
    </row>
    <row r="254" ht="15.9" customFormat="1" customHeight="1" s="278">
      <c r="A254" s="109" t="n"/>
      <c r="B254" s="278" t="n"/>
      <c r="D254" s="161" t="n"/>
      <c r="E254" s="109" t="n"/>
      <c r="F254" s="109" t="n"/>
      <c r="G254" s="109" t="n"/>
      <c r="H254" s="109" t="n"/>
      <c r="J254" s="109" t="n"/>
    </row>
    <row r="255" ht="15.9" customFormat="1" customHeight="1" s="278">
      <c r="A255" s="44" t="n"/>
      <c r="B255" s="44" t="n"/>
      <c r="D255" s="84" t="n"/>
      <c r="E255" s="44" t="n"/>
      <c r="F255" s="44" t="n"/>
      <c r="G255" s="109" t="n"/>
      <c r="H255" s="109" t="n"/>
      <c r="J255" s="109" t="n"/>
    </row>
    <row r="256" ht="15.9" customFormat="1" customHeight="1" s="278">
      <c r="A256" s="40" t="n"/>
      <c r="B256" s="40" t="n"/>
      <c r="C256" s="89" t="inlineStr">
        <is>
          <t xml:space="preserve">                          Door Stop Sill</t>
        </is>
      </c>
      <c r="D256" s="85" t="n"/>
      <c r="E256" s="40" t="n"/>
      <c r="F256" s="32" t="n"/>
      <c r="G256" s="109" t="n"/>
      <c r="J256" s="109" t="n"/>
    </row>
    <row r="257" ht="15.9" customFormat="1" customHeight="1" s="278">
      <c r="A257" s="27" t="n"/>
      <c r="B257" s="278" t="n"/>
      <c r="C257" s="328" t="inlineStr">
        <is>
          <t xml:space="preserve">                          = Frame Width -60.00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542" t="inlineStr">
        <is>
          <t xml:space="preserve">                          ความกว้าง(วงกบ) - 60.00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6">
        <f>$I$136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7">
        <f>$J$136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287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161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278" t="n"/>
      <c r="D267" s="161" t="n"/>
      <c r="E267" s="109" t="n"/>
      <c r="F267" s="109" t="n"/>
      <c r="G267" s="109" t="n"/>
      <c r="I267" s="501" t="n"/>
      <c r="J267" s="501" t="n"/>
    </row>
    <row r="268" ht="15.9" customFormat="1" customHeight="1" s="278">
      <c r="A268" s="27" t="n"/>
      <c r="B268" s="278" t="n"/>
      <c r="C268" s="89" t="inlineStr">
        <is>
          <t xml:space="preserve">                          JAMB</t>
        </is>
      </c>
      <c r="D268" s="161" t="n"/>
      <c r="E268" s="109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328" t="inlineStr">
        <is>
          <t xml:space="preserve">                                  = FAME HIGHT</t>
        </is>
      </c>
      <c r="D269" s="328" t="n"/>
      <c r="E269" s="328" t="n"/>
      <c r="F269" s="109" t="n"/>
      <c r="G269" s="109" t="n"/>
      <c r="H269" s="109" t="n"/>
      <c r="I269" s="501" t="n"/>
      <c r="J269" s="501" t="n"/>
    </row>
    <row r="270" ht="15.9" customFormat="1" customHeight="1" s="278">
      <c r="A270" s="27" t="n"/>
      <c r="B270" s="278" t="n"/>
      <c r="C270" s="542" t="inlineStr">
        <is>
          <t xml:space="preserve">                          ความสูง (วงกบ)</t>
        </is>
      </c>
      <c r="D270" s="542" t="n"/>
      <c r="E270" s="542" t="n"/>
      <c r="F270" s="109" t="n"/>
      <c r="G270" s="109" t="n"/>
      <c r="H270" s="109" t="n"/>
      <c r="I270" s="501" t="n"/>
      <c r="J270" s="501" t="n"/>
    </row>
    <row r="271" ht="15.9" customFormat="1" customHeight="1" s="278">
      <c r="A271" s="27" t="n"/>
      <c r="B271" s="278" t="n"/>
      <c r="C271" s="656">
        <f>$I$137</f>
        <v/>
      </c>
      <c r="D271" s="161" t="n"/>
      <c r="E271" s="109" t="n"/>
      <c r="F271" s="109" t="n"/>
      <c r="G271" s="278" t="n"/>
      <c r="H271" s="278" t="n"/>
      <c r="I271" s="501" t="n"/>
      <c r="J271" s="501" t="n"/>
    </row>
    <row r="272" ht="15.9" customFormat="1" customHeight="1" s="278">
      <c r="A272" s="27" t="n"/>
      <c r="B272" s="278" t="n"/>
      <c r="C272" s="657">
        <f>$J$137+$J$138</f>
        <v/>
      </c>
      <c r="D272" s="161" t="n"/>
      <c r="E272" s="109" t="n"/>
      <c r="F272" s="109" t="n"/>
      <c r="G272" s="109" t="n"/>
      <c r="H272" s="109" t="n"/>
      <c r="I272" s="501" t="n"/>
      <c r="J272" s="501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I273" s="501" t="n"/>
      <c r="J273" s="501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D275" s="328" t="n"/>
      <c r="E275" s="328" t="n"/>
      <c r="F275" s="109" t="n"/>
      <c r="G275" s="109" t="n"/>
      <c r="H275" s="109" t="n"/>
      <c r="J275" s="109" t="n"/>
    </row>
    <row r="276" ht="15.9" customFormat="1" customHeight="1" s="278">
      <c r="A276" s="27" t="n"/>
      <c r="D276" s="328" t="n"/>
      <c r="E276" s="328" t="n"/>
      <c r="F276" s="109" t="n"/>
      <c r="G276" s="109" t="n"/>
      <c r="H276" s="109" t="n"/>
      <c r="J276" s="109" t="n"/>
    </row>
    <row r="277" ht="15.9" customFormat="1" customHeight="1" s="278">
      <c r="A277" s="27" t="n"/>
      <c r="D277" s="328" t="n"/>
      <c r="E277" s="328" t="n"/>
      <c r="F277" s="109" t="n"/>
      <c r="G277" s="109" t="n"/>
      <c r="H277" s="109" t="n"/>
      <c r="J277" s="109" t="n"/>
    </row>
    <row r="278" ht="15.9" customFormat="1" customHeight="1" s="278">
      <c r="A278" s="27" t="n"/>
      <c r="B278" s="278" t="n"/>
      <c r="D278" s="328" t="n"/>
      <c r="E278" s="328" t="n"/>
      <c r="F278" s="109" t="n"/>
      <c r="G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J279" s="109" t="n"/>
    </row>
    <row r="280" ht="15.9" customFormat="1" customHeight="1" s="278">
      <c r="A280" s="27" t="n"/>
      <c r="B280" s="278" t="n"/>
      <c r="C280" s="89" t="inlineStr">
        <is>
          <t xml:space="preserve">                          Door Stop Jamb</t>
        </is>
      </c>
      <c r="D280" s="162" t="n"/>
      <c r="E280" s="501" t="n"/>
      <c r="F280" s="109" t="n"/>
      <c r="G280" s="109" t="n"/>
      <c r="J280" s="109" t="n"/>
    </row>
    <row r="281" ht="15.9" customFormat="1" customHeight="1" s="278">
      <c r="A281" s="27" t="n"/>
      <c r="B281" s="278" t="n"/>
      <c r="C281" s="328" t="inlineStr">
        <is>
          <t xml:space="preserve">                          = FAME HIGHT - 96</t>
        </is>
      </c>
      <c r="D281" s="328" t="n"/>
      <c r="E281" s="328" t="n"/>
      <c r="F281" s="109" t="n"/>
      <c r="G281" s="109" t="n"/>
      <c r="J281" s="109" t="n"/>
    </row>
    <row r="282" ht="15.9" customFormat="1" customHeight="1" s="278">
      <c r="A282" s="27" t="n"/>
      <c r="B282" s="278" t="n"/>
      <c r="C282" s="542" t="inlineStr">
        <is>
          <t xml:space="preserve">                          ความสูง (วงกบ) - 96</t>
        </is>
      </c>
      <c r="D282" s="542" t="n"/>
      <c r="E282" s="542" t="n"/>
      <c r="F282" s="109" t="n"/>
      <c r="G282" s="109" t="n"/>
      <c r="I282" s="501" t="n"/>
      <c r="J282" s="501" t="n"/>
    </row>
    <row r="283" ht="15.9" customFormat="1" customHeight="1" s="278">
      <c r="A283" s="27" t="n"/>
      <c r="B283" s="278" t="n"/>
      <c r="C283" s="656">
        <f>$I$139</f>
        <v/>
      </c>
      <c r="F283" s="109" t="n"/>
      <c r="G283" s="109" t="n"/>
      <c r="I283" s="501" t="n"/>
      <c r="J283" s="501" t="n"/>
    </row>
    <row r="284" ht="15.9" customFormat="1" customHeight="1" s="278">
      <c r="A284" s="27" t="n"/>
      <c r="B284" s="278" t="n"/>
      <c r="C284" s="657">
        <f>$J$139+$J$140</f>
        <v/>
      </c>
      <c r="F284" s="109" t="n"/>
      <c r="G284" s="109" t="n"/>
      <c r="I284" s="501" t="n"/>
      <c r="J284" s="501" t="n"/>
    </row>
    <row r="285" ht="15.9" customFormat="1" customHeight="1" s="278">
      <c r="A285" s="27" t="n"/>
      <c r="B285" s="278" t="n"/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C287" s="278" t="n"/>
      <c r="D287" s="161" t="n"/>
      <c r="E287" s="109" t="n"/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C288" s="278" t="n"/>
      <c r="D288" s="161" t="n"/>
      <c r="E288" s="109" t="n"/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F289" s="109" t="n"/>
      <c r="G289" s="109" t="n"/>
      <c r="H289" s="109" t="n"/>
      <c r="I289" s="109" t="n"/>
      <c r="J289" s="501" t="n"/>
    </row>
    <row r="290" ht="15.9" customFormat="1" customHeight="1" s="278">
      <c r="A290" s="27" t="n"/>
      <c r="B290" s="278" t="n"/>
      <c r="F290" s="109" t="n"/>
      <c r="G290" s="109" t="n"/>
      <c r="H290" s="109" t="n"/>
      <c r="I290" s="109" t="n"/>
      <c r="J290" s="501" t="n"/>
    </row>
    <row r="291" ht="15.9" customFormat="1" customHeight="1" s="278">
      <c r="A291" s="27" t="n"/>
      <c r="B291" s="278" t="n"/>
      <c r="C291" s="89" t="inlineStr">
        <is>
          <t xml:space="preserve">                          Sash</t>
        </is>
      </c>
      <c r="F291" s="109" t="n"/>
      <c r="G291" s="109" t="n"/>
      <c r="H291" s="109" t="n"/>
      <c r="J291" s="109" t="n"/>
    </row>
    <row r="292" ht="15.9" customFormat="1" customHeight="1" s="278">
      <c r="A292" s="27" t="n"/>
      <c r="B292" s="278" t="n"/>
      <c r="C292" s="94" t="inlineStr">
        <is>
          <t xml:space="preserve">                          = ((Frame Width - 182-113.25)/2</t>
        </is>
      </c>
      <c r="D292" s="161" t="n"/>
      <c r="E292" s="109" t="n"/>
      <c r="F292" s="109" t="n"/>
      <c r="G292" s="109" t="n"/>
      <c r="H292" s="109" t="n"/>
      <c r="J292" s="109" t="n"/>
    </row>
    <row r="293" ht="15.9" customFormat="1" customHeight="1" s="278">
      <c r="A293" s="27" t="n"/>
      <c r="B293" s="278" t="n"/>
      <c r="C293" s="542" t="inlineStr">
        <is>
          <t xml:space="preserve">                          ((ความกว้าง (วงกบ) - 182-113.25)/2</t>
        </is>
      </c>
      <c r="D293" s="161" t="n"/>
      <c r="E293" s="109" t="n"/>
      <c r="F293" s="109" t="n"/>
      <c r="G293" s="109" t="n"/>
      <c r="H293" s="109" t="n"/>
      <c r="J293" s="109" t="n"/>
    </row>
    <row r="294" ht="15.9" customFormat="1" customHeight="1" s="278">
      <c r="A294" s="27" t="n"/>
      <c r="B294" s="278" t="n"/>
      <c r="C294" s="328" t="inlineStr">
        <is>
          <t xml:space="preserve">                          = FAME HIGHT - 92.00</t>
        </is>
      </c>
      <c r="D294" s="328" t="n"/>
      <c r="E294" s="328" t="n"/>
      <c r="F294" s="109" t="n"/>
      <c r="G294" s="109" t="n"/>
      <c r="I294" s="162" t="n"/>
      <c r="J294" s="501" t="n"/>
    </row>
    <row r="295" ht="15.9" customFormat="1" customHeight="1" s="278">
      <c r="A295" s="27" t="n"/>
      <c r="B295" s="278" t="n"/>
      <c r="C295" s="542" t="inlineStr">
        <is>
          <t xml:space="preserve">                          ความสูง (วงกบ) - 92.00</t>
        </is>
      </c>
      <c r="D295" s="542" t="n"/>
      <c r="E295" s="542" t="n"/>
      <c r="F295" s="109" t="n"/>
      <c r="G295" s="109" t="n"/>
      <c r="I295" s="109" t="n"/>
      <c r="J295" s="501" t="n"/>
    </row>
    <row r="296" ht="15.9" customFormat="1" customHeight="1" s="278">
      <c r="A296" s="27" t="n"/>
      <c r="B296" s="278" t="n"/>
      <c r="C296" s="656">
        <f>$I$141</f>
        <v/>
      </c>
      <c r="F296" s="109" t="n"/>
      <c r="G296" s="109" t="n"/>
      <c r="I296" s="501" t="n"/>
      <c r="J296" s="501" t="n"/>
    </row>
    <row r="297" ht="15.9" customFormat="1" customHeight="1" s="278">
      <c r="A297" s="27" t="n"/>
      <c r="B297" s="278" t="n"/>
      <c r="C297" s="657">
        <f>$J$141+$J$142</f>
        <v/>
      </c>
      <c r="D297" s="161" t="n"/>
      <c r="E297" s="109" t="n"/>
      <c r="F297" s="109" t="n"/>
      <c r="G297" s="109" t="n"/>
      <c r="H297" s="161" t="n"/>
      <c r="I297" s="501" t="n"/>
      <c r="J297" s="501" t="n"/>
    </row>
    <row r="298" ht="15.9" customFormat="1" customHeight="1" s="278">
      <c r="A298" s="27" t="n"/>
      <c r="B298" s="278" t="n"/>
      <c r="C298" s="656">
        <f>$I$143</f>
        <v/>
      </c>
      <c r="D298" s="161" t="n"/>
      <c r="E298" s="109" t="n"/>
      <c r="F298" s="109" t="n"/>
      <c r="G298" s="109" t="n"/>
      <c r="H298" s="109" t="n"/>
      <c r="I298" s="501" t="n"/>
      <c r="J298" s="501" t="n"/>
    </row>
    <row r="299" ht="15.9" customFormat="1" customHeight="1" s="278">
      <c r="A299" s="27" t="n"/>
      <c r="B299" s="278" t="n"/>
      <c r="C299" s="657">
        <f>$J$143+$J$144</f>
        <v/>
      </c>
      <c r="D299" s="161" t="n"/>
      <c r="E299" s="109" t="n"/>
      <c r="F299" s="109" t="n"/>
      <c r="G299" s="109" t="n"/>
      <c r="H299" s="109" t="n"/>
      <c r="I299" s="501" t="n"/>
      <c r="J299" s="501" t="n"/>
    </row>
    <row r="300" ht="15.9" customFormat="1" customHeight="1" s="278">
      <c r="A300" s="27" t="n"/>
      <c r="B300" s="278" t="n"/>
      <c r="D300" s="161" t="n"/>
      <c r="E300" s="109" t="n"/>
      <c r="F300" s="109" t="n"/>
      <c r="G300" s="109" t="n"/>
      <c r="H300" s="109" t="n"/>
      <c r="I300" s="501" t="n"/>
      <c r="J300" s="501" t="n"/>
    </row>
    <row r="301" ht="15.9" customFormat="1" customHeight="1" s="278">
      <c r="A301" s="27" t="n"/>
      <c r="B301" s="278" t="n"/>
      <c r="C301" s="278" t="n"/>
      <c r="D301" s="161" t="n"/>
      <c r="E301" s="109" t="n"/>
      <c r="F301" s="109" t="n"/>
      <c r="G301" s="109" t="n"/>
      <c r="H301" s="109" t="n"/>
      <c r="I301" s="44" t="n"/>
      <c r="J301" s="119" t="n"/>
    </row>
    <row r="302" ht="15.9" customFormat="1" customHeight="1" s="278">
      <c r="A302" s="27" t="n"/>
      <c r="B302" s="278" t="n"/>
      <c r="C302" s="23" t="n"/>
      <c r="D302" s="161" t="n"/>
      <c r="E302" s="109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27" t="n"/>
      <c r="B303" s="278" t="n"/>
      <c r="C303" s="89" t="inlineStr">
        <is>
          <t xml:space="preserve">                          Glazing Bead</t>
        </is>
      </c>
      <c r="D303" s="161" t="n"/>
      <c r="E303" s="109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27" t="n"/>
      <c r="B304" s="278" t="n"/>
      <c r="C304" s="94" t="inlineStr">
        <is>
          <t xml:space="preserve">                          = ((Frame Width - 182-113.25)/2</t>
        </is>
      </c>
      <c r="D304" s="161" t="n"/>
      <c r="E304" s="109" t="n"/>
      <c r="F304" s="109" t="n"/>
      <c r="G304" s="44" t="n"/>
      <c r="H304" s="44" t="n"/>
      <c r="I304" s="109" t="n"/>
      <c r="J304" s="501" t="n"/>
    </row>
    <row r="305" ht="15.9" customFormat="1" customHeight="1" s="278">
      <c r="A305" s="27" t="n"/>
      <c r="B305" s="278" t="n"/>
      <c r="C305" s="542" t="inlineStr">
        <is>
          <t xml:space="preserve">                          ((ความกว้าง (วงกบ) - 182-113.25)/2</t>
        </is>
      </c>
      <c r="D305" s="328" t="n"/>
      <c r="E305" s="328" t="n"/>
      <c r="F305" s="109" t="n"/>
      <c r="G305" s="40" t="n"/>
      <c r="H305" s="32" t="n"/>
      <c r="I305" s="109" t="n"/>
      <c r="J305" s="501" t="n"/>
    </row>
    <row r="306" ht="15.9" customFormat="1" customHeight="1" s="278">
      <c r="A306" s="101" t="n"/>
      <c r="B306" s="278" t="n"/>
      <c r="C306" s="328" t="inlineStr">
        <is>
          <t xml:space="preserve">                          = FAME HIGHT - 242.00</t>
        </is>
      </c>
      <c r="D306" s="542" t="n"/>
      <c r="E306" s="542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44" t="n"/>
      <c r="B307" s="44" t="n"/>
      <c r="C307" s="542" t="inlineStr">
        <is>
          <t xml:space="preserve">                          ความสูง (วงกบ) - 242.00</t>
        </is>
      </c>
      <c r="D307" s="86" t="n"/>
      <c r="E307" s="79" t="n"/>
      <c r="F307" s="44" t="n"/>
      <c r="G307" s="109" t="n"/>
      <c r="H307" s="109" t="n"/>
      <c r="I307" s="109" t="n"/>
      <c r="J307" s="501" t="n"/>
    </row>
    <row r="308" ht="15.9" customFormat="1" customHeight="1" s="278">
      <c r="A308" s="40" t="n"/>
      <c r="B308" s="40" t="n"/>
      <c r="C308" s="656">
        <f>$I$145</f>
        <v/>
      </c>
      <c r="D308" s="87" t="n"/>
      <c r="E308" s="80" t="n"/>
      <c r="F308" s="32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$J$145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$I$146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$J$146</f>
        <v/>
      </c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406" t="n"/>
      <c r="C313" s="406" t="n"/>
      <c r="D313" s="83" t="n"/>
      <c r="E313" s="27" t="n"/>
      <c r="F313" s="27" t="n"/>
      <c r="G313" s="27" t="n"/>
      <c r="H313" s="27" t="n"/>
      <c r="I313" s="27" t="n"/>
      <c r="J313" s="99">
        <f>LEFT($J$111,10)&amp;"-03"</f>
        <v/>
      </c>
    </row>
    <row r="314" ht="12.75" customHeight="1" s="344">
      <c r="A314" s="109" t="n"/>
      <c r="B314" s="278" t="n"/>
      <c r="C314" s="278" t="n"/>
      <c r="D314" s="161" t="n"/>
      <c r="E314" s="109" t="n"/>
      <c r="F314" s="109" t="n"/>
      <c r="G314" s="109" t="n"/>
      <c r="H314" s="109" t="n"/>
      <c r="I314" s="179" t="n"/>
      <c r="J314" s="179" t="n"/>
    </row>
    <row r="315" ht="30" customHeight="1" s="344">
      <c r="C315" s="5" t="n"/>
      <c r="D315" s="95" t="n"/>
      <c r="E315" s="95" t="n"/>
      <c r="F315" s="95" t="n"/>
      <c r="G315" s="95" t="n"/>
      <c r="H315" s="95" t="n"/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28" t="n"/>
      <c r="D316" s="28" t="n"/>
      <c r="E316" s="28" t="n"/>
      <c r="F316" s="28" t="n"/>
      <c r="G316" s="28" t="n"/>
      <c r="H316" s="28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B317" s="72" t="n"/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Height="1" s="344" thickBot="1"/>
    <row r="319" ht="24.9" customFormat="1" customHeight="1" s="278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</row>
    <row r="320" ht="15" customFormat="1" customHeight="1" s="278">
      <c r="A320" s="109" t="n"/>
      <c r="B320" s="278" t="n"/>
      <c r="C320" s="278" t="n"/>
      <c r="D320" s="161" t="n"/>
      <c r="E320" s="35" t="n"/>
      <c r="F320" s="161" t="n"/>
      <c r="G320" s="94" t="n"/>
      <c r="H320" s="94" t="n"/>
      <c r="I320" s="94" t="n"/>
      <c r="J320" s="109" t="n"/>
    </row>
    <row r="321" ht="15" customFormat="1" customHeight="1" s="278">
      <c r="A321" s="109" t="n"/>
      <c r="B321" s="278" t="n"/>
      <c r="C321" s="161" t="n"/>
      <c r="D321" s="161" t="n"/>
      <c r="E321" s="35" t="n"/>
      <c r="F321" s="161" t="n"/>
      <c r="G321" s="109" t="n"/>
      <c r="H321" s="94" t="n"/>
      <c r="I321" s="109" t="n"/>
      <c r="J321" s="109" t="n"/>
    </row>
    <row r="322" ht="15" customFormat="1" customHeight="1" s="278">
      <c r="A322" s="109" t="n"/>
      <c r="B322" s="278" t="n"/>
      <c r="C322" s="161" t="n"/>
      <c r="D322" s="161" t="n"/>
      <c r="E322" s="109" t="n"/>
      <c r="F322" s="161" t="n"/>
      <c r="G322" s="109" t="n"/>
      <c r="H322" s="94" t="n"/>
      <c r="I322" s="109" t="n"/>
      <c r="J322" s="109" t="n"/>
    </row>
    <row r="323" ht="15" customFormat="1" customHeight="1" s="278">
      <c r="A323" s="109" t="n"/>
      <c r="B323" s="278" t="n"/>
      <c r="C323" s="161" t="n"/>
      <c r="D323" s="161" t="n"/>
      <c r="E323" s="109" t="n"/>
      <c r="F323" s="161" t="n"/>
      <c r="G323" s="109" t="n"/>
      <c r="H323" s="94" t="n"/>
      <c r="I323" s="109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109" t="n"/>
      <c r="F324" s="161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109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3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93" t="n"/>
      <c r="D328" s="161" t="n"/>
      <c r="E328" s="109" t="n"/>
      <c r="F328" s="505" t="n"/>
      <c r="H328" s="507" t="n"/>
      <c r="I328" s="93" t="n"/>
      <c r="J328" s="109" t="n"/>
    </row>
    <row r="329" ht="15" customFormat="1" customHeight="1" s="278">
      <c r="A329" s="72" t="n"/>
      <c r="B329" s="72" t="n"/>
      <c r="C329" s="163" t="n"/>
      <c r="D329" s="161" t="n"/>
      <c r="E329" s="109" t="n"/>
      <c r="F329" s="507" t="n"/>
      <c r="H329" s="507" t="n"/>
      <c r="I329" s="163" t="n"/>
      <c r="J329" s="109" t="n"/>
    </row>
    <row r="330" ht="15" customFormat="1" customHeight="1" s="278">
      <c r="A330" s="532" t="n"/>
      <c r="B330" s="532" t="n"/>
      <c r="C330" s="161" t="n"/>
      <c r="D330" s="161" t="n"/>
      <c r="E330" s="109" t="n"/>
      <c r="F330" s="507" t="n"/>
      <c r="G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63" t="n"/>
      <c r="C332" s="93" t="n"/>
      <c r="D332" s="161" t="n"/>
      <c r="E332" s="109" t="n"/>
      <c r="F332" s="507" t="n"/>
      <c r="H332" s="507" t="n"/>
      <c r="I332" s="109" t="n"/>
      <c r="J332" s="109" t="n"/>
    </row>
    <row r="333" ht="15.9" customFormat="1" customHeight="1" s="278">
      <c r="A333" s="109" t="n"/>
      <c r="B333" s="109" t="n"/>
      <c r="C333" s="161" t="n"/>
      <c r="D333" s="161" t="n"/>
      <c r="E333" s="109" t="n"/>
      <c r="F333" s="37" t="n"/>
      <c r="G333" s="278" t="n"/>
      <c r="H333" s="109" t="n"/>
      <c r="I333" s="109" t="n"/>
      <c r="J333" s="109" t="n"/>
    </row>
    <row r="334" ht="15.9" customFormat="1" customHeight="1" s="278">
      <c r="A334" s="72" t="n"/>
      <c r="C334" s="43" t="n"/>
      <c r="D334" s="161" t="n"/>
      <c r="E334" s="109" t="n"/>
      <c r="F334" s="109" t="n"/>
      <c r="G334" s="109" t="n"/>
      <c r="H334" s="109" t="n"/>
      <c r="I334" s="109" t="n"/>
      <c r="J334" s="109" t="n"/>
    </row>
    <row r="335" ht="15.9" customFormat="1" customHeight="1" s="278">
      <c r="A335" s="44" t="n"/>
      <c r="C335" s="44" t="n"/>
      <c r="D335" s="84" t="n"/>
      <c r="E335" s="44" t="n"/>
      <c r="F335" s="44" t="n"/>
      <c r="G335" s="44" t="n"/>
      <c r="H335" s="44" t="n"/>
      <c r="I335" s="44" t="n"/>
      <c r="J335" s="119" t="n"/>
    </row>
    <row r="336" ht="15.9" customFormat="1" customHeight="1" s="278">
      <c r="A336" s="40" t="n"/>
      <c r="C336" s="161" t="n"/>
      <c r="D336" s="85" t="n"/>
      <c r="E336" s="40" t="n"/>
      <c r="F336" s="32" t="n"/>
      <c r="G336" s="40" t="n"/>
      <c r="H336" s="32" t="n"/>
      <c r="I336" s="32" t="n"/>
      <c r="J336" s="40" t="n"/>
    </row>
    <row r="337" ht="15.9" customFormat="1" customHeight="1" s="278">
      <c r="A337" s="109" t="n"/>
      <c r="C337" s="163" t="n"/>
      <c r="D337" s="161" t="n"/>
      <c r="E337" s="109" t="n"/>
      <c r="F337" s="161" t="n"/>
      <c r="G337" s="109" t="n"/>
      <c r="H337" s="109" t="n"/>
      <c r="I337" s="501" t="n"/>
      <c r="J337" s="501" t="n"/>
    </row>
    <row r="338" ht="15.9" customFormat="1" customHeight="1" s="278">
      <c r="A338" s="109" t="n"/>
      <c r="B338" s="278" t="n"/>
      <c r="C338" s="161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44" t="n"/>
      <c r="D339" s="161" t="n"/>
      <c r="E339" s="109" t="n"/>
      <c r="F339" s="161" t="n"/>
      <c r="G339" s="109" t="n"/>
      <c r="H339" s="162" t="n"/>
      <c r="I339" s="162" t="n"/>
      <c r="J339" s="162" t="n"/>
    </row>
    <row r="340" ht="15.9" customFormat="1" customHeight="1" s="278">
      <c r="A340" s="109" t="n"/>
      <c r="B340" s="278" t="n"/>
      <c r="C340" s="93" t="n"/>
      <c r="D340" s="161" t="n"/>
      <c r="E340" s="109" t="n"/>
      <c r="F340" s="161" t="n"/>
      <c r="G340" s="109" t="n"/>
      <c r="H340" s="161" t="n"/>
      <c r="I340" s="161" t="n"/>
      <c r="J340" s="161" t="n"/>
    </row>
    <row r="341" ht="15.9" customFormat="1" customHeight="1" s="278">
      <c r="A341" s="109" t="n"/>
      <c r="B341" s="278" t="n"/>
      <c r="C341" s="16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1" t="n"/>
      <c r="D342" s="161" t="n"/>
      <c r="E342" s="109" t="n"/>
      <c r="F342" s="161" t="n"/>
      <c r="G342" s="109" t="n"/>
      <c r="H342" s="109" t="n"/>
      <c r="I342" s="109" t="n"/>
      <c r="J342" s="501" t="n"/>
    </row>
    <row r="343" ht="15.9" customFormat="1" customHeight="1" s="278">
      <c r="A343" s="109" t="n"/>
      <c r="B343" s="278" t="n"/>
      <c r="C343" s="278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44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161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3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09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7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44" t="n"/>
      <c r="C354" s="44" t="n"/>
      <c r="D354" s="84" t="n"/>
      <c r="E354" s="44" t="n"/>
      <c r="F354" s="44" t="n"/>
      <c r="G354" s="44" t="n"/>
      <c r="H354" s="44" t="n"/>
      <c r="I354" s="44" t="n"/>
      <c r="J354" s="119" t="n"/>
    </row>
    <row r="355" ht="15.9" customFormat="1" customHeight="1" s="278">
      <c r="A355" s="40" t="n"/>
      <c r="B355" s="40" t="n"/>
      <c r="C355" s="44" t="n"/>
      <c r="D355" s="85" t="n"/>
      <c r="E355" s="40" t="n"/>
      <c r="F355" s="32" t="n"/>
      <c r="G355" s="40" t="n"/>
      <c r="H355" s="32" t="n"/>
      <c r="I355" s="32" t="n"/>
      <c r="J355" s="40" t="n"/>
    </row>
    <row r="356" ht="15.9" customFormat="1" customHeight="1" s="278">
      <c r="A356" s="27" t="n"/>
      <c r="B356" s="278" t="n"/>
      <c r="C356" s="93" t="n"/>
      <c r="D356" s="161" t="n"/>
      <c r="E356" s="109" t="n"/>
      <c r="F356" s="109" t="n"/>
      <c r="G356" s="109" t="n"/>
      <c r="H356" s="93" t="n"/>
      <c r="I356" s="501" t="n"/>
      <c r="J356" s="501" t="n"/>
    </row>
    <row r="357" ht="15.9" customFormat="1" customHeight="1" s="278">
      <c r="A357" s="27" t="n"/>
      <c r="B357" s="278" t="n"/>
      <c r="C357" s="163" t="n"/>
      <c r="D357" s="161" t="n"/>
      <c r="E357" s="109" t="n"/>
      <c r="F357" s="109" t="n"/>
      <c r="G357" s="109" t="n"/>
      <c r="H357" s="163" t="n"/>
      <c r="I357" s="163" t="n"/>
      <c r="J357" s="163" t="n"/>
    </row>
    <row r="358" ht="15.9" customFormat="1" customHeight="1" s="278">
      <c r="A358" s="27" t="n"/>
      <c r="B358" s="278" t="n"/>
      <c r="C358" s="161" t="n"/>
      <c r="D358" s="161" t="n"/>
      <c r="E358" s="109" t="n"/>
      <c r="F358" s="109" t="n"/>
      <c r="G358" s="109" t="n"/>
      <c r="H358" s="161" t="n"/>
      <c r="I358" s="161" t="n"/>
      <c r="J358" s="161" t="n"/>
    </row>
    <row r="359" ht="15.9" customFormat="1" customHeight="1" s="278">
      <c r="A359" s="27" t="n"/>
      <c r="B359" s="278" t="n"/>
      <c r="C359" s="278" t="n"/>
      <c r="D359" s="161" t="n"/>
      <c r="E359" s="109" t="n"/>
      <c r="F359" s="109" t="n"/>
      <c r="G359" s="109" t="n"/>
      <c r="H359" s="109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87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161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D370" s="161" t="n"/>
      <c r="E370" s="109" t="n"/>
      <c r="F370" s="109" t="n"/>
      <c r="G370" s="278" t="n"/>
      <c r="H370" s="278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93" t="n"/>
      <c r="I374" s="501" t="n"/>
      <c r="J374" s="501" t="n"/>
    </row>
    <row r="375" ht="15.9" customFormat="1" customHeight="1" s="278">
      <c r="A375" s="27" t="n"/>
      <c r="B375" s="278" t="n"/>
      <c r="C375" s="63" t="n"/>
      <c r="D375" s="161" t="n"/>
      <c r="E375" s="109" t="n"/>
      <c r="F375" s="109" t="n"/>
      <c r="G375" s="109" t="n"/>
      <c r="H375" s="163" t="n"/>
      <c r="I375" s="163" t="n"/>
      <c r="J375" s="163" t="n"/>
    </row>
    <row r="376" ht="15.9" customFormat="1" customHeight="1" s="278">
      <c r="A376" s="27" t="n"/>
      <c r="B376" s="278" t="n"/>
      <c r="C376" s="287" t="n"/>
      <c r="D376" s="161" t="n"/>
      <c r="E376" s="109" t="n"/>
      <c r="F376" s="109" t="n"/>
      <c r="G376" s="109" t="n"/>
      <c r="H376" s="161" t="n"/>
      <c r="I376" s="161" t="n"/>
      <c r="J376" s="161" t="n"/>
    </row>
    <row r="377" ht="15.9" customFormat="1" customHeight="1" s="278">
      <c r="A377" s="27" t="n"/>
      <c r="B377" s="278" t="n"/>
      <c r="C377" s="161" t="n"/>
      <c r="D377" s="161" t="n"/>
      <c r="E377" s="109" t="n"/>
      <c r="F377" s="109" t="n"/>
      <c r="G377" s="109" t="n"/>
      <c r="H377" s="93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6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1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09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64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302" t="n"/>
      <c r="I388" s="302" t="n"/>
      <c r="J388" s="302" t="n"/>
    </row>
    <row r="389" ht="15.9" customFormat="1" customHeight="1" s="278">
      <c r="A389" s="27" t="n"/>
      <c r="B389" s="278" t="n"/>
      <c r="C389" s="63" t="n"/>
      <c r="D389" s="161" t="n"/>
      <c r="E389" s="109" t="n"/>
      <c r="F389" s="109" t="n"/>
      <c r="G389" s="109" t="n"/>
      <c r="H389" s="161" t="n"/>
      <c r="I389" s="161" t="n"/>
      <c r="J389" s="161" t="n"/>
    </row>
    <row r="390" ht="15.9" customFormat="1" customHeight="1" s="278">
      <c r="A390" s="27" t="n"/>
      <c r="B390" s="278" t="n"/>
      <c r="C390" s="287" t="n"/>
      <c r="D390" s="161" t="n"/>
      <c r="E390" s="109" t="n"/>
      <c r="F390" s="109" t="n"/>
      <c r="G390" s="109" t="n"/>
      <c r="H390" s="109" t="n"/>
      <c r="I390" s="501" t="n"/>
      <c r="J390" s="501" t="n"/>
    </row>
    <row r="391" ht="15.9" customFormat="1" customHeight="1" s="278">
      <c r="A391" s="27" t="n"/>
      <c r="B391" s="278" t="n"/>
      <c r="C391" s="161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44" t="n"/>
      <c r="C404" s="44" t="n"/>
      <c r="D404" s="84" t="n"/>
      <c r="E404" s="44" t="n"/>
      <c r="F404" s="44" t="n"/>
      <c r="G404" s="44" t="n"/>
      <c r="H404" s="44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278" t="n"/>
      <c r="C418" s="278" t="n"/>
      <c r="D418" s="161" t="n"/>
      <c r="E418" s="109" t="n"/>
      <c r="F418" s="109" t="n"/>
      <c r="G418" s="109" t="n"/>
      <c r="H418" s="109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LEFT($J$111,10)&amp;"-04"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C422" s="5" t="n"/>
      <c r="D422" s="95" t="n"/>
      <c r="E422" s="95" t="n"/>
      <c r="F422" s="95" t="n"/>
      <c r="G422" s="95" t="n"/>
      <c r="H422" s="95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28" t="n"/>
      <c r="D423" s="28" t="n"/>
      <c r="E423" s="28" t="n"/>
      <c r="F423" s="28" t="n"/>
      <c r="G423" s="28" t="n"/>
      <c r="H423" s="28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B424" s="72" t="n"/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8" t="n"/>
      <c r="C425" s="78" t="n"/>
      <c r="D425" s="82" t="n"/>
      <c r="E425" s="78" t="n"/>
      <c r="F425" s="78" t="n"/>
      <c r="G425" s="78" t="n"/>
      <c r="H425" s="7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</row>
    <row r="427" ht="15" customFormat="1" customHeight="1" s="278">
      <c r="A427" s="109" t="n"/>
      <c r="B427" s="278" t="n"/>
      <c r="C427" s="278" t="n"/>
      <c r="D427" s="161" t="n"/>
      <c r="E427" s="35" t="n"/>
      <c r="F427" s="161" t="n"/>
      <c r="H427" s="44" t="n"/>
      <c r="I427" s="44" t="n"/>
      <c r="J427" s="119" t="n"/>
    </row>
    <row r="428" ht="15" customFormat="1" customHeight="1" s="278">
      <c r="A428" s="109" t="n"/>
      <c r="B428" s="278" t="n"/>
      <c r="C428" s="278" t="n"/>
      <c r="D428" s="161" t="n"/>
      <c r="E428" s="35" t="n"/>
      <c r="F428" s="161" t="n"/>
      <c r="H428" s="44" t="n"/>
      <c r="I428" s="44" t="n"/>
      <c r="J428" s="119" t="n"/>
    </row>
    <row r="429" ht="15" customFormat="1" customHeight="1" s="278">
      <c r="A429" s="109" t="n"/>
      <c r="B429" s="278" t="n"/>
      <c r="C429" s="278" t="n"/>
      <c r="D429" s="161" t="n"/>
      <c r="E429" s="35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161" t="n"/>
      <c r="D430" s="161" t="n"/>
      <c r="E430" s="109" t="n"/>
      <c r="F430" s="161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35" t="n"/>
      <c r="F431" s="163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93" t="n"/>
      <c r="D433" s="161" t="n"/>
      <c r="E433" s="109" t="n"/>
      <c r="F433" s="69" t="n"/>
      <c r="H433" s="44" t="n"/>
      <c r="I433" s="44" t="n"/>
      <c r="J433" s="119" t="n"/>
    </row>
    <row r="434" ht="15" customFormat="1" customHeight="1" s="278">
      <c r="A434" s="72" t="n"/>
      <c r="B434" s="72" t="n"/>
      <c r="C434" s="163" t="n"/>
      <c r="D434" s="161" t="n"/>
      <c r="E434" s="109" t="n"/>
      <c r="F434" s="324" t="n"/>
      <c r="H434" s="44" t="n"/>
      <c r="I434" s="44" t="n"/>
      <c r="J434" s="119" t="n"/>
    </row>
    <row r="435" ht="15" customFormat="1" customHeight="1" s="278">
      <c r="A435" s="532" t="n"/>
      <c r="B435" s="532" t="n"/>
      <c r="C435" s="161" t="n"/>
      <c r="D435" s="161" t="n"/>
      <c r="E435" s="109" t="n"/>
      <c r="F435" s="507" t="n"/>
      <c r="H435" s="44" t="n"/>
      <c r="I435" s="44" t="n"/>
      <c r="J435" s="119" t="n"/>
    </row>
    <row r="436" ht="15" customFormat="1" customHeight="1" s="278"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" customFormat="1" customHeight="1" s="278">
      <c r="A437" s="64">
        <f>A18</f>
        <v/>
      </c>
      <c r="C437" s="93" t="n"/>
      <c r="D437" s="161" t="n"/>
      <c r="E437" s="109" t="n"/>
      <c r="F437" s="324" t="n"/>
      <c r="H437" s="44" t="n"/>
      <c r="I437" s="44" t="n"/>
      <c r="J437" s="119" t="n"/>
    </row>
    <row r="438" ht="15.9" customFormat="1" customHeight="1" s="278">
      <c r="A438" s="76">
        <f>A19</f>
        <v/>
      </c>
      <c r="C438" s="161" t="n"/>
      <c r="D438" s="161" t="n"/>
      <c r="E438" s="109" t="n"/>
      <c r="F438" s="37" t="n"/>
      <c r="H438" s="44" t="n"/>
      <c r="I438" s="44" t="n"/>
      <c r="J438" s="119" t="n"/>
    </row>
    <row r="439" ht="15.9" customFormat="1" customHeight="1" s="278">
      <c r="A439" s="72" t="n"/>
      <c r="B439" s="278" t="n"/>
      <c r="C439" s="43" t="n"/>
      <c r="D439" s="161" t="n"/>
      <c r="E439" s="109" t="n"/>
      <c r="F439" s="109" t="n"/>
      <c r="H439" s="44" t="n"/>
      <c r="I439" s="44" t="n"/>
      <c r="J439" s="119" t="n"/>
    </row>
    <row r="440" ht="15.9" customFormat="1" customHeight="1" s="278">
      <c r="A440" s="44" t="n"/>
      <c r="C440" s="44" t="n"/>
      <c r="D440" s="84" t="n"/>
      <c r="E440" s="44" t="n"/>
      <c r="F440" s="44" t="n"/>
      <c r="H440" s="44" t="n"/>
      <c r="I440" s="44" t="n"/>
      <c r="J440" s="119" t="n"/>
    </row>
    <row r="441" ht="15.9" customFormat="1" customHeight="1" s="278">
      <c r="A441" s="40" t="n"/>
      <c r="C441" s="161" t="n"/>
      <c r="D441" s="85" t="n"/>
      <c r="E441" s="40" t="n"/>
      <c r="F441" s="32" t="n"/>
      <c r="H441" s="44" t="n"/>
      <c r="I441" s="44" t="n"/>
      <c r="J441" s="119" t="n"/>
    </row>
    <row r="442" ht="35.1" customFormat="1" customHeight="1" s="278">
      <c r="A442" s="109" t="n"/>
      <c r="B442" s="64" t="n"/>
      <c r="C442" s="163" t="n"/>
      <c r="D442" s="161" t="n"/>
      <c r="E442" s="109" t="n"/>
      <c r="F442" s="161" t="n"/>
      <c r="G442" s="109" t="n"/>
      <c r="H442" s="109" t="n"/>
      <c r="I442" s="501" t="n"/>
      <c r="J442" s="501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44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1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3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109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7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.9" customFormat="1" customHeight="1" s="23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109" t="n"/>
      <c r="J458" s="109" t="n"/>
    </row>
    <row r="459" ht="15.9" customFormat="1" customHeight="1" s="278">
      <c r="A459" s="44" t="n"/>
      <c r="B459" s="44" t="n"/>
      <c r="C459" s="44" t="n"/>
      <c r="D459" s="84" t="n"/>
      <c r="E459" s="44" t="n"/>
      <c r="F459" s="44" t="n"/>
      <c r="G459" s="44" t="n"/>
      <c r="H459" s="44" t="n"/>
      <c r="I459" s="44" t="n"/>
      <c r="J459" s="119" t="n"/>
    </row>
    <row r="460" ht="15.9" customFormat="1" customHeight="1" s="278">
      <c r="A460" s="40" t="n"/>
      <c r="B460" s="40" t="n"/>
      <c r="C460" s="44" t="n"/>
      <c r="D460" s="85" t="n"/>
      <c r="E460" s="40" t="n"/>
      <c r="F460" s="32" t="n"/>
      <c r="G460" s="40" t="n"/>
      <c r="H460" s="32" t="n"/>
      <c r="I460" s="32" t="n"/>
      <c r="J460" s="40" t="n"/>
    </row>
    <row r="461" ht="15.9" customFormat="1" customHeight="1" s="278">
      <c r="A461" s="27" t="n"/>
      <c r="B461" s="278" t="n"/>
      <c r="C461" s="93" t="n"/>
      <c r="D461" s="161" t="n"/>
      <c r="E461" s="109" t="n"/>
      <c r="F461" s="109" t="n"/>
      <c r="G461" s="109" t="n"/>
      <c r="H461" s="93" t="n"/>
      <c r="I461" s="501" t="n"/>
      <c r="J461" s="501" t="n"/>
    </row>
    <row r="462" ht="15.9" customFormat="1" customHeight="1" s="278">
      <c r="A462" s="27" t="n"/>
      <c r="B462" s="278" t="n"/>
      <c r="C462" s="163" t="n"/>
      <c r="D462" s="161" t="n"/>
      <c r="E462" s="109" t="n"/>
      <c r="F462" s="109" t="n"/>
      <c r="G462" s="109" t="n"/>
      <c r="H462" s="287" t="n"/>
      <c r="I462" s="287" t="n"/>
      <c r="J462" s="302" t="n"/>
    </row>
    <row r="463" ht="15.9" customFormat="1" customHeight="1" s="278">
      <c r="A463" s="27" t="n"/>
      <c r="B463" s="278" t="n"/>
      <c r="C463" s="161" t="n"/>
      <c r="D463" s="161" t="n"/>
      <c r="E463" s="109" t="n"/>
      <c r="F463" s="109" t="n"/>
      <c r="G463" s="109" t="n"/>
      <c r="H463" s="278" t="n"/>
      <c r="I463" s="278" t="n"/>
      <c r="J463" s="109" t="n"/>
    </row>
    <row r="464" ht="15.9" customFormat="1" customHeight="1" s="278">
      <c r="A464" s="27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.9" customFormat="1" customHeight="1" s="278">
      <c r="A465" s="27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.9" customFormat="1" customHeight="1" s="278">
      <c r="A466" s="27" t="n"/>
      <c r="B466" s="278" t="n"/>
      <c r="C466" s="287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.9" customFormat="1" customHeight="1" s="278">
      <c r="A467" s="27" t="n"/>
      <c r="B467" s="278" t="n"/>
      <c r="C467" s="161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.9" customFormat="1" customHeight="1" s="278">
      <c r="A468" s="27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.9" customFormat="1" customHeight="1" s="278">
      <c r="A469" s="27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.9" customFormat="1" customHeight="1" s="278">
      <c r="A470" s="27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.9" customFormat="1" customHeight="1" s="278">
      <c r="A471" s="27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.9" customFormat="1" customHeight="1" s="278">
      <c r="A472" s="27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.9" customFormat="1" customHeight="1" s="278">
      <c r="A473" s="27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.9" customFormat="1" customHeight="1" s="278">
      <c r="A474" s="27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.9" customFormat="1" customHeight="1" s="278">
      <c r="A475" s="27" t="n"/>
      <c r="D475" s="161" t="n"/>
      <c r="E475" s="109" t="n"/>
      <c r="F475" s="109" t="n"/>
      <c r="G475" s="278" t="n"/>
      <c r="H475" s="278" t="n"/>
      <c r="I475" s="501" t="n"/>
      <c r="J475" s="501" t="n"/>
    </row>
    <row r="476" ht="15.9" customFormat="1" customHeight="1" s="278">
      <c r="A476" s="27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78">
      <c r="A477" s="27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78">
      <c r="A478" s="27" t="n"/>
      <c r="B478" s="278" t="n"/>
      <c r="C478" s="278" t="n"/>
      <c r="D478" s="161" t="n"/>
      <c r="E478" s="109" t="n"/>
      <c r="F478" s="109" t="n"/>
      <c r="G478" s="109" t="n"/>
      <c r="H478" s="109" t="n"/>
      <c r="I478" s="501" t="n"/>
      <c r="J478" s="501" t="n"/>
    </row>
    <row r="479" ht="15.9" customFormat="1" customHeight="1" s="278">
      <c r="A479" s="27" t="n"/>
      <c r="B479" s="278" t="n"/>
      <c r="C479" s="278" t="n"/>
      <c r="D479" s="161" t="n"/>
      <c r="E479" s="109" t="n"/>
      <c r="F479" s="109" t="n"/>
      <c r="G479" s="109" t="n"/>
      <c r="H479" s="93" t="n"/>
      <c r="I479" s="501" t="n"/>
      <c r="J479" s="501" t="n"/>
    </row>
    <row r="480" ht="15.9" customFormat="1" customHeight="1" s="278">
      <c r="A480" s="27" t="n"/>
      <c r="B480" s="278" t="n"/>
      <c r="C480" s="63" t="n"/>
      <c r="D480" s="161" t="n"/>
      <c r="E480" s="109" t="n"/>
      <c r="F480" s="109" t="n"/>
      <c r="G480" s="109" t="n"/>
      <c r="H480" s="287" t="n"/>
      <c r="I480" s="287" t="n"/>
      <c r="J480" s="302" t="n"/>
    </row>
    <row r="481" ht="15.9" customFormat="1" customHeight="1" s="278">
      <c r="A481" s="27" t="n"/>
      <c r="B481" s="278" t="n"/>
      <c r="C481" s="287" t="n"/>
      <c r="D481" s="161" t="n"/>
      <c r="E481" s="109" t="n"/>
      <c r="F481" s="109" t="n"/>
      <c r="G481" s="109" t="n"/>
      <c r="H481" s="278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93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287" t="n"/>
      <c r="I483" s="287" t="n"/>
      <c r="J483" s="302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278" t="n"/>
      <c r="I484" s="278" t="n"/>
      <c r="J484" s="109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109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109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109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109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109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109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109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109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109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109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109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109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109" t="n"/>
      <c r="I500" s="109" t="n"/>
      <c r="J500" s="501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109" t="n"/>
      <c r="I501" s="109" t="n"/>
      <c r="J501" s="501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109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109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109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W515" s="278" t="n"/>
    </row>
    <row r="516" ht="15.9" customFormat="1" customHeight="1" s="278" thickBot="1">
      <c r="W516" s="278" t="n"/>
    </row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  <c r="W517" s="278" t="n"/>
    </row>
    <row r="518" ht="35.1" customFormat="1" customHeight="1" s="278" thickBot="1">
      <c r="A518" s="309" t="inlineStr">
        <is>
          <t>ITEM</t>
        </is>
      </c>
      <c r="B518" s="310" t="inlineStr">
        <is>
          <t>DESCRIPTION</t>
        </is>
      </c>
      <c r="C518" s="311" t="inlineStr">
        <is>
          <t>DESCRIPTION</t>
        </is>
      </c>
      <c r="D518" s="312" t="inlineStr">
        <is>
          <t>HEIGHT</t>
        </is>
      </c>
      <c r="E518" s="311" t="inlineStr">
        <is>
          <t>KG/m</t>
        </is>
      </c>
      <c r="F518" s="313" t="inlineStr">
        <is>
          <t>FORMULA</t>
        </is>
      </c>
      <c r="G518" s="314" t="n"/>
      <c r="H518" s="312" t="inlineStr">
        <is>
          <t>FORMULA</t>
        </is>
      </c>
      <c r="I518" s="312" t="inlineStr">
        <is>
          <t>WIDTH</t>
        </is>
      </c>
      <c r="J518" s="3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  <c r="W518" s="278" t="n"/>
    </row>
    <row r="519" ht="15.9" customFormat="1" customHeight="1" s="278">
      <c r="A519" s="186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((W-182-113.25)/2)-13</t>
        </is>
      </c>
      <c r="I519" s="124">
        <f>(($J$126-182-113.25)/2)-13</f>
        <v/>
      </c>
      <c r="J519" s="151">
        <f>$J$120*2</f>
        <v/>
      </c>
      <c r="M519" s="278">
        <f>ROW()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  <c r="W519" s="278" t="n"/>
    </row>
    <row r="520" ht="15.9" customFormat="1" customHeight="1" s="278">
      <c r="A520" s="152" t="n"/>
      <c r="B520" s="140" t="n"/>
      <c r="C520" s="295" t="n"/>
      <c r="D520" s="296" t="inlineStr">
        <is>
          <t xml:space="preserve"> </t>
        </is>
      </c>
      <c r="E520" s="242" t="n"/>
      <c r="F520" s="251" t="n"/>
      <c r="G520" s="297" t="n"/>
      <c r="H520" s="295" t="n"/>
      <c r="I520" s="298" t="n"/>
      <c r="J520" s="299" t="n"/>
      <c r="M520" s="278">
        <f>ROW()</f>
        <v/>
      </c>
      <c r="N520" s="415" t="inlineStr">
        <is>
          <t>กระจก 6 mm (สูง) (กว้าง)</t>
        </is>
      </c>
      <c r="O520" s="415" t="inlineStr">
        <is>
          <t>GLASS thk.6 mm (H) (W)</t>
        </is>
      </c>
      <c r="W520" s="278" t="n"/>
    </row>
    <row r="521" ht="15.9" customFormat="1" customHeight="1" s="278">
      <c r="A521" s="152" t="n"/>
      <c r="B521" s="140" t="n"/>
      <c r="C521" s="295" t="n"/>
      <c r="D521" s="296" t="n"/>
      <c r="E521" s="242" t="n"/>
      <c r="F521" s="251" t="n"/>
      <c r="G521" s="297" t="n"/>
      <c r="H521" s="295" t="n"/>
      <c r="I521" s="298" t="n"/>
      <c r="J521" s="299" t="n"/>
      <c r="M521" s="278">
        <f>ROW()</f>
        <v/>
      </c>
      <c r="N521" s="415" t="inlineStr">
        <is>
          <t>กระจก 8 mm (สูง) (กว้าง)</t>
        </is>
      </c>
      <c r="O521" s="415" t="inlineStr">
        <is>
          <t>GLASS thk.8 mm (H) (W)</t>
        </is>
      </c>
      <c r="W521" s="278" t="n"/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M522" s="278">
        <f>ROW()</f>
        <v/>
      </c>
      <c r="N522" s="415" t="inlineStr">
        <is>
          <t>กระจก 10 mm (สูง) (กว้าง)</t>
        </is>
      </c>
      <c r="O522" s="415" t="inlineStr">
        <is>
          <t>GLASS thk.10 mm (H) (W)</t>
        </is>
      </c>
      <c r="W522" s="278" t="n"/>
    </row>
    <row r="523" ht="15.9" customFormat="1" customHeight="1" s="278">
      <c r="A523" s="240">
        <f>IF(B523="","",+A520+1)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M523" s="278">
        <f>ROW()</f>
        <v/>
      </c>
      <c r="N523" s="415" t="inlineStr">
        <is>
          <t>กระจก 12 mm (สูง) (กว้าง)</t>
        </is>
      </c>
      <c r="O523" s="415" t="inlineStr">
        <is>
          <t>GLASS thk.12 mm (H) (W)</t>
        </is>
      </c>
      <c r="W523" s="278" t="n"/>
    </row>
    <row r="524" ht="15.9" customFormat="1" customHeight="1" s="278">
      <c r="A524" s="109">
        <f>IF(B524="","",+A523+1)</f>
        <v/>
      </c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99">
        <f>LEFT($J$111,10)&amp;"-05"</f>
        <v/>
      </c>
      <c r="M524" s="278">
        <f>ROW()</f>
        <v/>
      </c>
      <c r="N524" s="415" t="inlineStr">
        <is>
          <t>กระจก 14 mm (สูง) (กว้าง)</t>
        </is>
      </c>
      <c r="O524" s="415" t="inlineStr">
        <is>
          <t>GLASS thk.14 mm (H) (W)</t>
        </is>
      </c>
      <c r="W524" s="278" t="n"/>
    </row>
    <row r="525">
      <c r="M525" s="278">
        <f>ROW()</f>
        <v/>
      </c>
      <c r="N525" s="415" t="inlineStr">
        <is>
          <t>กระจก 18 mm (สูง) (กว้าง)</t>
        </is>
      </c>
      <c r="O525" s="415" t="inlineStr">
        <is>
          <t>GLASS thk.18 mm (H) (W)</t>
        </is>
      </c>
      <c r="P525" s="278" t="n"/>
      <c r="Q525" s="278" t="n"/>
      <c r="R525" s="278" t="n"/>
      <c r="S525" s="278" t="n"/>
      <c r="T525" s="278" t="n"/>
      <c r="U525" s="278" t="n"/>
      <c r="V525" s="278" t="n"/>
    </row>
    <row r="526">
      <c r="M526" s="278">
        <f>ROW()</f>
        <v/>
      </c>
      <c r="N526" s="415" t="inlineStr">
        <is>
          <t>กระจก 20 mm (สูง) (กว้าง)</t>
        </is>
      </c>
      <c r="O526" s="415" t="inlineStr">
        <is>
          <t>GLASS thk.20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ROW()</f>
        <v/>
      </c>
      <c r="N527" s="415" t="inlineStr">
        <is>
          <t>กระจก 22 mm (สูง) (กว้าง)</t>
        </is>
      </c>
      <c r="O527" s="415" t="inlineStr">
        <is>
          <t>GLASS thk.22 mm (H) (W)</t>
        </is>
      </c>
      <c r="P527" s="278" t="n"/>
    </row>
    <row r="528">
      <c r="P528" s="278" t="n"/>
    </row>
    <row r="529">
      <c r="P529" s="278" t="n"/>
    </row>
    <row r="530">
      <c r="P530" s="278" t="n"/>
    </row>
    <row r="531">
      <c r="P531" s="278" t="n"/>
    </row>
    <row r="532">
      <c r="P532" s="278" t="n"/>
    </row>
    <row r="533">
      <c r="P533" s="278" t="n"/>
    </row>
    <row r="534">
      <c r="P534" s="278" t="n"/>
    </row>
  </sheetData>
  <mergeCells count="43">
    <mergeCell ref="I158:J158"/>
    <mergeCell ref="H171:H172"/>
    <mergeCell ref="D127:G127"/>
    <mergeCell ref="D121:G121"/>
    <mergeCell ref="A131:J131"/>
    <mergeCell ref="H167:H170"/>
    <mergeCell ref="I160:J160"/>
    <mergeCell ref="I170:J171"/>
    <mergeCell ref="D163:D164"/>
    <mergeCell ref="D129:G129"/>
    <mergeCell ref="F329:G329"/>
    <mergeCell ref="D123:G123"/>
    <mergeCell ref="A117:J117"/>
    <mergeCell ref="J123:J124"/>
    <mergeCell ref="H163:H164"/>
    <mergeCell ref="A173:J173"/>
    <mergeCell ref="H120:I121"/>
    <mergeCell ref="I159:J159"/>
    <mergeCell ref="A319:J319"/>
    <mergeCell ref="I166:J169"/>
    <mergeCell ref="D119:G119"/>
    <mergeCell ref="I165:J165"/>
    <mergeCell ref="I162:J162"/>
    <mergeCell ref="H126:I127"/>
    <mergeCell ref="D171:D172"/>
    <mergeCell ref="I161:J161"/>
    <mergeCell ref="A6:J6"/>
    <mergeCell ref="D165:D166"/>
    <mergeCell ref="A517:J517"/>
    <mergeCell ref="F519:G519"/>
    <mergeCell ref="A212:J212"/>
    <mergeCell ref="J120:J121"/>
    <mergeCell ref="F332:G332"/>
    <mergeCell ref="A426:J426"/>
    <mergeCell ref="D167:D170"/>
    <mergeCell ref="A125:B125"/>
    <mergeCell ref="J126:J127"/>
    <mergeCell ref="I172:J172"/>
    <mergeCell ref="I163:J164"/>
    <mergeCell ref="H165:H166"/>
    <mergeCell ref="D125:G125"/>
    <mergeCell ref="H123:I124"/>
    <mergeCell ref="F328:G328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3">
    <tabColor theme="5" tint="-0.249977111117893"/>
    <outlinePr summaryBelow="1" summaryRight="1"/>
    <pageSetUpPr/>
  </sheetPr>
  <dimension ref="A2:Y527"/>
  <sheetViews>
    <sheetView showGridLines="0" view="pageBreakPreview" topLeftCell="A178" zoomScale="75" zoomScaleNormal="75" zoomScaleSheetLayoutView="75" workbookViewId="0">
      <selection activeCell="D183" sqref="D183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4.109375" bestFit="1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4.44140625" customWidth="1" style="344" min="8" max="8"/>
    <col width="11.109375" bestFit="1" customWidth="1" style="344" min="9" max="9"/>
    <col width="11.6640625" customWidth="1" style="112" min="10" max="10"/>
    <col width="10" bestFit="1" customWidth="1" style="344" min="13" max="13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8.33203125" customWidth="1" style="344" min="21" max="21"/>
    <col hidden="1" outlineLevel="1" width="11.10937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240-2 Panel (R)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FG-240-2PR-01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Mini Mockup</t>
        </is>
      </c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Black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8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3000</v>
      </c>
      <c r="K126" s="507" t="n"/>
      <c r="L126" s="507" t="n"/>
      <c r="N126" s="248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8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4</v>
      </c>
      <c r="U133" s="283" t="inlineStr">
        <is>
          <t>(W-182-113.25)/2</t>
        </is>
      </c>
      <c r="V133" s="285">
        <f>($J$126-182-113.25)/2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4</v>
      </c>
      <c r="U134" s="143" t="inlineStr">
        <is>
          <t>(W-182-113.25)/2</t>
        </is>
      </c>
      <c r="V134" s="285">
        <f>($J$126-182-113.25)/2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4</v>
      </c>
      <c r="U135" s="240" t="inlineStr">
        <is>
          <t>(W-182-113.25)/2</t>
        </is>
      </c>
      <c r="V135" s="285">
        <f>($J$126-182-113.25)/2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  <c r="O140" s="278" t="n"/>
      <c r="P140" s="278" t="n"/>
      <c r="Q140" s="278" t="n"/>
      <c r="R140" s="278" t="n"/>
      <c r="S140" s="278" t="n"/>
      <c r="T140" s="278" t="n"/>
      <c r="U140" s="278" t="n"/>
      <c r="V140" s="278" t="n"/>
      <c r="W140" s="278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2</v>
      </c>
      <c r="H141" s="143" t="inlineStr">
        <is>
          <t>45° (W-60-(2+1)×4)/2</t>
        </is>
      </c>
      <c r="I141" s="178">
        <f>($J$126-60-(2+1)*4)/2</f>
        <v/>
      </c>
      <c r="J141" s="131">
        <f>$J$120*G141</f>
        <v/>
      </c>
      <c r="N141" s="287" t="n"/>
      <c r="O141" s="278" t="n"/>
      <c r="P141" s="278" t="n"/>
      <c r="Q141" s="278" t="n"/>
      <c r="R141" s="278" t="n"/>
      <c r="S141" s="278" t="n"/>
      <c r="T141" s="278" t="n"/>
      <c r="U141" s="278" t="n"/>
      <c r="V141" s="278" t="n"/>
      <c r="W141" s="278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2</v>
      </c>
      <c r="H142" s="143" t="inlineStr">
        <is>
          <t>45° (W-60-(2+1)×4)/2</t>
        </is>
      </c>
      <c r="I142" s="178">
        <f>($J$126-60-(2+1)*4)/2</f>
        <v/>
      </c>
      <c r="J142" s="131">
        <f>$J$120*G142</f>
        <v/>
      </c>
      <c r="N142" s="287" t="n"/>
      <c r="O142" s="278" t="n"/>
      <c r="P142" s="278" t="n"/>
      <c r="Q142" s="278" t="n"/>
      <c r="R142" s="278" t="n"/>
      <c r="S142" s="278" t="n"/>
      <c r="T142" s="278" t="n"/>
      <c r="U142" s="278" t="n"/>
      <c r="V142" s="278" t="n"/>
      <c r="W142" s="278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  <c r="O143" s="278" t="n"/>
      <c r="P143" s="278" t="n"/>
      <c r="Q143" s="278" t="n"/>
      <c r="R143" s="278" t="n"/>
      <c r="S143" s="278" t="n"/>
      <c r="T143" s="278" t="n"/>
      <c r="U143" s="278" t="n"/>
      <c r="V143" s="278" t="n"/>
      <c r="W143" s="278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  <c r="O144" s="278" t="n"/>
      <c r="P144" s="278" t="n"/>
      <c r="Q144" s="278" t="n"/>
      <c r="R144" s="278" t="n"/>
      <c r="S144" s="278" t="n"/>
      <c r="T144" s="278" t="n"/>
      <c r="U144" s="278" t="n"/>
      <c r="V144" s="278" t="n"/>
      <c r="W144" s="278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31">
        <f>$J$120*G145</f>
        <v/>
      </c>
      <c r="N145" s="287" t="n"/>
      <c r="O145" s="278" t="n"/>
      <c r="P145" s="278" t="n"/>
      <c r="Q145" s="278" t="n"/>
      <c r="R145" s="278" t="n"/>
      <c r="S145" s="278" t="n"/>
      <c r="T145" s="278" t="n"/>
      <c r="U145" s="278" t="n"/>
      <c r="V145" s="278" t="n"/>
      <c r="W145" s="278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31">
        <f>$J$120*G146</f>
        <v/>
      </c>
      <c r="N146" s="287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44" t="n"/>
      <c r="J147" s="131">
        <f>$J$120*G147</f>
        <v/>
      </c>
      <c r="N147" s="287" t="n"/>
      <c r="O147" s="278" t="n"/>
      <c r="P147" s="278" t="n"/>
      <c r="Q147" s="278" t="n"/>
      <c r="R147" s="278" t="n"/>
      <c r="S147" s="278" t="n"/>
      <c r="T147" s="278" t="n"/>
      <c r="U147" s="278" t="n"/>
      <c r="V147" s="278" t="n"/>
      <c r="W147" s="278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44" t="n"/>
      <c r="J148" s="131">
        <f>$J$120*G148</f>
        <v/>
      </c>
      <c r="N148" s="287" t="n"/>
      <c r="O148" s="278" t="n"/>
      <c r="P148" s="278" t="n"/>
      <c r="Q148" s="278" t="n"/>
      <c r="R148" s="278" t="n"/>
      <c r="S148" s="278" t="n"/>
      <c r="T148" s="278" t="n"/>
      <c r="U148" s="278" t="n"/>
      <c r="V148" s="278" t="n"/>
      <c r="W148" s="278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44" t="n"/>
      <c r="J149" s="131">
        <f>$J$120*G149</f>
        <v/>
      </c>
      <c r="N149" s="287" t="n"/>
      <c r="O149" s="278" t="n"/>
      <c r="P149" s="278" t="n"/>
      <c r="Q149" s="278" t="n"/>
      <c r="R149" s="278" t="n"/>
      <c r="S149" s="278" t="n"/>
      <c r="T149" s="278" t="n"/>
      <c r="U149" s="278" t="n"/>
      <c r="V149" s="278" t="n"/>
      <c r="W149" s="278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  <c r="O150" s="278" t="n"/>
      <c r="P150" s="278" t="n"/>
      <c r="Q150" s="278" t="n"/>
      <c r="R150" s="278" t="n"/>
      <c r="S150" s="278" t="n"/>
      <c r="T150" s="278" t="n"/>
      <c r="U150" s="278" t="n"/>
      <c r="V150" s="278" t="n"/>
      <c r="W150" s="278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>
        <f>$J$120*G151</f>
        <v/>
      </c>
      <c r="N151" s="287" t="n"/>
      <c r="O151" s="278" t="n"/>
      <c r="P151" s="278" t="n"/>
      <c r="Q151" s="278" t="n"/>
      <c r="R151" s="278" t="n"/>
      <c r="S151" s="278" t="n"/>
      <c r="T151" s="278" t="n"/>
      <c r="U151" s="278" t="n"/>
      <c r="V151" s="278" t="n"/>
      <c r="W151" s="278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  <c r="O152" s="278" t="n"/>
      <c r="P152" s="278" t="n"/>
      <c r="Q152" s="278" t="n"/>
      <c r="R152" s="278" t="n"/>
      <c r="S152" s="278" t="n"/>
      <c r="T152" s="278" t="n"/>
      <c r="U152" s="278" t="n"/>
      <c r="V152" s="278" t="n"/>
      <c r="W152" s="278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  <c r="O153" s="278" t="n"/>
      <c r="P153" s="278" t="n"/>
      <c r="Q153" s="278" t="n"/>
      <c r="R153" s="278" t="n"/>
      <c r="S153" s="278" t="n"/>
      <c r="T153" s="278" t="n"/>
      <c r="U153" s="278" t="n"/>
      <c r="V153" s="278" t="n"/>
      <c r="W153" s="278" t="n"/>
    </row>
    <row r="154" ht="18" customFormat="1" customHeight="1" s="278">
      <c r="A154" s="143">
        <f>IF(B154="","",+A153+1)</f>
        <v/>
      </c>
      <c r="B154" s="140" t="n"/>
      <c r="C154" s="140" t="n"/>
      <c r="D154" s="139" t="n"/>
      <c r="E154" s="143" t="n"/>
      <c r="F154" s="139" t="n"/>
      <c r="G154" s="143" t="n"/>
      <c r="H154" s="143" t="n"/>
      <c r="I154" s="144" t="n"/>
      <c r="J154" s="131">
        <f>$J$120*G154</f>
        <v/>
      </c>
      <c r="N154" s="287" t="n"/>
    </row>
    <row r="155" ht="18" customFormat="1" customHeight="1" s="278">
      <c r="A155" s="143">
        <f>IF(B155="","",+A154+1)</f>
        <v/>
      </c>
      <c r="B155" s="140" t="n"/>
      <c r="C155" s="140" t="n"/>
      <c r="D155" s="139" t="n"/>
      <c r="E155" s="143" t="n"/>
      <c r="F155" s="139" t="n"/>
      <c r="G155" s="143" t="n"/>
      <c r="H155" s="143" t="n"/>
      <c r="I155" s="144" t="n"/>
      <c r="J155" s="131">
        <f>$J$120*G155</f>
        <v/>
      </c>
      <c r="N155" s="287" t="n"/>
    </row>
    <row r="156" ht="18" customFormat="1" customHeight="1" s="278">
      <c r="A156" s="143">
        <f>IF(B156="","",+A155+1)</f>
        <v/>
      </c>
      <c r="B156" s="140" t="n"/>
      <c r="C156" s="140" t="n"/>
      <c r="D156" s="139" t="n"/>
      <c r="E156" s="143" t="n"/>
      <c r="F156" s="139" t="n"/>
      <c r="G156" s="143" t="n"/>
      <c r="H156" s="143" t="n"/>
      <c r="I156" s="144" t="n"/>
      <c r="J156" s="131">
        <f>$J$120*G156</f>
        <v/>
      </c>
      <c r="N156" s="287" t="n"/>
    </row>
    <row r="157" ht="18" customFormat="1" customHeight="1" s="278" thickBot="1">
      <c r="A157" s="143">
        <f>IF(B157="","",+A156+1)</f>
        <v/>
      </c>
      <c r="B157" s="207" t="n"/>
      <c r="C157" s="207" t="n"/>
      <c r="D157" s="208" t="n"/>
      <c r="E157" s="209" t="n"/>
      <c r="F157" s="208" t="n"/>
      <c r="G157" s="209" t="n"/>
      <c r="H157" s="209" t="n"/>
      <c r="I157" s="171" t="n"/>
      <c r="J157" s="172">
        <f>$J$120*G157</f>
        <v/>
      </c>
    </row>
    <row r="158" outlineLevel="1" ht="27" customFormat="1" customHeight="1" s="278" thickBot="1">
      <c r="A158" s="169" t="inlineStr">
        <is>
          <t>ITEM</t>
        </is>
      </c>
      <c r="B158" s="169" t="inlineStr">
        <is>
          <t>THAI</t>
        </is>
      </c>
      <c r="C158" s="169" t="inlineStr">
        <is>
          <t>DESCRIPTION</t>
        </is>
      </c>
      <c r="D158" s="169" t="inlineStr">
        <is>
          <t>DIE NO.</t>
        </is>
      </c>
      <c r="E158" s="169" t="inlineStr">
        <is>
          <t>KG/m</t>
        </is>
      </c>
      <c r="F158" s="177" t="inlineStr">
        <is>
          <t>TOTAL
LENGTH/SET(mm)</t>
        </is>
      </c>
      <c r="G158" s="169" t="inlineStr">
        <is>
          <t>LENGTH/SET(m)</t>
        </is>
      </c>
      <c r="H158" s="170" t="inlineStr">
        <is>
          <t>TAKE OFF/6.4M</t>
        </is>
      </c>
      <c r="I158" s="540" t="n"/>
    </row>
    <row r="159" outlineLevel="1" ht="15" customFormat="1" customHeight="1" s="278">
      <c r="A159" s="21">
        <f>IF(B159="","",1)</f>
        <v/>
      </c>
      <c r="B159" s="173">
        <f>B133</f>
        <v/>
      </c>
      <c r="C159" s="173">
        <f>C133</f>
        <v/>
      </c>
      <c r="D159" s="577">
        <f>VLOOKUP(C159,$C$133:$H$157,2,0)</f>
        <v/>
      </c>
      <c r="E159" s="175">
        <f>VLOOKUP(C159,$C$133:$H$157,3,0)</f>
        <v/>
      </c>
      <c r="F159" s="175">
        <f>VLOOKUP(C159,$C$133:$J$157,7,0)</f>
        <v/>
      </c>
      <c r="G159" s="175">
        <f>VLOOKUP(C159,$C$133:$J$157,8,0)</f>
        <v/>
      </c>
      <c r="H159" s="176">
        <f>ROUNDUP((F159*G159)/6400,0)</f>
        <v/>
      </c>
      <c r="I159" s="500" t="n"/>
    </row>
    <row r="160" outlineLevel="1" ht="15" customFormat="1" customHeight="1" s="278">
      <c r="A160" s="213">
        <f>IF(B160="","",+A159+1)</f>
        <v/>
      </c>
      <c r="B160" s="173">
        <f>B134</f>
        <v/>
      </c>
      <c r="C160" s="173">
        <f>C134</f>
        <v/>
      </c>
      <c r="D160" s="577">
        <f>VLOOKUP(C160,$C$133:$H$157,2,0)</f>
        <v/>
      </c>
      <c r="E160" s="175">
        <f>VLOOKUP(C160,$C$133:$H$157,3,0)</f>
        <v/>
      </c>
      <c r="F160" s="175">
        <f>VLOOKUP(C160,$C$133:$I$157,7,0)</f>
        <v/>
      </c>
      <c r="G160" s="175">
        <f>VLOOKUP(C160,$C$133:$J$157,8,0)</f>
        <v/>
      </c>
      <c r="H160" s="176">
        <f>ROUNDUP((F160*G160)/6400,0)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B135</f>
        <v/>
      </c>
      <c r="C161" s="173">
        <f>C135</f>
        <v/>
      </c>
      <c r="D161" s="577">
        <f>VLOOKUP(C161,$C$133:$H$157,2,0)</f>
        <v/>
      </c>
      <c r="E161" s="175">
        <f>VLOOKUP(C161,$C$133:$H$157,3,0)</f>
        <v/>
      </c>
      <c r="F161" s="175">
        <f>VLOOKUP(C161,$C$133:$I$157,7,0)</f>
        <v/>
      </c>
      <c r="G161" s="175">
        <f>VLOOKUP(C161,$C$133:$J$157,8,0)</f>
        <v/>
      </c>
      <c r="H161" s="176">
        <f>ROUNDUP((F161*G161)/6400,0)</f>
        <v/>
      </c>
      <c r="I161" s="500" t="n"/>
    </row>
    <row r="162" outlineLevel="1" ht="15" customFormat="1" customHeight="1" s="278">
      <c r="A162" s="213">
        <f>IF(B162="","",+A161+1)</f>
        <v/>
      </c>
      <c r="B162" s="173">
        <f>B136</f>
        <v/>
      </c>
      <c r="C162" s="173">
        <f>C136</f>
        <v/>
      </c>
      <c r="D162" s="577">
        <f>VLOOKUP(C162,$C$133:$H$157,2,0)</f>
        <v/>
      </c>
      <c r="E162" s="175">
        <f>VLOOKUP(C162,$C$133:$H$157,3,0)</f>
        <v/>
      </c>
      <c r="F162" s="175">
        <f>VLOOKUP(C162,$C$133:$I$157,7,0)</f>
        <v/>
      </c>
      <c r="G162" s="175">
        <f>VLOOKUP(C162,$C$133:$J$157,8,0)</f>
        <v/>
      </c>
      <c r="H162" s="176">
        <f>ROUNDUP((F162*G162)/6400,0)</f>
        <v/>
      </c>
      <c r="I162" s="500" t="n"/>
    </row>
    <row r="163" outlineLevel="1" ht="15" customFormat="1" customHeight="1" s="278">
      <c r="A163" s="213">
        <f>IF(B163="","",+A162+1)</f>
        <v/>
      </c>
      <c r="B163" s="173">
        <f>B137</f>
        <v/>
      </c>
      <c r="C163" s="173">
        <f>C137</f>
        <v/>
      </c>
      <c r="D163" s="643">
        <f>VLOOKUP(C163,$C$133:$H$157,2,0)</f>
        <v/>
      </c>
      <c r="E163" s="175">
        <f>VLOOKUP(C163,$C$133:$H$157,3,0)</f>
        <v/>
      </c>
      <c r="F163" s="175">
        <f>VLOOKUP(C163,$C$133:$I$157,7,0)</f>
        <v/>
      </c>
      <c r="G163" s="175">
        <f>VLOOKUP(C163,$C$133:$J$157,8,0)</f>
        <v/>
      </c>
      <c r="H163" s="516">
        <f>ROUNDUP(((F163*G163)+(F164*G164))/6400,0)</f>
        <v/>
      </c>
      <c r="I163" s="506" t="n"/>
    </row>
    <row r="164" outlineLevel="1" ht="15" customFormat="1" customHeight="1" s="278">
      <c r="A164" s="213">
        <f>IF(B164="","",+A163+1)</f>
        <v/>
      </c>
      <c r="B164" s="173">
        <f>B138</f>
        <v/>
      </c>
      <c r="C164" s="173">
        <f>C138</f>
        <v/>
      </c>
      <c r="D164" s="625" t="n"/>
      <c r="E164" s="175">
        <f>VLOOKUP(C164,$C$133:$H$157,3,0)</f>
        <v/>
      </c>
      <c r="F164" s="175">
        <f>VLOOKUP(C164,$C$133:$I$157,7,0)</f>
        <v/>
      </c>
      <c r="G164" s="175">
        <f>VLOOKUP(C164,$C$133:$J$157,8,0)</f>
        <v/>
      </c>
      <c r="H164" s="644" t="n"/>
    </row>
    <row r="165" outlineLevel="1" ht="15" customFormat="1" customHeight="1" s="278">
      <c r="A165" s="213">
        <f>IF(B165="","",+A164+1)</f>
        <v/>
      </c>
      <c r="B165" s="173">
        <f>B139</f>
        <v/>
      </c>
      <c r="C165" s="173">
        <f>C139</f>
        <v/>
      </c>
      <c r="D165" s="643">
        <f>VLOOKUP(C165,$C$133:$H$157,2,0)</f>
        <v/>
      </c>
      <c r="E165" s="175">
        <f>VLOOKUP(C165,$C$133:$H$157,3,0)</f>
        <v/>
      </c>
      <c r="F165" s="175">
        <f>VLOOKUP(C165,$C$133:$I$157,7,0)</f>
        <v/>
      </c>
      <c r="G165" s="175">
        <f>VLOOKUP(C165,$C$133:$J$157,8,0)</f>
        <v/>
      </c>
      <c r="H165" s="516">
        <f>ROUNDUP(((F165*G165)+(F166*G166))/6400,0)</f>
        <v/>
      </c>
      <c r="I165" s="500" t="n"/>
    </row>
    <row r="166" outlineLevel="1" ht="15" customFormat="1" customHeight="1" s="278">
      <c r="A166" s="213">
        <f>IF(B166="","",+A165+1)</f>
        <v/>
      </c>
      <c r="B166" s="173">
        <f>B140</f>
        <v/>
      </c>
      <c r="C166" s="173">
        <f>C140</f>
        <v/>
      </c>
      <c r="D166" s="625" t="n"/>
      <c r="E166" s="175">
        <f>VLOOKUP(C166,$C$133:$H$157,3,0)</f>
        <v/>
      </c>
      <c r="F166" s="175">
        <f>VLOOKUP(C166,$C$133:$I$157,7,0)</f>
        <v/>
      </c>
      <c r="G166" s="175">
        <f>VLOOKUP(C166,$C$133:$J$157,8,0)</f>
        <v/>
      </c>
      <c r="H166" s="644" t="n"/>
      <c r="I166" s="533" t="n"/>
    </row>
    <row r="167" outlineLevel="1" ht="13.8" customFormat="1" customHeight="1" s="278">
      <c r="A167" s="213">
        <f>IF(B167="","",+A166+1)</f>
        <v/>
      </c>
      <c r="B167" s="173">
        <f>B141</f>
        <v/>
      </c>
      <c r="C167" s="173">
        <f>C141</f>
        <v/>
      </c>
      <c r="D167" s="643">
        <f>VLOOKUP(C167,$C$133:$H$157,2,0)</f>
        <v/>
      </c>
      <c r="E167" s="175">
        <f>VLOOKUP(C167,$C$133:$H$157,3,0)</f>
        <v/>
      </c>
      <c r="F167" s="175">
        <f>VLOOKUP(C167,$C$133:$I$157,7,0)</f>
        <v/>
      </c>
      <c r="G167" s="175">
        <f>VLOOKUP(C167,$C$133:$J$157,8,0)</f>
        <v/>
      </c>
      <c r="H167" s="516">
        <f>ROUNDUP(((F167*G167)+(F168*G168)+(F169*G169)+(F170*G170))/6400,0)</f>
        <v/>
      </c>
      <c r="I167" s="645" t="n"/>
    </row>
    <row r="168" outlineLevel="1" ht="13.8" customFormat="1" customHeight="1" s="278">
      <c r="A168" s="213">
        <f>IF(B168="","",+A167+1)</f>
        <v/>
      </c>
      <c r="B168" s="173">
        <f>B142</f>
        <v/>
      </c>
      <c r="C168" s="173">
        <f>C142</f>
        <v/>
      </c>
      <c r="D168" s="624" t="n"/>
      <c r="E168" s="175">
        <f>VLOOKUP(C168,$C$133:$H$157,3,0)</f>
        <v/>
      </c>
      <c r="F168" s="175">
        <f>VLOOKUP(C168,$C$133:$I$157,7,0)</f>
        <v/>
      </c>
      <c r="G168" s="175">
        <f>VLOOKUP(C168,$C$133:$J$157,8,0)</f>
        <v/>
      </c>
      <c r="H168" s="646" t="n"/>
      <c r="I168" s="645" t="n"/>
    </row>
    <row r="169" outlineLevel="1" ht="13.8" customFormat="1" customHeight="1" s="278">
      <c r="A169" s="213">
        <f>IF(B169="","",+A168+1)</f>
        <v/>
      </c>
      <c r="B169" s="173">
        <f>B143</f>
        <v/>
      </c>
      <c r="C169" s="173">
        <f>C143</f>
        <v/>
      </c>
      <c r="D169" s="624" t="n"/>
      <c r="E169" s="175">
        <f>VLOOKUP(C169,$C$133:$H$157,3,0)</f>
        <v/>
      </c>
      <c r="F169" s="175">
        <f>VLOOKUP(C169,$C$133:$I$157,7,0)</f>
        <v/>
      </c>
      <c r="G169" s="175">
        <f>VLOOKUP(C169,$C$133:$J$157,8,0)</f>
        <v/>
      </c>
      <c r="H169" s="646" t="n"/>
      <c r="I169" s="645" t="n"/>
    </row>
    <row r="170" outlineLevel="1" ht="13.8" customFormat="1" customHeight="1" s="278">
      <c r="A170" s="213">
        <f>IF(B170="","",+A169+1)</f>
        <v/>
      </c>
      <c r="B170" s="173">
        <f>B144</f>
        <v/>
      </c>
      <c r="C170" s="173">
        <f>C144</f>
        <v/>
      </c>
      <c r="D170" s="625" t="n"/>
      <c r="E170" s="175">
        <f>VLOOKUP(C170,$C$133:$H$157,3,0)</f>
        <v/>
      </c>
      <c r="F170" s="175">
        <f>VLOOKUP(C170,$C$133:$I$157,7,0)</f>
        <v/>
      </c>
      <c r="G170" s="175">
        <f>VLOOKUP(C170,$C$133:$J$157,8,0)</f>
        <v/>
      </c>
      <c r="H170" s="644" t="n"/>
      <c r="I170" s="533" t="n"/>
    </row>
    <row r="171" outlineLevel="1" ht="13.8" customFormat="1" customHeight="1" s="278">
      <c r="A171" s="213">
        <f>IF(B171="","",+A170+1)</f>
        <v/>
      </c>
      <c r="B171" s="173">
        <f>B145</f>
        <v/>
      </c>
      <c r="C171" s="173">
        <f>C145</f>
        <v/>
      </c>
      <c r="D171" s="647">
        <f>VLOOKUP(C171,$C$133:$H$157,2,0)</f>
        <v/>
      </c>
      <c r="E171" s="175">
        <f>VLOOKUP(C171,$C$133:$H$157,3,0)</f>
        <v/>
      </c>
      <c r="F171" s="175">
        <f>VLOOKUP(C171,$C$133:$I$157,7,0)</f>
        <v/>
      </c>
      <c r="G171" s="175">
        <f>VLOOKUP(C171,$C$133:$J$157,8,0)</f>
        <v/>
      </c>
      <c r="H171" s="516">
        <f>ROUNDUP(((F171*G171)+(F172*G172))/6400,0)</f>
        <v/>
      </c>
      <c r="I171" s="645" t="n"/>
    </row>
    <row r="172" outlineLevel="1" customFormat="1" s="278" thickBot="1">
      <c r="A172" s="213">
        <f>IF(B172="","",+A171+1)</f>
        <v/>
      </c>
      <c r="B172" s="173">
        <f>B146</f>
        <v/>
      </c>
      <c r="C172" s="173">
        <f>C146</f>
        <v/>
      </c>
      <c r="D172" s="648" t="n"/>
      <c r="E172" s="175">
        <f>VLOOKUP(C172,$C$133:$H$157,3,0)</f>
        <v/>
      </c>
      <c r="F172" s="175">
        <f>VLOOKUP(C172,$C$133:$I$157,7,0)</f>
        <v/>
      </c>
      <c r="G172" s="175">
        <f>VLOOKUP(C172,$C$133:$J$157,8,0)</f>
        <v/>
      </c>
      <c r="H172" s="644" t="n"/>
      <c r="I172" s="500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ตัวรับกลอน</t>
        </is>
      </c>
      <c r="C175" s="140" t="inlineStr">
        <is>
          <t xml:space="preserve">FLUSH BOLT RECEIVER </t>
        </is>
      </c>
      <c r="D175" s="139" t="inlineStr">
        <is>
          <t>04-016</t>
        </is>
      </c>
      <c r="E175" s="143" t="n"/>
      <c r="F175" s="143" t="inlineStr">
        <is>
          <t>04-016</t>
        </is>
      </c>
      <c r="G175" s="143" t="inlineStr">
        <is>
          <t>PC</t>
        </is>
      </c>
      <c r="H175" s="143" t="n">
        <v>1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หมอนรองกระจก</t>
        </is>
      </c>
      <c r="C176" s="140" t="inlineStr">
        <is>
          <t>SETTING BLOCK</t>
        </is>
      </c>
      <c r="D176" s="139" t="inlineStr">
        <is>
          <t>02-037</t>
        </is>
      </c>
      <c r="E176" s="143" t="n"/>
      <c r="F176" s="143" t="inlineStr">
        <is>
          <t>02-037</t>
        </is>
      </c>
      <c r="G176" s="143" t="inlineStr">
        <is>
          <t>PC</t>
        </is>
      </c>
      <c r="H176" s="143" t="n">
        <v>4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ประเก็นเฟรมบน</t>
        </is>
      </c>
      <c r="C177" s="140" t="inlineStr">
        <is>
          <t>FRAME SEAL BI-FOLD HEAD (L/R)</t>
        </is>
      </c>
      <c r="D177" s="139" t="inlineStr">
        <is>
          <t>02-015</t>
        </is>
      </c>
      <c r="E177" s="143" t="n"/>
      <c r="F177" s="143" t="inlineStr">
        <is>
          <t>02-015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ประเก็นเฟรมล่าง</t>
        </is>
      </c>
      <c r="C178" s="140" t="inlineStr">
        <is>
          <t>FRAME SEAL BI-FOLD SILL (L/R)</t>
        </is>
      </c>
      <c r="D178" s="139" t="inlineStr">
        <is>
          <t>02-016</t>
        </is>
      </c>
      <c r="E178" s="143" t="n"/>
      <c r="F178" s="143" t="inlineStr">
        <is>
          <t>02-016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38</t>
        </is>
      </c>
      <c r="C179" s="140" t="inlineStr">
        <is>
          <t>#8x38 mm. SS PH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16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12</t>
        </is>
      </c>
      <c r="C180" s="140" t="inlineStr">
        <is>
          <t>#8x12 mm. CSK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32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Left Hand End Carrier Set</t>
        </is>
      </c>
      <c r="D182" s="139" t="inlineStr">
        <is>
          <t>05-008</t>
        </is>
      </c>
      <c r="E182" s="143" t="n"/>
      <c r="F182" s="143" t="inlineStr">
        <is>
          <t>05-008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ชุดบานพับมีมือจับ</t>
        </is>
      </c>
      <c r="C183" s="140" t="inlineStr">
        <is>
          <t>Standard Hinge Handle Set</t>
        </is>
      </c>
      <c r="D183" s="139" t="inlineStr">
        <is>
          <t>05-004</t>
        </is>
      </c>
      <c r="E183" s="143" t="n"/>
      <c r="F183" s="143" t="inlineStr">
        <is>
          <t>05-004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2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IF($D$129="Standard",O186,IF($D$129="Soumdproof",O187,))</f>
        <v/>
      </c>
      <c r="C187" s="139">
        <f>IF($D$129="Standard",P186,IF($D$129="Soumdproof",P187,))</f>
        <v/>
      </c>
      <c r="D187" s="139">
        <f>IF($D$129="Standard",Q186,IF($D$129="Soumdproof",Q187,))</f>
        <v/>
      </c>
      <c r="E187" s="139">
        <f>IF($D$129="Standard",R186,IF($D$129="Soumdproof",R187,))</f>
        <v/>
      </c>
      <c r="F187" s="143">
        <f>IF($D$129="Standard",S186,IF($D$129="Soumdproof",S187,))</f>
        <v/>
      </c>
      <c r="G187" s="143">
        <f>IF($D$129="Standard",T186,IF($D$129="Soumdproof",T187,))</f>
        <v/>
      </c>
      <c r="H187" s="652">
        <f>IF($D$129="Standard",U186,IF($D$129="Soumdproof",U187,))</f>
        <v/>
      </c>
      <c r="I187" s="653">
        <f>IF($D$129="Standard",V186,IF($D$129="Soumdproof",V187,))</f>
        <v/>
      </c>
      <c r="J187" s="654">
        <f>ROUNDUP((H187)/100,0)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39">
        <f>IF($D$129="Standard",O188,IF($D$129="Soumdproof",O189,))</f>
        <v/>
      </c>
      <c r="C188" s="139">
        <f>IF($D$129="Standard",P188,IF($D$129="Soumdproof",P189,))</f>
        <v/>
      </c>
      <c r="D188" s="139">
        <f>IF($D$129="Standard",Q188,IF($D$129="Soumdproof",Q189,))</f>
        <v/>
      </c>
      <c r="E188" s="139">
        <f>IF($D$129="Standard",R188,IF($D$129="Soumdproof",R189,))</f>
        <v/>
      </c>
      <c r="F188" s="143">
        <f>IF($D$129="Standard",S188,IF($D$129="Soumdproof",S189,))</f>
        <v/>
      </c>
      <c r="G188" s="143">
        <f>IF($D$129="Standard",T188,IF($D$129="Soumdproof",T189,))</f>
        <v/>
      </c>
      <c r="H188" s="652">
        <f>IF($D$129="Standard",U188,IF($D$129="Soumdproof",U189,))</f>
        <v/>
      </c>
      <c r="I188" s="653">
        <f>IF($D$129="Standard",V188,IF($D$129="Soumdproof",V189,))</f>
        <v/>
      </c>
      <c r="J188" s="654">
        <f>ROUNDUP((H188)/100,0)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((($I$143*$G$143*2)+($I$144*$G$144*2)+($I$141*$G$141*2))/1000)*$J$120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296">
        <f>IF($D$127=5,$O$177,IF($D$127=6,$O$178,IF($D$127=8,$O$179,IF($D$127=10,$O$177,IF($D$127=12,$O$177,IF($D$127=14,$O$179,IF($D$127=18,$O$177,IF($D$127=20,$O$178,IF($D$127=22,"")))))))))</f>
        <v/>
      </c>
      <c r="C189" s="296">
        <f>IF($D$127=5,$P$177,IF($D$127=6,$P$178,IF($D$127=8,$P$179,IF($D$127=10,$P$177,IF($D$127=12,$P$177,IF($D$127=14,$P$179,IF($D$127=18,$P$177,IF($D$127=20,$P$178,IF($D$127=22,"")))))))))</f>
        <v/>
      </c>
      <c r="D189" s="296">
        <f>IF($D$127=5,$Q$177,IF($D$127=6,$Q$178,IF($D$127=8,$Q$179,IF($D$127=10,$Q$177,IF($D$127=12,$Q$177,IF($D$127=14,$Q$179,IF($D$127=18,$Q$177,IF($D$127=20,$Q$178,IF($D$127=22,"")))))))))</f>
        <v/>
      </c>
      <c r="E189" s="296">
        <f>IF($D$127=5,R177,IF($D$127=6,R178,IF($D$127=8,R179,IF($D$127=10,R177,IF($D$127=12,R177,IF($D$127=14,R179,IF($D$127=18,R177,IF($D$127=20,R178,IF($D$127=22,"",)))))))))</f>
        <v/>
      </c>
      <c r="F189" s="242">
        <f>IF($D$127=5,$S$177,IF($D$127=6,$S$178,IF($D$127=8,$S$179,IF($D$127=10,$S$177,IF($D$127=12,$S$177,IF($D$127=14,$S$179,IF($D$127=18,$S$177,IF($D$127=20,$S$178,IF($D$127=22,"")))))))))</f>
        <v/>
      </c>
      <c r="G189" s="242">
        <f>IF($D$127=5,$T$177,IF($D$127=6,$T$178,IF($D$127=8,$T$179,IF($D$127=10,$T$177,IF($D$127=12,$T$177,IF($D$127=14,$T$179,IF($D$127=18,$T$177,IF($D$127=20,$T$178,IF($D$127=22,"")))))))))</f>
        <v/>
      </c>
      <c r="H189" s="652">
        <f>IF($D$127=5,$U$177,IF($D$127=6,$U$178,IF($D$127=8,$U$179,IF($D$127=10,$U$177*2,IF($D$127=12,$U$177,IF($D$127=14,$U$179*2,IF($D$127=18,$U$177,IF($D$127=20,$U$178,IF($D$127=22,"")))))))))</f>
        <v/>
      </c>
      <c r="I189" s="653">
        <f>IF($D$127=5,$V$177,IF($D$127=6,$V$178,IF($D$127=8,$V$179,IF($D$127=10,$V$177,IF($D$127=12,$V$177,IF($D$127=14,$V$179,IF($D$127=18,$V$177,IF($D$127=20,$V$178,IF($D$127=22,"")))))))))</f>
        <v/>
      </c>
      <c r="J189" s="654">
        <f>ROUNDUP((H189)/100,0)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((($I$143*$G$143*2)+($I$144*$G$144*2)+($I$141*$G$141*2))/1000)*$J$120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296">
        <f>IF($D$127=5,$O$175,IF($D$127=6,$O$175,IF($D$127=8,$O$177,IF($D$127=10,"",IF($D$127=12,$O$176,IF($D$127=14,"",IF($D$127=18,$O$175,IF($D$127=20,$O$176,IF($D$127=22,"",)))))))))</f>
        <v/>
      </c>
      <c r="C190" s="296">
        <f>IF($D$127=5,$P$175,IF($D$127=6,$P$175,IF($D$127=8,$P$177,IF($D$127=10,"",IF($D$127=12,$P$176,IF($D$127=14,"",IF($D$127=18,$P$175,IF($D$127=20,$P$176,IF($D$127=22,"",)))))))))</f>
        <v/>
      </c>
      <c r="D190" s="296">
        <f>IF($D$127=5,$Q$175,IF($D$127=6,$Q$175,IF($D$127=8,$Q$177,IF($D$127=10,"",IF($D$127=12,$Q$176,IF($D$127=14,"",IF($D$127=18,$Q$175,IF($D$127=20,$Q$176,IF($D$127=22,"",)))))))))</f>
        <v/>
      </c>
      <c r="E190" s="296">
        <f>IF($D$127=5,R175,IF($D$127=6,R175,IF($D$127=8,R177,IF($D$127=10,"",IF($D$127=12,R176,IF($D$127=14,"",IF($D$127=18,R175,IF($D$127=20,R176,IF($D$127=22,"",)))))))))</f>
        <v/>
      </c>
      <c r="F190" s="242">
        <f>IF($D$127=5,$S$175,IF($D$127=6,$S$175,IF($D$127=8,$S$177,IF($D$127=10,"",IF($D$127=12,$S$176,IF($D$127=14,"",IF($D$127=18,$S$175,IF($D$127=20,$S$176,IF($D$127=22,"",)))))))))</f>
        <v/>
      </c>
      <c r="G190" s="242">
        <f>IF($D$127=5,$T$175,IF($D$127=6,$T$175,IF($D$127=8,$T$177,IF($D$127=10,"",IF($D$127=12,$T$176,IF($D$127=14,"",IF($D$127=18,$T$175,IF($D$127=20,$T$176,IF($D$127=22,"",)))))))))</f>
        <v/>
      </c>
      <c r="H190" s="652">
        <f>IF($D$127=5,$U$175,IF($D$127=6,$U$175,IF($D$127=8,$U$177,IF($D$127=10,"",IF($D$127=12,$U$176,IF($D$127=14,"",IF($D$127=18,$U$175,IF($D$127=20,$U$176,IF($D$127=22,"")))))))))</f>
        <v/>
      </c>
      <c r="I190" s="653">
        <f>IF($D$127=5,$V$175,IF($D$127=6,$V$175,IF($D$127=8,$V$177,IF($D$127=10,"",IF($D$127=12,$V$176,IF($D$127=14,"",IF($D$127=18,$V$175,IF($D$127=20,$V$176,IF($D$127=22,"",)))))))))</f>
        <v/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44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44" t="n"/>
      <c r="J192" s="131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44" t="n"/>
      <c r="J193" s="131" t="n"/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44" t="n"/>
      <c r="J194" s="131" t="n"/>
    </row>
    <row r="195" ht="18" customHeight="1" s="344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44" t="n"/>
      <c r="J195" s="131" t="n"/>
      <c r="M195" s="278" t="n"/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  <c r="Y195" s="278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44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44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44" t="n"/>
      <c r="J198" s="131" t="n"/>
    </row>
    <row r="199" ht="18" customFormat="1" customHeight="1" s="278">
      <c r="A199" s="201">
        <f>IF(B199="","",+""+1)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44" t="n"/>
      <c r="J199" s="131" t="n"/>
    </row>
    <row r="200" ht="18" customFormat="1" customHeight="1" s="278">
      <c r="A200" s="201" t="n"/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 t="n"/>
    </row>
    <row r="201" ht="18" customFormat="1" customHeight="1" s="278">
      <c r="A201" s="201">
        <f>IF(B201="","",+A199+1)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44" t="n"/>
      <c r="J201" s="131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44" t="n"/>
      <c r="J202" s="131" t="n"/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44" t="n"/>
      <c r="J203" s="131" t="n"/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44" t="n"/>
      <c r="J204" s="131" t="n"/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 t="n"/>
    </row>
    <row r="206" ht="18" customHeight="1" s="344">
      <c r="A206" s="109" t="n"/>
      <c r="B206" s="278" t="n"/>
      <c r="C206" s="278" t="n"/>
      <c r="D206" s="161" t="n"/>
      <c r="E206" s="109" t="n"/>
      <c r="F206" s="109" t="n"/>
      <c r="G206" s="109" t="n"/>
      <c r="H206" s="109" t="n"/>
      <c r="J206" s="99">
        <f>LEFT($J$111,10)&amp;"-02"</f>
        <v/>
      </c>
    </row>
    <row r="207" ht="12.75" customHeight="1" s="344">
      <c r="K207" s="37" t="n"/>
      <c r="L207" s="37" t="n"/>
      <c r="M207" s="2" t="n"/>
      <c r="N207" s="2" t="n"/>
    </row>
    <row r="208" ht="30" customHeight="1" s="344">
      <c r="C208" s="5" t="n"/>
      <c r="D208" s="95" t="n"/>
      <c r="E208" s="95" t="n"/>
      <c r="F208" s="95" t="n"/>
      <c r="G208" s="95" t="n"/>
      <c r="H208" s="95" t="n"/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28" t="n"/>
      <c r="D209" s="28" t="n"/>
      <c r="E209" s="28" t="n"/>
      <c r="F209" s="28" t="n"/>
      <c r="G209" s="28" t="n"/>
      <c r="H209" s="28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B210" s="72" t="n"/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8" t="n"/>
      <c r="C211" s="78" t="n"/>
      <c r="D211" s="82" t="n"/>
      <c r="E211" s="78" t="n"/>
      <c r="F211" s="78" t="n"/>
      <c r="G211" s="78" t="n"/>
      <c r="H211" s="7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6" ht="15.6" customHeight="1" s="344">
      <c r="A216" s="109" t="n"/>
      <c r="B216" s="278" t="n"/>
      <c r="C216" s="328" t="n"/>
      <c r="D216" s="161" t="n"/>
      <c r="E216" s="35" t="n"/>
      <c r="F216" s="161" t="n"/>
      <c r="G216" s="278" t="n"/>
      <c r="H216" s="278" t="n"/>
    </row>
    <row r="217" ht="15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I217" s="160" t="n"/>
      <c r="J217" s="532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J219" s="109" t="n"/>
    </row>
    <row r="220" ht="17.4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I221" s="109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I222" s="109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J224" s="109" t="n"/>
    </row>
    <row r="225" ht="15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J225" s="109" t="n"/>
    </row>
    <row r="226" ht="15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109" t="n"/>
      <c r="J228" s="109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109" t="n"/>
      <c r="J229" s="109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109" t="n"/>
      <c r="J230" s="109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" t="n"/>
      <c r="J231" s="40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I234" s="328" t="n"/>
      <c r="J234" s="117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328" t="n"/>
      <c r="J235" s="117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328" t="n"/>
      <c r="J236" s="117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J237" s="109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109" t="n"/>
      <c r="J238" s="501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89" t="n"/>
      <c r="J240" s="118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89" t="n"/>
      <c r="J241" s="118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36" t="n"/>
      <c r="I242" s="328" t="n"/>
      <c r="J242" s="117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109" t="n"/>
      <c r="I243" s="328" t="n"/>
      <c r="J243" s="117" t="n"/>
    </row>
    <row r="244" ht="15.9" customFormat="1" customHeight="1" s="278">
      <c r="A244" s="109" t="n"/>
      <c r="B244" s="278" t="n"/>
      <c r="C244" s="89" t="inlineStr">
        <is>
          <t xml:space="preserve">                   Sill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328" t="inlineStr">
        <is>
          <t xml:space="preserve">                          = Frame Width -60.00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542" t="inlineStr">
        <is>
          <t xml:space="preserve">                          ความกว้าง(วงกบ) - 60.00</t>
        </is>
      </c>
      <c r="D246" s="161" t="n"/>
      <c r="E246" s="109" t="n"/>
      <c r="F246" s="161" t="n"/>
      <c r="G246" s="109" t="n"/>
      <c r="H246" s="109" t="n"/>
      <c r="I246" s="109" t="n"/>
      <c r="J246" s="501" t="n"/>
    </row>
    <row r="247" ht="15.9" customFormat="1" customHeight="1" s="278">
      <c r="A247" s="109" t="n"/>
      <c r="B247" s="278" t="n"/>
      <c r="C247" s="656">
        <f>$I$135</f>
        <v/>
      </c>
      <c r="D247" s="161" t="n"/>
      <c r="E247" s="109" t="n"/>
      <c r="F247" s="161" t="n"/>
      <c r="G247" s="109" t="n"/>
      <c r="H247" s="109" t="n"/>
      <c r="I247" s="501" t="n"/>
      <c r="J247" s="501" t="n"/>
    </row>
    <row r="248" ht="15.9" customFormat="1" customHeight="1" s="278">
      <c r="A248" s="109" t="n"/>
      <c r="B248" s="278" t="n"/>
      <c r="C248" s="657">
        <f>$J$135</f>
        <v/>
      </c>
      <c r="D248" s="161" t="n"/>
      <c r="E248" s="109" t="n"/>
      <c r="F248" s="161" t="n"/>
      <c r="G248" s="109" t="n"/>
      <c r="H248" s="109" t="n"/>
      <c r="I248" s="501" t="n"/>
      <c r="J248" s="501" t="n"/>
    </row>
    <row r="249" ht="15" customFormat="1" customHeight="1" s="278">
      <c r="A249" s="109" t="n"/>
      <c r="B249" s="278" t="n"/>
      <c r="C249" s="656" t="n"/>
      <c r="D249" s="161" t="n"/>
      <c r="E249" s="109" t="n"/>
      <c r="F249" s="161" t="n"/>
      <c r="G249" s="109" t="n"/>
      <c r="H249" s="109" t="n"/>
      <c r="I249" s="501" t="n"/>
      <c r="J249" s="501" t="n"/>
    </row>
    <row r="250" ht="15.9" customFormat="1" customHeight="1" s="278">
      <c r="A250" s="109" t="n"/>
      <c r="B250" s="278" t="n"/>
      <c r="C250" s="657" t="n"/>
      <c r="D250" s="161" t="n"/>
      <c r="E250" s="109" t="n"/>
      <c r="F250" s="109" t="n"/>
      <c r="G250" s="44" t="n"/>
      <c r="H250" s="109" t="n"/>
      <c r="I250" s="44" t="n"/>
      <c r="J250" s="11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I251" s="32" t="n"/>
      <c r="J251" s="40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I252" s="32" t="n"/>
      <c r="J252" s="40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0" t="n"/>
      <c r="H253" s="109" t="n"/>
      <c r="J253" s="109" t="n"/>
    </row>
    <row r="254" ht="15.9" customFormat="1" customHeight="1" s="278">
      <c r="A254" s="109" t="n"/>
      <c r="B254" s="278" t="n"/>
      <c r="D254" s="161" t="n"/>
      <c r="E254" s="109" t="n"/>
      <c r="F254" s="109" t="n"/>
      <c r="G254" s="109" t="n"/>
      <c r="H254" s="109" t="n"/>
      <c r="J254" s="109" t="n"/>
    </row>
    <row r="255" ht="15.9" customFormat="1" customHeight="1" s="278">
      <c r="A255" s="44" t="n"/>
      <c r="B255" s="44" t="n"/>
      <c r="D255" s="84" t="n"/>
      <c r="E255" s="44" t="n"/>
      <c r="F255" s="44" t="n"/>
      <c r="G255" s="109" t="n"/>
      <c r="H255" s="109" t="n"/>
      <c r="J255" s="109" t="n"/>
    </row>
    <row r="256" ht="15.9" customFormat="1" customHeight="1" s="278">
      <c r="A256" s="40" t="n"/>
      <c r="B256" s="40" t="n"/>
      <c r="C256" s="89" t="inlineStr">
        <is>
          <t xml:space="preserve">                   Door Stop Sill</t>
        </is>
      </c>
      <c r="D256" s="85" t="n"/>
      <c r="E256" s="40" t="n"/>
      <c r="F256" s="32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328" t="inlineStr">
        <is>
          <t xml:space="preserve">                          = Frame Width -60.00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542" t="inlineStr">
        <is>
          <t xml:space="preserve">                          ความกว้าง(วงกบ) - 60.00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6">
        <f>$I$136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7">
        <f>$J$136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87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161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278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89" t="inlineStr">
        <is>
          <t xml:space="preserve">                    JAMB</t>
        </is>
      </c>
      <c r="D267" s="161" t="n"/>
      <c r="E267" s="109" t="n"/>
      <c r="F267" s="109" t="n"/>
      <c r="G267" s="109" t="n"/>
      <c r="H267" s="109" t="n"/>
      <c r="I267" s="501" t="n"/>
      <c r="J267" s="501" t="n"/>
    </row>
    <row r="268" ht="15.9" customFormat="1" customHeight="1" s="278">
      <c r="A268" s="27" t="n"/>
      <c r="B268" s="278" t="n"/>
      <c r="C268" s="328" t="inlineStr">
        <is>
          <t xml:space="preserve">                          = FAME HIGHT</t>
        </is>
      </c>
      <c r="D268" s="328" t="n"/>
      <c r="E268" s="328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542" t="inlineStr">
        <is>
          <t xml:space="preserve">                          ความสูง (วงกบ)</t>
        </is>
      </c>
      <c r="D269" s="542" t="n"/>
      <c r="E269" s="542" t="n"/>
      <c r="F269" s="109" t="n"/>
      <c r="G269" s="109" t="n"/>
      <c r="H269" s="109" t="n"/>
      <c r="I269" s="501" t="n"/>
      <c r="J269" s="501" t="n"/>
    </row>
    <row r="270" ht="15.9" customFormat="1" customHeight="1" s="278">
      <c r="A270" s="27" t="n"/>
      <c r="B270" s="278" t="n"/>
      <c r="C270" s="656">
        <f>$I$137</f>
        <v/>
      </c>
      <c r="D270" s="161" t="n"/>
      <c r="E270" s="109" t="n"/>
      <c r="F270" s="109" t="n"/>
      <c r="G270" s="278" t="n"/>
      <c r="H270" s="278" t="n"/>
      <c r="I270" s="501" t="n"/>
      <c r="J270" s="501" t="n"/>
    </row>
    <row r="271" ht="15.9" customFormat="1" customHeight="1" s="278">
      <c r="A271" s="27" t="n"/>
      <c r="B271" s="278" t="n"/>
      <c r="C271" s="657">
        <f>$J$137+$J$138</f>
        <v/>
      </c>
      <c r="D271" s="161" t="n"/>
      <c r="E271" s="109" t="n"/>
      <c r="F271" s="109" t="n"/>
      <c r="G271" s="109" t="n"/>
      <c r="H271" s="109" t="n"/>
      <c r="I271" s="501" t="n"/>
      <c r="J271" s="501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J273" s="109" t="n"/>
    </row>
    <row r="274" ht="15.9" customFormat="1" customHeight="1" s="278">
      <c r="A274" s="27" t="n"/>
      <c r="D274" s="328" t="n"/>
      <c r="E274" s="328" t="n"/>
      <c r="F274" s="109" t="n"/>
      <c r="G274" s="109" t="n"/>
      <c r="H274" s="109" t="n"/>
      <c r="J274" s="109" t="n"/>
    </row>
    <row r="275" ht="15.9" customFormat="1" customHeight="1" s="278">
      <c r="A275" s="27" t="n"/>
      <c r="D275" s="328" t="n"/>
      <c r="E275" s="328" t="n"/>
      <c r="F275" s="109" t="n"/>
      <c r="G275" s="109" t="n"/>
      <c r="H275" s="109" t="n"/>
      <c r="J275" s="109" t="n"/>
    </row>
    <row r="276" ht="15.9" customFormat="1" customHeight="1" s="278">
      <c r="A276" s="27" t="n"/>
      <c r="D276" s="328" t="n"/>
      <c r="E276" s="328" t="n"/>
      <c r="F276" s="109" t="n"/>
      <c r="G276" s="109" t="n"/>
      <c r="H276" s="109" t="n"/>
      <c r="J276" s="109" t="n"/>
    </row>
    <row r="277" ht="15.9" customFormat="1" customHeight="1" s="278">
      <c r="A277" s="27" t="n"/>
      <c r="B277" s="278" t="n"/>
      <c r="D277" s="328" t="n"/>
      <c r="E277" s="328" t="n"/>
      <c r="F277" s="109" t="n"/>
      <c r="G277" s="109" t="n"/>
      <c r="J277" s="109" t="n"/>
    </row>
    <row r="278" ht="15.9" customFormat="1" customHeight="1" s="278">
      <c r="A278" s="27" t="n"/>
      <c r="B278" s="278" t="n"/>
      <c r="C278" s="278" t="n"/>
      <c r="D278" s="161" t="n"/>
      <c r="E278" s="109" t="n"/>
      <c r="F278" s="109" t="n"/>
      <c r="G278" s="109" t="n"/>
      <c r="J278" s="109" t="n"/>
    </row>
    <row r="279" ht="15.9" customFormat="1" customHeight="1" s="278">
      <c r="A279" s="27" t="n"/>
      <c r="B279" s="278" t="n"/>
      <c r="C279" s="89" t="inlineStr">
        <is>
          <t xml:space="preserve">                   Door Stop Jamb</t>
        </is>
      </c>
      <c r="D279" s="162" t="n"/>
      <c r="E279" s="501" t="n"/>
      <c r="F279" s="109" t="n"/>
      <c r="G279" s="109" t="n"/>
      <c r="J279" s="109" t="n"/>
    </row>
    <row r="280" ht="15.9" customFormat="1" customHeight="1" s="278">
      <c r="A280" s="27" t="n"/>
      <c r="B280" s="278" t="n"/>
      <c r="C280" s="328" t="inlineStr">
        <is>
          <t xml:space="preserve">                          = FAME HIGHT - 96</t>
        </is>
      </c>
      <c r="D280" s="328" t="n"/>
      <c r="E280" s="328" t="n"/>
      <c r="F280" s="109" t="n"/>
      <c r="G280" s="109" t="n"/>
      <c r="I280" s="501" t="n"/>
      <c r="J280" s="501" t="n"/>
    </row>
    <row r="281" ht="15.9" customFormat="1" customHeight="1" s="278">
      <c r="A281" s="27" t="n"/>
      <c r="B281" s="278" t="n"/>
      <c r="C281" s="542" t="inlineStr">
        <is>
          <t xml:space="preserve">                          ความสูง (วงกบ) - 96</t>
        </is>
      </c>
      <c r="D281" s="542" t="n"/>
      <c r="E281" s="542" t="n"/>
      <c r="F281" s="109" t="n"/>
      <c r="G281" s="109" t="n"/>
      <c r="I281" s="501" t="n"/>
      <c r="J281" s="501" t="n"/>
    </row>
    <row r="282" ht="15.9" customFormat="1" customHeight="1" s="278">
      <c r="A282" s="27" t="n"/>
      <c r="B282" s="278" t="n"/>
      <c r="C282" s="656">
        <f>$I$139</f>
        <v/>
      </c>
      <c r="F282" s="109" t="n"/>
      <c r="G282" s="109" t="n"/>
      <c r="I282" s="501" t="n"/>
      <c r="J282" s="501" t="n"/>
    </row>
    <row r="283" ht="15.9" customFormat="1" customHeight="1" s="278">
      <c r="A283" s="27" t="n"/>
      <c r="B283" s="278" t="n"/>
      <c r="C283" s="657">
        <f>$J$139+$J$140</f>
        <v/>
      </c>
      <c r="F283" s="109" t="n"/>
      <c r="G283" s="109" t="n"/>
      <c r="I283" s="109" t="n"/>
      <c r="J283" s="501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C287" s="278" t="n"/>
      <c r="D287" s="161" t="n"/>
      <c r="E287" s="109" t="n"/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F289" s="109" t="n"/>
      <c r="G289" s="109" t="n"/>
      <c r="H289" s="109" t="n"/>
      <c r="J289" s="109" t="n"/>
    </row>
    <row r="290" ht="15.9" customFormat="1" customHeight="1" s="278">
      <c r="A290" s="27" t="n"/>
      <c r="B290" s="278" t="n"/>
      <c r="C290" s="89" t="inlineStr">
        <is>
          <t xml:space="preserve">                   Sash</t>
        </is>
      </c>
      <c r="F290" s="109" t="n"/>
      <c r="G290" s="109" t="n"/>
      <c r="H290" s="109" t="n"/>
      <c r="J290" s="109" t="n"/>
    </row>
    <row r="291" ht="15.9" customFormat="1" customHeight="1" s="278">
      <c r="A291" s="27" t="n"/>
      <c r="B291" s="278" t="n"/>
      <c r="C291" s="94" t="inlineStr">
        <is>
          <t xml:space="preserve">                          = ((Frame Width - 182-113.25)/2</t>
        </is>
      </c>
      <c r="D291" s="161" t="n"/>
      <c r="E291" s="109" t="n"/>
      <c r="F291" s="109" t="n"/>
      <c r="G291" s="109" t="n"/>
      <c r="H291" s="109" t="n"/>
      <c r="J291" s="109" t="n"/>
    </row>
    <row r="292" ht="15.9" customFormat="1" customHeight="1" s="278">
      <c r="A292" s="27" t="n"/>
      <c r="B292" s="278" t="n"/>
      <c r="C292" s="542" t="inlineStr">
        <is>
          <t xml:space="preserve">                          ((ความกว้าง (วงกบ) - 182-113.25)/2</t>
        </is>
      </c>
      <c r="D292" s="161" t="n"/>
      <c r="E292" s="109" t="n"/>
      <c r="F292" s="109" t="n"/>
      <c r="G292" s="109" t="n"/>
      <c r="H292" s="109" t="n"/>
      <c r="I292" s="162" t="n"/>
      <c r="J292" s="501" t="n"/>
    </row>
    <row r="293" ht="15.9" customFormat="1" customHeight="1" s="278">
      <c r="A293" s="27" t="n"/>
      <c r="B293" s="278" t="n"/>
      <c r="C293" s="328" t="inlineStr">
        <is>
          <t xml:space="preserve">                          = FAME HIGHT - 92.00</t>
        </is>
      </c>
      <c r="D293" s="328" t="n"/>
      <c r="E293" s="328" t="n"/>
      <c r="F293" s="109" t="n"/>
      <c r="G293" s="109" t="n"/>
      <c r="I293" s="109" t="n"/>
      <c r="J293" s="501" t="n"/>
    </row>
    <row r="294" ht="15.9" customFormat="1" customHeight="1" s="278">
      <c r="A294" s="27" t="n"/>
      <c r="B294" s="278" t="n"/>
      <c r="C294" s="542" t="inlineStr">
        <is>
          <t xml:space="preserve">                          ความสูง (วงกบ) - 92.00</t>
        </is>
      </c>
      <c r="D294" s="542" t="n"/>
      <c r="E294" s="542" t="n"/>
      <c r="F294" s="109" t="n"/>
      <c r="G294" s="109" t="n"/>
      <c r="I294" s="501" t="n"/>
      <c r="J294" s="501" t="n"/>
    </row>
    <row r="295" ht="15.9" customFormat="1" customHeight="1" s="278">
      <c r="A295" s="27" t="n"/>
      <c r="B295" s="278" t="n"/>
      <c r="C295" s="656">
        <f>$I$141</f>
        <v/>
      </c>
      <c r="F295" s="109" t="n"/>
      <c r="G295" s="109" t="n"/>
      <c r="I295" s="501" t="n"/>
      <c r="J295" s="501" t="n"/>
    </row>
    <row r="296" ht="15.9" customFormat="1" customHeight="1" s="278">
      <c r="A296" s="27" t="n"/>
      <c r="B296" s="278" t="n"/>
      <c r="C296" s="657">
        <f>$J$141+$J$142</f>
        <v/>
      </c>
      <c r="D296" s="161" t="n"/>
      <c r="E296" s="109" t="n"/>
      <c r="F296" s="109" t="n"/>
      <c r="G296" s="109" t="n"/>
      <c r="H296" s="161" t="n"/>
      <c r="I296" s="501" t="n"/>
      <c r="J296" s="501" t="n"/>
    </row>
    <row r="297" ht="15.9" customFormat="1" customHeight="1" s="23">
      <c r="A297" s="27" t="n"/>
      <c r="B297" s="278" t="n"/>
      <c r="C297" s="656">
        <f>$I$143</f>
        <v/>
      </c>
      <c r="D297" s="161" t="n"/>
      <c r="E297" s="109" t="n"/>
      <c r="F297" s="109" t="n"/>
      <c r="G297" s="109" t="n"/>
      <c r="H297" s="109" t="n"/>
      <c r="I297" s="109" t="n"/>
      <c r="J297" s="109" t="n"/>
    </row>
    <row r="298" ht="15.9" customFormat="1" customHeight="1" s="278">
      <c r="A298" s="27" t="n"/>
      <c r="B298" s="278" t="n"/>
      <c r="C298" s="657">
        <f>$J$143+$J$144</f>
        <v/>
      </c>
      <c r="D298" s="161" t="n"/>
      <c r="E298" s="109" t="n"/>
      <c r="F298" s="109" t="n"/>
      <c r="G298" s="109" t="n"/>
      <c r="H298" s="109" t="n"/>
      <c r="I298" s="44" t="n"/>
      <c r="J298" s="119" t="n"/>
    </row>
    <row r="299" ht="15.9" customFormat="1" customHeight="1" s="278">
      <c r="A299" s="27" t="n"/>
      <c r="B299" s="278" t="n"/>
      <c r="D299" s="161" t="n"/>
      <c r="E299" s="109" t="n"/>
      <c r="F299" s="109" t="n"/>
      <c r="G299" s="109" t="n"/>
      <c r="H299" s="109" t="n"/>
      <c r="I299" s="44" t="n"/>
      <c r="J299" s="119" t="n"/>
    </row>
    <row r="300" ht="15.9" customFormat="1" customHeight="1" s="278">
      <c r="A300" s="27" t="n"/>
      <c r="B300" s="278" t="n"/>
      <c r="D300" s="161" t="n"/>
      <c r="E300" s="109" t="n"/>
      <c r="F300" s="109" t="n"/>
      <c r="G300" s="109" t="n"/>
      <c r="H300" s="109" t="n"/>
      <c r="I300" s="44" t="n"/>
      <c r="J300" s="119" t="n"/>
    </row>
    <row r="301" ht="15.9" customFormat="1" customHeight="1" s="278">
      <c r="A301" s="27" t="n"/>
      <c r="B301" s="278" t="n"/>
      <c r="C301" s="278" t="n"/>
      <c r="D301" s="161" t="n"/>
      <c r="E301" s="109" t="n"/>
      <c r="F301" s="109" t="n"/>
      <c r="G301" s="109" t="n"/>
      <c r="H301" s="109" t="n"/>
      <c r="I301" s="32" t="n"/>
      <c r="J301" s="40" t="n"/>
    </row>
    <row r="302" ht="15.9" customFormat="1" customHeight="1" s="278">
      <c r="A302" s="27" t="n"/>
      <c r="B302" s="278" t="n"/>
      <c r="C302" s="23" t="n"/>
      <c r="D302" s="161" t="n"/>
      <c r="E302" s="109" t="n"/>
      <c r="F302" s="109" t="n"/>
      <c r="G302" s="109" t="n"/>
      <c r="H302" s="109" t="n"/>
      <c r="I302" s="501" t="n"/>
      <c r="J302" s="501" t="n"/>
    </row>
    <row r="303" ht="15.9" customFormat="1" customHeight="1" s="278">
      <c r="A303" s="27" t="n"/>
      <c r="B303" s="278" t="n"/>
      <c r="C303" s="89" t="inlineStr">
        <is>
          <t xml:space="preserve">                   Glazing Bead</t>
        </is>
      </c>
      <c r="D303" s="161" t="n"/>
      <c r="E303" s="109" t="n"/>
      <c r="F303" s="109" t="n"/>
      <c r="G303" s="109" t="n"/>
      <c r="H303" s="109" t="n"/>
      <c r="I303" s="501" t="n"/>
      <c r="J303" s="501" t="n"/>
    </row>
    <row r="304" ht="15.9" customFormat="1" customHeight="1" s="278">
      <c r="A304" s="27" t="n"/>
      <c r="B304" s="278" t="n"/>
      <c r="C304" s="94" t="inlineStr">
        <is>
          <t xml:space="preserve">                          = ((Frame Width - 182-113.25)/2</t>
        </is>
      </c>
      <c r="D304" s="161" t="n"/>
      <c r="E304" s="109" t="n"/>
      <c r="F304" s="109" t="n"/>
      <c r="G304" s="44" t="n"/>
      <c r="H304" s="44" t="n"/>
      <c r="I304" s="109" t="n"/>
      <c r="J304" s="501" t="n"/>
    </row>
    <row r="305" ht="15.9" customFormat="1" customHeight="1" s="278">
      <c r="A305" s="27" t="n"/>
      <c r="B305" s="278" t="n"/>
      <c r="C305" s="542" t="inlineStr">
        <is>
          <t xml:space="preserve">                          ((ความกว้าง (วงกบ) - 182-113.25)/2</t>
        </is>
      </c>
      <c r="D305" s="328" t="n"/>
      <c r="E305" s="328" t="n"/>
      <c r="F305" s="109" t="n"/>
      <c r="G305" s="40" t="n"/>
      <c r="H305" s="32" t="n"/>
      <c r="I305" s="109" t="n"/>
      <c r="J305" s="501" t="n"/>
    </row>
    <row r="306" ht="15.9" customFormat="1" customHeight="1" s="278">
      <c r="A306" s="101" t="n"/>
      <c r="B306" s="278" t="n"/>
      <c r="C306" s="328" t="inlineStr">
        <is>
          <t xml:space="preserve">                          = FAME HIGHT - 242.00</t>
        </is>
      </c>
      <c r="D306" s="542" t="n"/>
      <c r="E306" s="542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44" t="n"/>
      <c r="B307" s="44" t="n"/>
      <c r="C307" s="542" t="inlineStr">
        <is>
          <t xml:space="preserve">                          ความสูง (วงกบ) - 242.00</t>
        </is>
      </c>
      <c r="D307" s="86" t="n"/>
      <c r="E307" s="79" t="n"/>
      <c r="F307" s="44" t="n"/>
      <c r="G307" s="109" t="n"/>
      <c r="H307" s="109" t="n"/>
      <c r="I307" s="109" t="n"/>
      <c r="J307" s="501" t="n"/>
    </row>
    <row r="308" ht="15.9" customFormat="1" customHeight="1" s="278">
      <c r="A308" s="40" t="n"/>
      <c r="B308" s="40" t="n"/>
      <c r="C308" s="656">
        <f>$I$145</f>
        <v/>
      </c>
      <c r="D308" s="87" t="n"/>
      <c r="E308" s="80" t="n"/>
      <c r="F308" s="32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$J$145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$I$146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$J$146</f>
        <v/>
      </c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89" t="n"/>
      <c r="D312" s="161" t="n"/>
      <c r="E312" s="109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406" t="n"/>
      <c r="C313" s="406" t="n"/>
      <c r="D313" s="83" t="n"/>
      <c r="E313" s="27" t="n"/>
      <c r="F313" s="27" t="n"/>
      <c r="G313" s="27" t="n"/>
      <c r="H313" s="27" t="n"/>
      <c r="I313" s="27" t="n"/>
      <c r="J313" s="99">
        <f>LEFT($J$111,10)&amp;"-03"</f>
        <v/>
      </c>
    </row>
    <row r="314" ht="15" customHeight="1" s="344">
      <c r="A314" s="109" t="n"/>
      <c r="B314" s="278" t="n"/>
      <c r="C314" s="278" t="n"/>
      <c r="D314" s="161" t="n"/>
      <c r="E314" s="109" t="n"/>
      <c r="F314" s="109" t="n"/>
      <c r="G314" s="109" t="n"/>
      <c r="H314" s="109" t="n"/>
      <c r="I314" s="179" t="n"/>
      <c r="J314" s="179" t="n"/>
    </row>
    <row r="315" ht="30" customHeight="1" s="344">
      <c r="J315" s="90">
        <f>$J$2</f>
        <v/>
      </c>
      <c r="K315" s="37" t="n"/>
      <c r="L315" s="37" t="n"/>
      <c r="M315" s="2" t="n"/>
      <c r="N315" s="2" t="n"/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95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K317" s="35" t="n"/>
      <c r="L317" s="35" t="n"/>
      <c r="M317" s="2" t="n"/>
      <c r="N317" s="2" t="n"/>
    </row>
    <row r="318" ht="15" customHeight="1" s="344" thickBot="1">
      <c r="B318" s="72" t="n"/>
      <c r="C318" s="28" t="n"/>
      <c r="D318" s="28" t="n"/>
      <c r="E318" s="28" t="n"/>
      <c r="F318" s="28" t="n"/>
      <c r="G318" s="28" t="n"/>
      <c r="H318" s="28" t="n"/>
      <c r="I318" s="28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</row>
    <row r="320" ht="15" customFormat="1" customHeight="1" s="278">
      <c r="A320" s="63" t="n"/>
      <c r="B320" s="72" t="n"/>
      <c r="C320" s="278" t="n"/>
      <c r="D320" s="161" t="n"/>
      <c r="E320" s="35" t="n"/>
      <c r="F320" s="160" t="n"/>
      <c r="G320" s="160" t="n"/>
      <c r="H320" s="160" t="n"/>
      <c r="I320" s="160" t="n"/>
      <c r="J320" s="532" t="n"/>
    </row>
    <row r="321" ht="15" customFormat="1" customHeight="1" s="278">
      <c r="A321" s="109" t="n"/>
      <c r="B321" s="278" t="n"/>
      <c r="C321" s="278" t="n"/>
      <c r="D321" s="161" t="n"/>
      <c r="E321" s="35" t="n"/>
      <c r="F321" s="161" t="n"/>
      <c r="G321" s="94" t="n"/>
      <c r="H321" s="94" t="n"/>
      <c r="I321" s="94" t="n"/>
      <c r="J321" s="109" t="n"/>
    </row>
    <row r="322" ht="15" customFormat="1" customHeight="1" s="278">
      <c r="A322" s="109" t="n"/>
      <c r="B322" s="278" t="n"/>
      <c r="C322" s="161" t="n"/>
      <c r="D322" s="161" t="n"/>
      <c r="E322" s="35" t="n"/>
      <c r="F322" s="161" t="n"/>
      <c r="G322" s="109" t="n"/>
      <c r="H322" s="94" t="n"/>
      <c r="I322" s="109" t="n"/>
      <c r="J322" s="109" t="n"/>
    </row>
    <row r="323" ht="15" customFormat="1" customHeight="1" s="278">
      <c r="A323" s="109" t="n"/>
      <c r="B323" s="278" t="n"/>
      <c r="C323" s="161" t="n"/>
      <c r="D323" s="161" t="n"/>
      <c r="E323" s="109" t="n"/>
      <c r="F323" s="161" t="n"/>
      <c r="G323" s="109" t="n"/>
      <c r="H323" s="94" t="n"/>
      <c r="I323" s="109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35" t="n"/>
      <c r="F324" s="163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3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3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93" t="n"/>
      <c r="D328" s="161" t="n"/>
      <c r="E328" s="109" t="n"/>
      <c r="F328" s="505" t="n"/>
      <c r="H328" s="507" t="n"/>
      <c r="I328" s="93" t="n"/>
      <c r="J328" s="109" t="n"/>
    </row>
    <row r="329" ht="15" customFormat="1" customHeight="1" s="278">
      <c r="A329" s="72" t="n"/>
      <c r="B329" s="72" t="n"/>
      <c r="C329" s="163" t="n"/>
      <c r="D329" s="161" t="n"/>
      <c r="E329" s="109" t="n"/>
      <c r="F329" s="507" t="n"/>
      <c r="H329" s="507" t="n"/>
      <c r="I329" s="163" t="n"/>
      <c r="J329" s="109" t="n"/>
    </row>
    <row r="330" ht="15" customFormat="1" customHeight="1" s="278">
      <c r="A330" s="532" t="n"/>
      <c r="B330" s="532" t="n"/>
      <c r="C330" s="161" t="n"/>
      <c r="D330" s="161" t="n"/>
      <c r="E330" s="109" t="n"/>
      <c r="F330" s="507" t="n"/>
      <c r="G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63" t="n"/>
      <c r="C332" s="93" t="n"/>
      <c r="D332" s="161" t="n"/>
      <c r="E332" s="109" t="n"/>
      <c r="F332" s="507" t="n"/>
      <c r="H332" s="507" t="n"/>
      <c r="I332" s="109" t="n"/>
      <c r="J332" s="109" t="n"/>
    </row>
    <row r="333" ht="15.9" customFormat="1" customHeight="1" s="278">
      <c r="A333" s="109" t="n"/>
      <c r="B333" s="109" t="n"/>
      <c r="C333" s="161" t="n"/>
      <c r="D333" s="161" t="n"/>
      <c r="E333" s="109" t="n"/>
      <c r="F333" s="37" t="n"/>
      <c r="G333" s="278" t="n"/>
      <c r="H333" s="109" t="n"/>
      <c r="I333" s="109" t="n"/>
      <c r="J333" s="109" t="n"/>
    </row>
    <row r="334" ht="15.9" customFormat="1" customHeight="1" s="278">
      <c r="A334" s="72" t="n"/>
      <c r="C334" s="43" t="n"/>
      <c r="D334" s="161" t="n"/>
      <c r="E334" s="109" t="n"/>
      <c r="F334" s="109" t="n"/>
      <c r="G334" s="109" t="n"/>
      <c r="H334" s="109" t="n"/>
      <c r="I334" s="109" t="n"/>
      <c r="J334" s="109" t="n"/>
    </row>
    <row r="335" ht="15.9" customFormat="1" customHeight="1" s="278">
      <c r="A335" s="44" t="n"/>
      <c r="C335" s="44" t="n"/>
      <c r="D335" s="84" t="n"/>
      <c r="E335" s="44" t="n"/>
      <c r="F335" s="44" t="n"/>
      <c r="G335" s="44" t="n"/>
      <c r="H335" s="44" t="n"/>
      <c r="I335" s="44" t="n"/>
      <c r="J335" s="119" t="n"/>
    </row>
    <row r="336" ht="15.9" customFormat="1" customHeight="1" s="278">
      <c r="A336" s="40" t="n"/>
      <c r="C336" s="161" t="n"/>
      <c r="D336" s="85" t="n"/>
      <c r="E336" s="40" t="n"/>
      <c r="F336" s="32" t="n"/>
      <c r="G336" s="40" t="n"/>
      <c r="H336" s="32" t="n"/>
      <c r="I336" s="32" t="n"/>
      <c r="J336" s="40" t="n"/>
    </row>
    <row r="337" ht="15.9" customFormat="1" customHeight="1" s="278">
      <c r="A337" s="109" t="n"/>
      <c r="C337" s="163" t="n"/>
      <c r="D337" s="161" t="n"/>
      <c r="E337" s="109" t="n"/>
      <c r="F337" s="161" t="n"/>
      <c r="G337" s="109" t="n"/>
      <c r="H337" s="109" t="n"/>
      <c r="I337" s="501" t="n"/>
      <c r="J337" s="501" t="n"/>
    </row>
    <row r="338" ht="15.9" customFormat="1" customHeight="1" s="278">
      <c r="A338" s="109" t="n"/>
      <c r="B338" s="278" t="n"/>
      <c r="C338" s="161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44" t="n"/>
      <c r="D339" s="161" t="n"/>
      <c r="E339" s="109" t="n"/>
      <c r="F339" s="161" t="n"/>
      <c r="G339" s="109" t="n"/>
      <c r="H339" s="162" t="n"/>
      <c r="I339" s="162" t="n"/>
      <c r="J339" s="162" t="n"/>
    </row>
    <row r="340" ht="15.9" customFormat="1" customHeight="1" s="278">
      <c r="A340" s="109" t="n"/>
      <c r="B340" s="278" t="n"/>
      <c r="C340" s="93" t="n"/>
      <c r="D340" s="161" t="n"/>
      <c r="E340" s="109" t="n"/>
      <c r="F340" s="161" t="n"/>
      <c r="G340" s="109" t="n"/>
      <c r="H340" s="161" t="n"/>
      <c r="I340" s="161" t="n"/>
      <c r="J340" s="161" t="n"/>
    </row>
    <row r="341" ht="15.9" customFormat="1" customHeight="1" s="278">
      <c r="A341" s="109" t="n"/>
      <c r="B341" s="278" t="n"/>
      <c r="C341" s="16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1" t="n"/>
      <c r="D342" s="161" t="n"/>
      <c r="E342" s="109" t="n"/>
      <c r="F342" s="161" t="n"/>
      <c r="G342" s="109" t="n"/>
      <c r="H342" s="109" t="n"/>
      <c r="I342" s="109" t="n"/>
      <c r="J342" s="501" t="n"/>
    </row>
    <row r="343" ht="15.9" customFormat="1" customHeight="1" s="278">
      <c r="A343" s="109" t="n"/>
      <c r="B343" s="278" t="n"/>
      <c r="C343" s="278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44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161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3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09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7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44" t="n"/>
      <c r="C354" s="44" t="n"/>
      <c r="D354" s="84" t="n"/>
      <c r="E354" s="44" t="n"/>
      <c r="F354" s="44" t="n"/>
      <c r="G354" s="44" t="n"/>
      <c r="H354" s="44" t="n"/>
      <c r="I354" s="44" t="n"/>
      <c r="J354" s="119" t="n"/>
    </row>
    <row r="355" ht="15.9" customFormat="1" customHeight="1" s="278">
      <c r="A355" s="40" t="n"/>
      <c r="B355" s="40" t="n"/>
      <c r="C355" s="44" t="n"/>
      <c r="D355" s="85" t="n"/>
      <c r="E355" s="40" t="n"/>
      <c r="F355" s="32" t="n"/>
      <c r="G355" s="40" t="n"/>
      <c r="H355" s="32" t="n"/>
      <c r="I355" s="32" t="n"/>
      <c r="J355" s="40" t="n"/>
    </row>
    <row r="356" ht="15.9" customFormat="1" customHeight="1" s="278">
      <c r="A356" s="27" t="n"/>
      <c r="B356" s="278" t="n"/>
      <c r="C356" s="93" t="n"/>
      <c r="D356" s="161" t="n"/>
      <c r="E356" s="109" t="n"/>
      <c r="F356" s="109" t="n"/>
      <c r="G356" s="109" t="n"/>
      <c r="H356" s="93" t="n"/>
      <c r="I356" s="501" t="n"/>
      <c r="J356" s="501" t="n"/>
    </row>
    <row r="357" ht="15.9" customFormat="1" customHeight="1" s="278">
      <c r="A357" s="27" t="n"/>
      <c r="B357" s="278" t="n"/>
      <c r="C357" s="163" t="n"/>
      <c r="D357" s="161" t="n"/>
      <c r="E357" s="109" t="n"/>
      <c r="F357" s="109" t="n"/>
      <c r="G357" s="109" t="n"/>
      <c r="H357" s="163" t="n"/>
      <c r="I357" s="163" t="n"/>
      <c r="J357" s="163" t="n"/>
    </row>
    <row r="358" ht="15.9" customFormat="1" customHeight="1" s="278">
      <c r="A358" s="27" t="n"/>
      <c r="B358" s="278" t="n"/>
      <c r="C358" s="161" t="n"/>
      <c r="D358" s="161" t="n"/>
      <c r="E358" s="109" t="n"/>
      <c r="F358" s="109" t="n"/>
      <c r="G358" s="109" t="n"/>
      <c r="H358" s="161" t="n"/>
      <c r="I358" s="161" t="n"/>
      <c r="J358" s="161" t="n"/>
    </row>
    <row r="359" ht="15.9" customFormat="1" customHeight="1" s="278">
      <c r="A359" s="27" t="n"/>
      <c r="B359" s="278" t="n"/>
      <c r="C359" s="278" t="n"/>
      <c r="D359" s="161" t="n"/>
      <c r="E359" s="109" t="n"/>
      <c r="F359" s="109" t="n"/>
      <c r="G359" s="109" t="n"/>
      <c r="H359" s="109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87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161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D370" s="161" t="n"/>
      <c r="E370" s="109" t="n"/>
      <c r="F370" s="109" t="n"/>
      <c r="G370" s="278" t="n"/>
      <c r="H370" s="278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93" t="n"/>
      <c r="I374" s="501" t="n"/>
      <c r="J374" s="501" t="n"/>
    </row>
    <row r="375" ht="15.9" customFormat="1" customHeight="1" s="278">
      <c r="A375" s="27" t="n"/>
      <c r="B375" s="278" t="n"/>
      <c r="C375" s="63" t="n"/>
      <c r="D375" s="161" t="n"/>
      <c r="E375" s="109" t="n"/>
      <c r="F375" s="109" t="n"/>
      <c r="G375" s="109" t="n"/>
      <c r="H375" s="163" t="n"/>
      <c r="I375" s="163" t="n"/>
      <c r="J375" s="163" t="n"/>
    </row>
    <row r="376" ht="15.9" customFormat="1" customHeight="1" s="278">
      <c r="A376" s="27" t="n"/>
      <c r="B376" s="278" t="n"/>
      <c r="C376" s="287" t="n"/>
      <c r="D376" s="161" t="n"/>
      <c r="E376" s="109" t="n"/>
      <c r="F376" s="109" t="n"/>
      <c r="G376" s="109" t="n"/>
      <c r="H376" s="161" t="n"/>
      <c r="I376" s="161" t="n"/>
      <c r="J376" s="161" t="n"/>
    </row>
    <row r="377" ht="15.9" customFormat="1" customHeight="1" s="278">
      <c r="A377" s="27" t="n"/>
      <c r="B377" s="278" t="n"/>
      <c r="C377" s="161" t="n"/>
      <c r="D377" s="161" t="n"/>
      <c r="E377" s="109" t="n"/>
      <c r="F377" s="109" t="n"/>
      <c r="G377" s="109" t="n"/>
      <c r="H377" s="93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6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1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09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64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302" t="n"/>
      <c r="I388" s="302" t="n"/>
      <c r="J388" s="302" t="n"/>
    </row>
    <row r="389" ht="15.9" customFormat="1" customHeight="1" s="278">
      <c r="A389" s="27" t="n"/>
      <c r="B389" s="278" t="n"/>
      <c r="C389" s="63" t="n"/>
      <c r="D389" s="161" t="n"/>
      <c r="E389" s="109" t="n"/>
      <c r="F389" s="109" t="n"/>
      <c r="G389" s="109" t="n"/>
      <c r="H389" s="161" t="n"/>
      <c r="I389" s="161" t="n"/>
      <c r="J389" s="161" t="n"/>
    </row>
    <row r="390" ht="15.9" customFormat="1" customHeight="1" s="278">
      <c r="A390" s="27" t="n"/>
      <c r="B390" s="278" t="n"/>
      <c r="C390" s="287" t="n"/>
      <c r="D390" s="161" t="n"/>
      <c r="E390" s="109" t="n"/>
      <c r="F390" s="109" t="n"/>
      <c r="G390" s="109" t="n"/>
      <c r="H390" s="109" t="n"/>
      <c r="I390" s="501" t="n"/>
      <c r="J390" s="501" t="n"/>
    </row>
    <row r="391" ht="15.9" customFormat="1" customHeight="1" s="278">
      <c r="A391" s="27" t="n"/>
      <c r="B391" s="278" t="n"/>
      <c r="C391" s="161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44" t="n"/>
      <c r="C404" s="44" t="n"/>
      <c r="D404" s="84" t="n"/>
      <c r="E404" s="44" t="n"/>
      <c r="F404" s="44" t="n"/>
      <c r="G404" s="44" t="n"/>
      <c r="H404" s="44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109" t="n"/>
      <c r="B417" s="278" t="n"/>
      <c r="C417" s="278" t="n"/>
      <c r="D417" s="161" t="n"/>
      <c r="E417" s="109" t="n"/>
      <c r="F417" s="109" t="n"/>
      <c r="G417" s="109" t="n"/>
      <c r="H417" s="109" t="n"/>
      <c r="I417" s="501" t="n"/>
      <c r="J417" s="501" t="n"/>
      <c r="K417" s="71" t="n"/>
    </row>
    <row r="418" ht="15.9" customFormat="1" customHeight="1" s="278">
      <c r="A418" s="109" t="n"/>
      <c r="B418" s="278" t="n"/>
      <c r="C418" s="278" t="n"/>
      <c r="D418" s="161" t="n"/>
      <c r="E418" s="109" t="n"/>
      <c r="F418" s="109" t="n"/>
      <c r="G418" s="109" t="n"/>
      <c r="H418" s="109" t="n"/>
      <c r="I418" s="501" t="n"/>
    </row>
    <row r="419" ht="18" customHeight="1" s="344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109" t="n"/>
      <c r="J419" s="99">
        <f>LEFT($J$111,10)&amp;"-04"</f>
        <v/>
      </c>
      <c r="K419" s="37" t="n"/>
      <c r="L419" s="37" t="n"/>
      <c r="M419" s="2" t="n"/>
      <c r="N419" s="2" t="n"/>
    </row>
    <row r="420" ht="12.75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114" t="n"/>
      <c r="K420" s="37" t="n"/>
      <c r="L420" s="37" t="n"/>
      <c r="M420" s="2" t="n"/>
      <c r="N420" s="2" t="n"/>
    </row>
    <row r="421" ht="30" customHeight="1" s="344">
      <c r="C421" s="5" t="n"/>
      <c r="D421" s="95" t="n"/>
      <c r="E421" s="95" t="n"/>
      <c r="F421" s="95" t="n"/>
      <c r="G421" s="95" t="n"/>
      <c r="H421" s="95" t="n"/>
      <c r="I421" s="95" t="n"/>
      <c r="J421" s="90">
        <f>J2</f>
        <v/>
      </c>
      <c r="K421" s="35" t="n"/>
      <c r="L421" s="35" t="n"/>
      <c r="M421" s="2" t="n"/>
      <c r="N421" s="2" t="n"/>
    </row>
    <row r="422" ht="24.9" customHeight="1" s="344">
      <c r="C422" s="28" t="n"/>
      <c r="D422" s="28" t="n"/>
      <c r="E422" s="28" t="n"/>
      <c r="F422" s="28" t="n"/>
      <c r="G422" s="28" t="n"/>
      <c r="H422" s="28" t="n"/>
      <c r="I422" s="28" t="n"/>
      <c r="J422" s="91">
        <f>J3</f>
        <v/>
      </c>
      <c r="K422" s="35" t="n"/>
      <c r="L422" s="35" t="n"/>
      <c r="M422" s="2" t="n"/>
      <c r="N422" s="2" t="n"/>
    </row>
    <row r="423" ht="24.9" customHeight="1" s="344">
      <c r="B423" s="72" t="n"/>
      <c r="C423" s="28" t="n"/>
      <c r="D423" s="28" t="n"/>
      <c r="E423" s="28" t="n"/>
      <c r="F423" s="28" t="n"/>
      <c r="G423" s="28" t="n"/>
      <c r="H423" s="28" t="n"/>
      <c r="I423" s="28" t="n"/>
      <c r="J423" s="91">
        <f>J4</f>
        <v/>
      </c>
      <c r="M423" s="4" t="n"/>
      <c r="N423" s="4" t="n"/>
    </row>
    <row r="424" ht="15" customFormat="1" customHeight="1" s="278" thickBot="1">
      <c r="A424" s="78" t="n"/>
      <c r="B424" s="78" t="n"/>
      <c r="C424" s="78" t="n"/>
      <c r="D424" s="82" t="n"/>
      <c r="E424" s="78" t="n"/>
      <c r="F424" s="78" t="n"/>
      <c r="G424" s="78" t="n"/>
      <c r="H424" s="78" t="n"/>
      <c r="I424" s="78" t="n"/>
      <c r="J424" s="100" t="n"/>
      <c r="K424" s="4" t="n"/>
      <c r="L424" s="4" t="n"/>
      <c r="M424" s="4" t="n"/>
      <c r="N424" s="4" t="n"/>
    </row>
    <row r="425" ht="24.9" customFormat="1" customHeight="1" s="278" thickBot="1">
      <c r="A425" s="633" t="inlineStr">
        <is>
          <t>INSIDE SASH ASSEMBLY</t>
        </is>
      </c>
      <c r="B425" s="634" t="n"/>
      <c r="C425" s="634" t="n"/>
      <c r="D425" s="634" t="n"/>
      <c r="E425" s="634" t="n"/>
      <c r="F425" s="634" t="n"/>
      <c r="G425" s="634" t="n"/>
      <c r="H425" s="634" t="n"/>
      <c r="I425" s="634" t="n"/>
      <c r="J425" s="635" t="n"/>
    </row>
    <row r="426" ht="15" customFormat="1" customHeight="1" s="278">
      <c r="A426" s="63" t="n"/>
      <c r="B426" s="72" t="n"/>
      <c r="C426" s="278" t="n"/>
      <c r="D426" s="161" t="n"/>
      <c r="E426" s="35" t="n"/>
      <c r="F426" s="72" t="n"/>
      <c r="H426" s="44" t="n"/>
      <c r="I426" s="44" t="n"/>
      <c r="J426" s="119" t="n"/>
    </row>
    <row r="427" ht="15" customFormat="1" customHeight="1" s="278">
      <c r="A427" s="109" t="n"/>
      <c r="B427" s="278" t="n"/>
      <c r="C427" s="278" t="n"/>
      <c r="D427" s="161" t="n"/>
      <c r="E427" s="35" t="n"/>
      <c r="F427" s="161" t="n"/>
      <c r="H427" s="44" t="n"/>
      <c r="I427" s="44" t="n"/>
      <c r="J427" s="119" t="n"/>
    </row>
    <row r="428" ht="15" customFormat="1" customHeight="1" s="278">
      <c r="A428" s="109" t="n"/>
      <c r="B428" s="278" t="n"/>
      <c r="C428" s="278" t="n"/>
      <c r="D428" s="161" t="n"/>
      <c r="E428" s="35" t="n"/>
      <c r="F428" s="161" t="n"/>
      <c r="H428" s="44" t="n"/>
      <c r="I428" s="44" t="n"/>
      <c r="J428" s="119" t="n"/>
    </row>
    <row r="429" ht="15" customFormat="1" customHeight="1" s="278">
      <c r="A429" s="109" t="n"/>
      <c r="B429" s="278" t="n"/>
      <c r="C429" s="161" t="n"/>
      <c r="D429" s="161" t="n"/>
      <c r="E429" s="109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161" t="n"/>
      <c r="D430" s="161" t="n"/>
      <c r="E430" s="35" t="n"/>
      <c r="F430" s="163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93" t="n"/>
      <c r="D432" s="161" t="n"/>
      <c r="E432" s="109" t="n"/>
      <c r="F432" s="69" t="n"/>
      <c r="H432" s="44" t="n"/>
      <c r="I432" s="44" t="n"/>
      <c r="J432" s="119" t="n"/>
    </row>
    <row r="433" ht="15" customFormat="1" customHeight="1" s="278">
      <c r="A433" s="72" t="n"/>
      <c r="B433" s="72" t="n"/>
      <c r="C433" s="163" t="n"/>
      <c r="D433" s="161" t="n"/>
      <c r="E433" s="109" t="n"/>
      <c r="F433" s="324" t="n"/>
      <c r="H433" s="44" t="n"/>
      <c r="I433" s="44" t="n"/>
      <c r="J433" s="119" t="n"/>
    </row>
    <row r="434" ht="15" customFormat="1" customHeight="1" s="278">
      <c r="A434" s="532" t="n"/>
      <c r="B434" s="532" t="n"/>
      <c r="C434" s="161" t="n"/>
      <c r="D434" s="161" t="n"/>
      <c r="E434" s="109" t="n"/>
      <c r="F434" s="507" t="n"/>
      <c r="H434" s="44" t="n"/>
      <c r="I434" s="44" t="n"/>
      <c r="J434" s="119" t="n"/>
    </row>
    <row r="435" ht="15" customFormat="1" customHeight="1" s="278">
      <c r="B435" s="532" t="n"/>
      <c r="C435" s="161" t="n"/>
      <c r="D435" s="161" t="n"/>
      <c r="E435" s="109" t="n"/>
      <c r="F435" s="507" t="n"/>
      <c r="H435" s="44" t="n"/>
      <c r="I435" s="44" t="n"/>
      <c r="J435" s="119" t="n"/>
    </row>
    <row r="436" ht="15" customFormat="1" customHeight="1" s="278">
      <c r="A436" s="64">
        <f>A18</f>
        <v/>
      </c>
      <c r="C436" s="93" t="n"/>
      <c r="D436" s="161" t="n"/>
      <c r="E436" s="109" t="n"/>
      <c r="F436" s="324" t="n"/>
      <c r="H436" s="44" t="n"/>
      <c r="I436" s="44" t="n"/>
      <c r="J436" s="119" t="n"/>
    </row>
    <row r="437" ht="15.9" customFormat="1" customHeight="1" s="278">
      <c r="A437" s="76">
        <f>A19</f>
        <v/>
      </c>
      <c r="C437" s="161" t="n"/>
      <c r="D437" s="161" t="n"/>
      <c r="E437" s="109" t="n"/>
      <c r="F437" s="37" t="n"/>
      <c r="H437" s="44" t="n"/>
      <c r="I437" s="44" t="n"/>
      <c r="J437" s="119" t="n"/>
    </row>
    <row r="438" ht="15.9" customFormat="1" customHeight="1" s="278">
      <c r="A438" s="72" t="n"/>
      <c r="B438" s="278" t="n"/>
      <c r="C438" s="43" t="n"/>
      <c r="D438" s="161" t="n"/>
      <c r="E438" s="109" t="n"/>
      <c r="F438" s="109" t="n"/>
      <c r="H438" s="44" t="n"/>
      <c r="I438" s="44" t="n"/>
      <c r="J438" s="119" t="n"/>
    </row>
    <row r="439" ht="15.9" customFormat="1" customHeight="1" s="278">
      <c r="A439" s="44" t="n"/>
      <c r="C439" s="44" t="n"/>
      <c r="D439" s="84" t="n"/>
      <c r="E439" s="44" t="n"/>
      <c r="F439" s="44" t="n"/>
      <c r="H439" s="44" t="n"/>
      <c r="I439" s="44" t="n"/>
      <c r="J439" s="119" t="n"/>
    </row>
    <row r="440" ht="15.9" customFormat="1" customHeight="1" s="278">
      <c r="A440" s="40" t="n"/>
      <c r="C440" s="161" t="n"/>
      <c r="D440" s="85" t="n"/>
      <c r="E440" s="40" t="n"/>
      <c r="F440" s="32" t="n"/>
      <c r="H440" s="44" t="n"/>
      <c r="I440" s="44" t="n"/>
      <c r="J440" s="119" t="n"/>
    </row>
    <row r="446" ht="15.9" customFormat="1" customHeight="1" s="278">
      <c r="A446" s="109" t="n"/>
      <c r="B446" s="278" t="n"/>
      <c r="C446" s="278" t="n"/>
      <c r="D446" s="161" t="n"/>
      <c r="E446" s="109" t="n"/>
      <c r="F446" s="161" t="n"/>
      <c r="G446" s="109" t="n"/>
      <c r="H446" s="109" t="n"/>
      <c r="I446" s="501" t="n"/>
      <c r="J446" s="501" t="n"/>
    </row>
    <row r="447" ht="15.9" customFormat="1" customHeight="1" s="278">
      <c r="A447" s="109" t="n"/>
      <c r="B447" s="278" t="n"/>
      <c r="C447" s="278" t="n"/>
      <c r="D447" s="161" t="n"/>
      <c r="E447" s="109" t="n"/>
      <c r="F447" s="161" t="n"/>
      <c r="G447" s="109" t="n"/>
      <c r="H447" s="109" t="n"/>
      <c r="I447" s="501" t="n"/>
      <c r="J447" s="501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44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161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163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1" t="n"/>
      <c r="D452" s="161" t="n"/>
      <c r="E452" s="109" t="n"/>
      <c r="F452" s="161" t="n"/>
      <c r="G452" s="109" t="n"/>
      <c r="H452" s="109" t="n"/>
      <c r="I452" s="109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09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09" t="n"/>
      <c r="G454" s="109" t="n"/>
      <c r="H454" s="107" t="n"/>
      <c r="I454" s="501" t="n"/>
      <c r="J454" s="501" t="n"/>
    </row>
    <row r="455" ht="15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9" t="n"/>
      <c r="I455" s="501" t="n"/>
      <c r="J455" s="501" t="n"/>
    </row>
    <row r="456" ht="15.9" customFormat="1" customHeight="1" s="23">
      <c r="A456" s="109" t="n"/>
      <c r="B456" s="278" t="n"/>
      <c r="C456" s="278" t="n"/>
      <c r="D456" s="161" t="n"/>
      <c r="E456" s="109" t="n"/>
      <c r="F456" s="109" t="n"/>
      <c r="G456" s="109" t="n"/>
      <c r="H456" s="109" t="n"/>
      <c r="I456" s="109" t="n"/>
      <c r="J456" s="109" t="n"/>
    </row>
    <row r="457" ht="15.9" customFormat="1" customHeight="1" s="278">
      <c r="A457" s="44" t="n"/>
      <c r="B457" s="44" t="n"/>
      <c r="C457" s="44" t="n"/>
      <c r="D457" s="84" t="n"/>
      <c r="E457" s="44" t="n"/>
      <c r="F457" s="44" t="n"/>
      <c r="G457" s="44" t="n"/>
      <c r="H457" s="44" t="n"/>
      <c r="I457" s="44" t="n"/>
      <c r="J457" s="119" t="n"/>
    </row>
    <row r="458" ht="15.9" customFormat="1" customHeight="1" s="278">
      <c r="A458" s="40" t="n"/>
      <c r="B458" s="40" t="n"/>
      <c r="C458" s="44" t="n"/>
      <c r="D458" s="85" t="n"/>
      <c r="E458" s="40" t="n"/>
      <c r="F458" s="32" t="n"/>
      <c r="G458" s="40" t="n"/>
      <c r="H458" s="32" t="n"/>
      <c r="I458" s="32" t="n"/>
      <c r="J458" s="40" t="n"/>
    </row>
    <row r="459" ht="15.9" customFormat="1" customHeight="1" s="278">
      <c r="A459" s="27" t="n"/>
      <c r="B459" s="278" t="n"/>
      <c r="C459" s="93" t="n"/>
      <c r="D459" s="161" t="n"/>
      <c r="E459" s="109" t="n"/>
      <c r="F459" s="109" t="n"/>
      <c r="G459" s="109" t="n"/>
      <c r="H459" s="93" t="n"/>
      <c r="I459" s="501" t="n"/>
      <c r="J459" s="501" t="n"/>
    </row>
    <row r="460" ht="15.9" customFormat="1" customHeight="1" s="278">
      <c r="A460" s="27" t="n"/>
      <c r="B460" s="278" t="n"/>
      <c r="C460" s="163" t="n"/>
      <c r="D460" s="161" t="n"/>
      <c r="E460" s="109" t="n"/>
      <c r="F460" s="109" t="n"/>
      <c r="G460" s="109" t="n"/>
      <c r="H460" s="287" t="n"/>
      <c r="I460" s="287" t="n"/>
      <c r="J460" s="302" t="n"/>
    </row>
    <row r="461" ht="15.9" customFormat="1" customHeight="1" s="278">
      <c r="A461" s="27" t="n"/>
      <c r="B461" s="278" t="n"/>
      <c r="C461" s="161" t="n"/>
      <c r="D461" s="161" t="n"/>
      <c r="E461" s="109" t="n"/>
      <c r="F461" s="109" t="n"/>
      <c r="G461" s="109" t="n"/>
      <c r="H461" s="278" t="n"/>
      <c r="I461" s="278" t="n"/>
      <c r="J461" s="109" t="n"/>
    </row>
    <row r="462" ht="15.9" customFormat="1" customHeight="1" s="278">
      <c r="A462" s="27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.9" customFormat="1" customHeight="1" s="278">
      <c r="A463" s="27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.9" customFormat="1" customHeight="1" s="278">
      <c r="A464" s="27" t="n"/>
      <c r="B464" s="278" t="n"/>
      <c r="C464" s="287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.9" customFormat="1" customHeight="1" s="278">
      <c r="A465" s="27" t="n"/>
      <c r="B465" s="278" t="n"/>
      <c r="C465" s="161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.9" customFormat="1" customHeight="1" s="278">
      <c r="A466" s="27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.9" customFormat="1" customHeight="1" s="278">
      <c r="A467" s="27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.9" customFormat="1" customHeight="1" s="278">
      <c r="A468" s="27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.9" customFormat="1" customHeight="1" s="278">
      <c r="A469" s="27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.9" customFormat="1" customHeight="1" s="278">
      <c r="A470" s="27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.9" customFormat="1" customHeight="1" s="278">
      <c r="A471" s="27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.9" customFormat="1" customHeight="1" s="278">
      <c r="A472" s="27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.9" customFormat="1" customHeight="1" s="278">
      <c r="A473" s="27" t="n"/>
      <c r="D473" s="161" t="n"/>
      <c r="E473" s="109" t="n"/>
      <c r="F473" s="109" t="n"/>
      <c r="G473" s="278" t="n"/>
      <c r="H473" s="278" t="n"/>
      <c r="I473" s="501" t="n"/>
      <c r="J473" s="501" t="n"/>
    </row>
    <row r="474" ht="15.9" customFormat="1" customHeight="1" s="278">
      <c r="A474" s="27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.9" customFormat="1" customHeight="1" s="278">
      <c r="A475" s="27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78">
      <c r="A476" s="27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78">
      <c r="A477" s="27" t="n"/>
      <c r="B477" s="278" t="n"/>
      <c r="C477" s="278" t="n"/>
      <c r="D477" s="161" t="n"/>
      <c r="E477" s="109" t="n"/>
      <c r="F477" s="109" t="n"/>
      <c r="G477" s="109" t="n"/>
      <c r="H477" s="93" t="n"/>
      <c r="I477" s="501" t="n"/>
      <c r="J477" s="501" t="n"/>
    </row>
    <row r="478" ht="15.9" customFormat="1" customHeight="1" s="278">
      <c r="A478" s="27" t="n"/>
      <c r="B478" s="278" t="n"/>
      <c r="C478" s="63" t="n"/>
      <c r="D478" s="161" t="n"/>
      <c r="E478" s="109" t="n"/>
      <c r="F478" s="109" t="n"/>
      <c r="G478" s="109" t="n"/>
      <c r="H478" s="287" t="n"/>
      <c r="I478" s="287" t="n"/>
      <c r="J478" s="302" t="n"/>
    </row>
    <row r="479" ht="15.9" customFormat="1" customHeight="1" s="278">
      <c r="A479" s="27" t="n"/>
      <c r="B479" s="278" t="n"/>
      <c r="C479" s="287" t="n"/>
      <c r="D479" s="161" t="n"/>
      <c r="E479" s="109" t="n"/>
      <c r="F479" s="109" t="n"/>
      <c r="G479" s="109" t="n"/>
      <c r="H479" s="278" t="n"/>
      <c r="I479" s="278" t="n"/>
      <c r="J479" s="109" t="n"/>
    </row>
    <row r="480" ht="15.9" customFormat="1" customHeight="1" s="278">
      <c r="A480" s="27" t="n"/>
      <c r="B480" s="278" t="n"/>
      <c r="C480" s="161" t="n"/>
      <c r="D480" s="161" t="n"/>
      <c r="E480" s="109" t="n"/>
      <c r="F480" s="109" t="n"/>
      <c r="G480" s="109" t="n"/>
      <c r="H480" s="93" t="n"/>
      <c r="I480" s="501" t="n"/>
      <c r="J480" s="501" t="n"/>
    </row>
    <row r="481" ht="15.9" customFormat="1" customHeight="1" s="278">
      <c r="A481" s="27" t="n"/>
      <c r="B481" s="278" t="n"/>
      <c r="C481" s="161" t="n"/>
      <c r="D481" s="161" t="n"/>
      <c r="E481" s="109" t="n"/>
      <c r="F481" s="109" t="n"/>
      <c r="G481" s="109" t="n"/>
      <c r="H481" s="93" t="n"/>
      <c r="I481" s="501" t="n"/>
      <c r="J481" s="501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93" t="n"/>
      <c r="I482" s="501" t="n"/>
      <c r="J482" s="501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93" t="n"/>
      <c r="I483" s="501" t="n"/>
      <c r="J483" s="501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93" t="n"/>
      <c r="I484" s="501" t="n"/>
      <c r="J484" s="501" t="n"/>
    </row>
    <row r="485" ht="15.9" customFormat="1" customHeight="1" s="278">
      <c r="A485" s="27" t="n"/>
      <c r="B485" s="278" t="n"/>
      <c r="C485" s="161" t="n"/>
      <c r="D485" s="161" t="n"/>
      <c r="E485" s="109" t="n"/>
      <c r="F485" s="109" t="n"/>
      <c r="G485" s="109" t="n"/>
      <c r="H485" s="93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93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93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93" t="n"/>
      <c r="I488" s="501" t="n"/>
      <c r="J488" s="501" t="n"/>
    </row>
    <row r="489" ht="15.9" customFormat="1" customHeight="1" s="278">
      <c r="A489" s="27" t="n"/>
      <c r="B489" s="278" t="n"/>
      <c r="C489" s="161" t="n"/>
      <c r="D489" s="161" t="n"/>
      <c r="E489" s="109" t="n"/>
      <c r="F489" s="109" t="n"/>
      <c r="G489" s="109" t="n"/>
      <c r="H489" s="93" t="n"/>
      <c r="I489" s="501" t="n"/>
      <c r="J489" s="501" t="n"/>
    </row>
    <row r="490" ht="15.9" customFormat="1" customHeight="1" s="278">
      <c r="A490" s="27" t="n"/>
      <c r="B490" s="278" t="n"/>
      <c r="C490" s="161" t="n"/>
      <c r="D490" s="161" t="n"/>
      <c r="E490" s="109" t="n"/>
      <c r="F490" s="109" t="n"/>
      <c r="G490" s="109" t="n"/>
      <c r="H490" s="93" t="n"/>
      <c r="I490" s="501" t="n"/>
      <c r="J490" s="501" t="n"/>
    </row>
    <row r="491" ht="15.9" customFormat="1" customHeight="1" s="278">
      <c r="A491" s="27" t="n"/>
      <c r="B491" s="278" t="n"/>
      <c r="C491" s="161" t="n"/>
      <c r="D491" s="161" t="n"/>
      <c r="E491" s="109" t="n"/>
      <c r="F491" s="109" t="n"/>
      <c r="G491" s="109" t="n"/>
      <c r="H491" s="93" t="n"/>
      <c r="I491" s="501" t="n"/>
      <c r="J491" s="501" t="n"/>
    </row>
    <row r="492" ht="15.9" customFormat="1" customHeight="1" s="278">
      <c r="A492" s="27" t="n"/>
      <c r="B492" s="278" t="n"/>
      <c r="C492" s="161" t="n"/>
      <c r="D492" s="161" t="n"/>
      <c r="E492" s="109" t="n"/>
      <c r="F492" s="109" t="n"/>
      <c r="G492" s="109" t="n"/>
      <c r="H492" s="93" t="n"/>
      <c r="I492" s="501" t="n"/>
      <c r="J492" s="501" t="n"/>
    </row>
    <row r="493" ht="15.9" customFormat="1" customHeight="1" s="278">
      <c r="A493" s="27" t="n"/>
      <c r="B493" s="278" t="n"/>
      <c r="C493" s="161" t="n"/>
      <c r="D493" s="161" t="n"/>
      <c r="E493" s="109" t="n"/>
      <c r="F493" s="109" t="n"/>
      <c r="G493" s="109" t="n"/>
      <c r="H493" s="93" t="n"/>
      <c r="I493" s="501" t="n"/>
      <c r="J493" s="501" t="n"/>
    </row>
    <row r="494" ht="15.9" customFormat="1" customHeight="1" s="278">
      <c r="A494" s="27" t="n"/>
      <c r="B494" s="278" t="n"/>
      <c r="C494" s="161" t="n"/>
      <c r="D494" s="161" t="n"/>
      <c r="E494" s="109" t="n"/>
      <c r="F494" s="109" t="n"/>
      <c r="G494" s="109" t="n"/>
      <c r="H494" s="93" t="n"/>
      <c r="I494" s="501" t="n"/>
      <c r="J494" s="501" t="n"/>
    </row>
    <row r="495" ht="15.9" customFormat="1" customHeight="1" s="278">
      <c r="A495" s="27" t="n"/>
      <c r="B495" s="278" t="n"/>
      <c r="C495" s="161" t="n"/>
      <c r="D495" s="161" t="n"/>
      <c r="E495" s="109" t="n"/>
      <c r="F495" s="109" t="n"/>
      <c r="G495" s="109" t="n"/>
      <c r="H495" s="93" t="n"/>
      <c r="I495" s="501" t="n"/>
      <c r="J495" s="501" t="n"/>
    </row>
    <row r="496" ht="15.9" customFormat="1" customHeight="1" s="278">
      <c r="A496" s="27" t="n"/>
      <c r="B496" s="278" t="n"/>
      <c r="C496" s="161" t="n"/>
      <c r="D496" s="161" t="n"/>
      <c r="E496" s="109" t="n"/>
      <c r="F496" s="109" t="n"/>
      <c r="G496" s="109" t="n"/>
      <c r="H496" s="93" t="n"/>
      <c r="I496" s="501" t="n"/>
      <c r="J496" s="501" t="n"/>
    </row>
    <row r="497" ht="15.9" customFormat="1" customHeight="1" s="278">
      <c r="A497" s="27" t="n"/>
      <c r="B497" s="278" t="n"/>
      <c r="C497" s="161" t="n"/>
      <c r="D497" s="161" t="n"/>
      <c r="E497" s="109" t="n"/>
      <c r="F497" s="109" t="n"/>
      <c r="G497" s="109" t="n"/>
      <c r="H497" s="93" t="n"/>
      <c r="I497" s="501" t="n"/>
      <c r="J497" s="501" t="n"/>
    </row>
    <row r="498" ht="15.9" customFormat="1" customHeight="1" s="278">
      <c r="A498" s="27" t="n"/>
      <c r="B498" s="278" t="n"/>
      <c r="C498" s="161" t="n"/>
      <c r="D498" s="161" t="n"/>
      <c r="E498" s="109" t="n"/>
      <c r="F498" s="109" t="n"/>
      <c r="G498" s="109" t="n"/>
      <c r="H498" s="93" t="n"/>
      <c r="I498" s="501" t="n"/>
      <c r="J498" s="501" t="n"/>
    </row>
    <row r="499" ht="15.9" customFormat="1" customHeight="1" s="278">
      <c r="A499" s="27" t="n"/>
      <c r="B499" s="278" t="n"/>
      <c r="C499" s="161" t="n"/>
      <c r="D499" s="161" t="n"/>
      <c r="E499" s="109" t="n"/>
      <c r="F499" s="109" t="n"/>
      <c r="G499" s="109" t="n"/>
      <c r="H499" s="93" t="n"/>
      <c r="I499" s="501" t="n"/>
      <c r="J499" s="501" t="n"/>
    </row>
    <row r="500" ht="15.9" customFormat="1" customHeight="1" s="278">
      <c r="A500" s="27" t="n"/>
      <c r="B500" s="278" t="n"/>
      <c r="C500" s="161" t="n"/>
      <c r="D500" s="161" t="n"/>
      <c r="E500" s="109" t="n"/>
      <c r="F500" s="109" t="n"/>
      <c r="G500" s="109" t="n"/>
      <c r="H500" s="93" t="n"/>
      <c r="I500" s="501" t="n"/>
      <c r="J500" s="501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278" t="n"/>
      <c r="I501" s="278" t="n"/>
      <c r="J501" s="109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66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66" t="n"/>
      <c r="I512" s="43" t="n"/>
      <c r="J512" s="107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/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02" t="inlineStr">
        <is>
          <t>ITEM</t>
        </is>
      </c>
      <c r="B518" s="103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86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((W-182-113.25)/2)-13</t>
        </is>
      </c>
      <c r="I519" s="124">
        <f>(($J$126-182-113.25)/2)-13</f>
        <v/>
      </c>
      <c r="J519" s="151">
        <f>$J$120*2</f>
        <v/>
      </c>
      <c r="M519" s="278">
        <f>ROW()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242" t="n"/>
      <c r="B520" s="295" t="n"/>
      <c r="C520" s="295" t="n"/>
      <c r="D520" s="357" t="n"/>
      <c r="E520" s="242" t="n"/>
      <c r="F520" s="337" t="n"/>
      <c r="G520" s="338" t="n"/>
      <c r="H520" s="242" t="n"/>
      <c r="I520" s="298" t="n"/>
      <c r="J520" s="299" t="n"/>
      <c r="M520" s="278">
        <f>ROW()</f>
        <v/>
      </c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M521" s="278">
        <f>ROW()</f>
        <v/>
      </c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M522" s="278">
        <f>ROW()</f>
        <v/>
      </c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341" t="n"/>
      <c r="B523" s="142" t="n"/>
      <c r="C523" s="142" t="n"/>
      <c r="D523" s="141" t="n"/>
      <c r="E523" s="240" t="n"/>
      <c r="F523" s="158" t="n"/>
      <c r="G523" s="342" t="n"/>
      <c r="H523" s="240" t="n"/>
      <c r="I523" s="136" t="n"/>
      <c r="J523" s="343" t="n"/>
      <c r="M523" s="278">
        <f>ROW()</f>
        <v/>
      </c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>
        <f>IF(B524="","",+""+1)</f>
        <v/>
      </c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99">
        <f>LEFT($J$111,10)&amp;"-05"</f>
        <v/>
      </c>
      <c r="M524" s="278">
        <f>ROW()</f>
        <v/>
      </c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M525" s="278">
        <f>ROW()</f>
        <v/>
      </c>
      <c r="N525" s="415" t="inlineStr">
        <is>
          <t>กระจก 18 mm (สูง) (กว้าง)</t>
        </is>
      </c>
      <c r="O525" s="415" t="inlineStr">
        <is>
          <t>GLASS thk.18 mm (H) (W)</t>
        </is>
      </c>
    </row>
    <row r="526">
      <c r="M526" s="278">
        <f>ROW()</f>
        <v/>
      </c>
      <c r="N526" s="415" t="inlineStr">
        <is>
          <t>กระจก 20 mm (สูง) (กว้าง)</t>
        </is>
      </c>
      <c r="O526" s="415" t="inlineStr">
        <is>
          <t>GLASS thk.20 mm (H) (W)</t>
        </is>
      </c>
    </row>
    <row r="527">
      <c r="M527" s="278">
        <f>ROW()</f>
        <v/>
      </c>
      <c r="N527" s="415" t="inlineStr">
        <is>
          <t>กระจก 22 mm (สูง) (กว้าง)</t>
        </is>
      </c>
      <c r="O527" s="415" t="inlineStr">
        <is>
          <t>GLASS thk.22 mm (H) (W)</t>
        </is>
      </c>
    </row>
  </sheetData>
  <mergeCells count="43">
    <mergeCell ref="I158:J158"/>
    <mergeCell ref="H171:H172"/>
    <mergeCell ref="D127:G127"/>
    <mergeCell ref="D121:G121"/>
    <mergeCell ref="A131:J131"/>
    <mergeCell ref="H167:H170"/>
    <mergeCell ref="I160:J160"/>
    <mergeCell ref="I170:J171"/>
    <mergeCell ref="D163:D164"/>
    <mergeCell ref="D129:G129"/>
    <mergeCell ref="D123:G123"/>
    <mergeCell ref="F329:G329"/>
    <mergeCell ref="A117:J117"/>
    <mergeCell ref="J123:J124"/>
    <mergeCell ref="H163:H164"/>
    <mergeCell ref="A173:J173"/>
    <mergeCell ref="H120:I121"/>
    <mergeCell ref="I159:J159"/>
    <mergeCell ref="A319:J319"/>
    <mergeCell ref="I166:J169"/>
    <mergeCell ref="D119:G119"/>
    <mergeCell ref="I165:J165"/>
    <mergeCell ref="I162:J162"/>
    <mergeCell ref="H126:I127"/>
    <mergeCell ref="D171:D172"/>
    <mergeCell ref="A6:J6"/>
    <mergeCell ref="I161:J161"/>
    <mergeCell ref="D165:D166"/>
    <mergeCell ref="A517:J517"/>
    <mergeCell ref="F519:G519"/>
    <mergeCell ref="A212:J212"/>
    <mergeCell ref="J120:J121"/>
    <mergeCell ref="F332:G332"/>
    <mergeCell ref="D167:D170"/>
    <mergeCell ref="A125:B125"/>
    <mergeCell ref="J126:J127"/>
    <mergeCell ref="I172:J172"/>
    <mergeCell ref="I163:J164"/>
    <mergeCell ref="A425:J425"/>
    <mergeCell ref="H165:H166"/>
    <mergeCell ref="D125:G125"/>
    <mergeCell ref="H123:I124"/>
    <mergeCell ref="F328:G328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19" min="0" max="9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AJ530"/>
  <sheetViews>
    <sheetView showGridLines="0" view="pageBreakPreview" topLeftCell="A115" zoomScale="75" zoomScaleNormal="75" zoomScaleSheetLayoutView="75" workbookViewId="0">
      <selection activeCell="H128" sqref="H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9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8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1.332031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240-3 Panel (2L1R)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FG-240-3P2L1R-01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8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8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8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6</v>
      </c>
      <c r="U133" s="283" t="inlineStr">
        <is>
          <t>(W-182-(113.25 × 2))/3</t>
        </is>
      </c>
      <c r="V133" s="307">
        <f>($J$126-182-(113.25*2))/3</f>
        <v/>
      </c>
      <c r="W133" s="286">
        <f>$J$119*T133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6</v>
      </c>
      <c r="U134" s="143" t="inlineStr">
        <is>
          <t>(W-182-(113.25 × 2))/3</t>
        </is>
      </c>
      <c r="V134" s="307">
        <f>($J$126-182-(113.25*2))/3</f>
        <v/>
      </c>
      <c r="W134" s="131">
        <f>$J$119*T134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6</v>
      </c>
      <c r="U135" s="240" t="inlineStr">
        <is>
          <t>(W-182-(113.25 × 2))/3</t>
        </is>
      </c>
      <c r="V135" s="307">
        <f>($J$126-182-(113.25*2))/3</f>
        <v/>
      </c>
      <c r="W135" s="293">
        <f>$J$119*T135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6</v>
      </c>
      <c r="U136" s="283" t="inlineStr">
        <is>
          <t>H-242</t>
        </is>
      </c>
      <c r="V136" s="288">
        <f>$J$123-242</f>
        <v/>
      </c>
      <c r="W136" s="286">
        <f>$J$119*T136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6</v>
      </c>
      <c r="U137" s="143" t="inlineStr">
        <is>
          <t>H-242</t>
        </is>
      </c>
      <c r="V137" s="130">
        <f>$J$123-242</f>
        <v/>
      </c>
      <c r="W137" s="131">
        <f>$J$119*T137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B24005-004R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6</v>
      </c>
      <c r="U138" s="240" t="inlineStr">
        <is>
          <t>H-242</t>
        </is>
      </c>
      <c r="V138" s="136">
        <f>$J$123-242</f>
        <v/>
      </c>
      <c r="W138" s="293">
        <f>$J$119*T138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3</v>
      </c>
      <c r="H141" s="143" t="inlineStr">
        <is>
          <t>45° (W-60-(3+1)×4)/3</t>
        </is>
      </c>
      <c r="I141" s="178">
        <f>($J$126-60-(3+1)*4)/3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3</v>
      </c>
      <c r="H142" s="143" t="inlineStr">
        <is>
          <t>45° (W-60-(3+1)×4)/3</t>
        </is>
      </c>
      <c r="I142" s="178">
        <f>($J$126-60-(3+1)*4)/3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4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 xml:space="preserve">SASH STOP 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</row>
    <row r="154" ht="18" customFormat="1" customHeight="1" s="278">
      <c r="A154" s="143">
        <f>IF(B154="","",+A153+1)</f>
        <v/>
      </c>
      <c r="B154" s="140" t="n"/>
      <c r="C154" s="140" t="n"/>
      <c r="D154" s="139" t="n"/>
      <c r="E154" s="143" t="n"/>
      <c r="F154" s="139" t="n"/>
      <c r="G154" s="143" t="n"/>
      <c r="H154" s="143" t="n"/>
      <c r="I154" s="144" t="n"/>
      <c r="J154" s="131">
        <f>$J$120*G154</f>
        <v/>
      </c>
      <c r="N154" s="287" t="n"/>
    </row>
    <row r="155" ht="18" customFormat="1" customHeight="1" s="278">
      <c r="A155" s="143">
        <f>IF(B155="","",+A154+1)</f>
        <v/>
      </c>
      <c r="B155" s="140" t="n"/>
      <c r="C155" s="140" t="n"/>
      <c r="D155" s="139" t="n"/>
      <c r="E155" s="143" t="n"/>
      <c r="F155" s="139" t="n"/>
      <c r="G155" s="143" t="n"/>
      <c r="H155" s="143" t="n"/>
      <c r="I155" s="144" t="n"/>
      <c r="J155" s="131">
        <f>$J$120*G155</f>
        <v/>
      </c>
      <c r="N155" s="287" t="n"/>
    </row>
    <row r="156" ht="18" customFormat="1" customHeight="1" s="278">
      <c r="A156" s="143">
        <f>IF(B156="","",+A155+1)</f>
        <v/>
      </c>
      <c r="B156" s="140" t="n"/>
      <c r="C156" s="140" t="n"/>
      <c r="D156" s="139" t="n"/>
      <c r="E156" s="143" t="n"/>
      <c r="F156" s="139" t="n"/>
      <c r="G156" s="143" t="n"/>
      <c r="H156" s="143" t="n"/>
      <c r="I156" s="144" t="n"/>
      <c r="J156" s="131">
        <f>$J$120*G156</f>
        <v/>
      </c>
      <c r="N156" s="287" t="n"/>
    </row>
    <row r="157" ht="18" customFormat="1" customHeight="1" s="278" thickBot="1">
      <c r="A157" s="143">
        <f>IF(B157="","",+A156+1)</f>
        <v/>
      </c>
      <c r="B157" s="207" t="n"/>
      <c r="C157" s="207" t="n"/>
      <c r="D157" s="208" t="n"/>
      <c r="E157" s="209" t="n"/>
      <c r="F157" s="208" t="n"/>
      <c r="G157" s="209" t="n"/>
      <c r="H157" s="209" t="n"/>
      <c r="I157" s="171" t="n"/>
      <c r="J157" s="172">
        <f>$J$120*G157</f>
        <v/>
      </c>
    </row>
    <row r="158" outlineLevel="1" ht="27" customFormat="1" customHeight="1" s="278" thickBot="1">
      <c r="A158" s="169" t="inlineStr">
        <is>
          <t>ITEM</t>
        </is>
      </c>
      <c r="B158" s="169" t="inlineStr">
        <is>
          <t>THAI</t>
        </is>
      </c>
      <c r="C158" s="169" t="inlineStr">
        <is>
          <t>DESCRIPTION</t>
        </is>
      </c>
      <c r="D158" s="169" t="inlineStr">
        <is>
          <t>DIE NO.</t>
        </is>
      </c>
      <c r="E158" s="169" t="inlineStr">
        <is>
          <t>KG/m</t>
        </is>
      </c>
      <c r="F158" s="177" t="inlineStr">
        <is>
          <t>TOTAL
LENGTH/SET(mm)</t>
        </is>
      </c>
      <c r="G158" s="169" t="inlineStr">
        <is>
          <t>LENGTH/SET(m)</t>
        </is>
      </c>
      <c r="H158" s="170" t="inlineStr">
        <is>
          <t>TAKE OFF/6.4M</t>
        </is>
      </c>
      <c r="I158" s="540" t="n"/>
    </row>
    <row r="159" outlineLevel="1" ht="15" customFormat="1" customHeight="1" s="278">
      <c r="A159" s="21">
        <f>IF(B159="","",1)</f>
        <v/>
      </c>
      <c r="B159" s="173">
        <f>B133</f>
        <v/>
      </c>
      <c r="C159" s="173">
        <f>C133</f>
        <v/>
      </c>
      <c r="D159" s="577">
        <f>VLOOKUP(C159,$C$133:$H$157,2,0)</f>
        <v/>
      </c>
      <c r="E159" s="175">
        <f>VLOOKUP(C159,$C$133:$H$157,3,0)</f>
        <v/>
      </c>
      <c r="F159" s="175">
        <f>VLOOKUP(C159,$C$133:$J$157,7,0)</f>
        <v/>
      </c>
      <c r="G159" s="175">
        <f>VLOOKUP(C159,$C$133:$J$157,8,0)</f>
        <v/>
      </c>
      <c r="H159" s="176">
        <f>ROUNDUP((F159*G159)/6400,0)</f>
        <v/>
      </c>
      <c r="I159" s="500" t="n"/>
    </row>
    <row r="160" outlineLevel="1" ht="15" customFormat="1" customHeight="1" s="278">
      <c r="A160" s="213">
        <f>IF(B160="","",+A159+1)</f>
        <v/>
      </c>
      <c r="B160" s="173">
        <f>B134</f>
        <v/>
      </c>
      <c r="C160" s="173">
        <f>C134</f>
        <v/>
      </c>
      <c r="D160" s="577">
        <f>VLOOKUP(C160,$C$133:$H$157,2,0)</f>
        <v/>
      </c>
      <c r="E160" s="175">
        <f>VLOOKUP(C160,$C$133:$H$157,3,0)</f>
        <v/>
      </c>
      <c r="F160" s="175">
        <f>VLOOKUP(C160,$C$133:$I$157,7,0)</f>
        <v/>
      </c>
      <c r="G160" s="175">
        <f>VLOOKUP(C160,$C$133:$J$157,8,0)</f>
        <v/>
      </c>
      <c r="H160" s="176">
        <f>ROUNDUP((F160*G160)/6400,0)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B135</f>
        <v/>
      </c>
      <c r="C161" s="173">
        <f>C135</f>
        <v/>
      </c>
      <c r="D161" s="577">
        <f>VLOOKUP(C161,$C$133:$H$157,2,0)</f>
        <v/>
      </c>
      <c r="E161" s="175">
        <f>VLOOKUP(C161,$C$133:$H$157,3,0)</f>
        <v/>
      </c>
      <c r="F161" s="175">
        <f>VLOOKUP(C161,$C$133:$I$157,7,0)</f>
        <v/>
      </c>
      <c r="G161" s="175">
        <f>VLOOKUP(C161,$C$133:$J$157,8,0)</f>
        <v/>
      </c>
      <c r="H161" s="176">
        <f>ROUNDUP((F161*G161)/6400,0)</f>
        <v/>
      </c>
      <c r="I161" s="500" t="n"/>
    </row>
    <row r="162" outlineLevel="1" ht="15" customFormat="1" customHeight="1" s="278">
      <c r="A162" s="213">
        <f>IF(B162="","",+A161+1)</f>
        <v/>
      </c>
      <c r="B162" s="173">
        <f>B136</f>
        <v/>
      </c>
      <c r="C162" s="173">
        <f>C136</f>
        <v/>
      </c>
      <c r="D162" s="577">
        <f>VLOOKUP(C162,$C$133:$H$157,2,0)</f>
        <v/>
      </c>
      <c r="E162" s="175">
        <f>VLOOKUP(C162,$C$133:$H$157,3,0)</f>
        <v/>
      </c>
      <c r="F162" s="175">
        <f>VLOOKUP(C162,$C$133:$I$157,7,0)</f>
        <v/>
      </c>
      <c r="G162" s="175">
        <f>VLOOKUP(C162,$C$133:$J$157,8,0)</f>
        <v/>
      </c>
      <c r="H162" s="176">
        <f>ROUNDUP((F162*G162)/6400,0)</f>
        <v/>
      </c>
      <c r="I162" s="500" t="n"/>
    </row>
    <row r="163" outlineLevel="1" ht="15" customFormat="1" customHeight="1" s="278">
      <c r="A163" s="213">
        <f>IF(B163="","",+A162+1)</f>
        <v/>
      </c>
      <c r="B163" s="173">
        <f>B137</f>
        <v/>
      </c>
      <c r="C163" s="173">
        <f>C137</f>
        <v/>
      </c>
      <c r="D163" s="643">
        <f>VLOOKUP(C163,$C$133:$H$157,2,0)</f>
        <v/>
      </c>
      <c r="E163" s="175">
        <f>VLOOKUP(C163,$C$133:$H$157,3,0)</f>
        <v/>
      </c>
      <c r="F163" s="175">
        <f>VLOOKUP(C163,$C$133:$I$157,7,0)</f>
        <v/>
      </c>
      <c r="G163" s="175">
        <f>VLOOKUP(C163,$C$133:$J$157,8,0)</f>
        <v/>
      </c>
      <c r="H163" s="516">
        <f>ROUNDUP(((F163*G163)+(F164*G164))/6400,0)</f>
        <v/>
      </c>
      <c r="I163" s="506" t="n"/>
    </row>
    <row r="164" outlineLevel="1" ht="15" customFormat="1" customHeight="1" s="278">
      <c r="A164" s="213">
        <f>IF(B164="","",+A163+1)</f>
        <v/>
      </c>
      <c r="B164" s="173">
        <f>B138</f>
        <v/>
      </c>
      <c r="C164" s="173">
        <f>C138</f>
        <v/>
      </c>
      <c r="D164" s="625" t="n"/>
      <c r="E164" s="175">
        <f>VLOOKUP(C164,$C$133:$H$157,3,0)</f>
        <v/>
      </c>
      <c r="F164" s="175">
        <f>VLOOKUP(C164,$C$133:$I$157,7,0)</f>
        <v/>
      </c>
      <c r="G164" s="175">
        <f>VLOOKUP(C164,$C$133:$J$157,8,0)</f>
        <v/>
      </c>
      <c r="H164" s="644" t="n"/>
    </row>
    <row r="165" outlineLevel="1" ht="15" customFormat="1" customHeight="1" s="278">
      <c r="A165" s="213">
        <f>IF(B165="","",+A164+1)</f>
        <v/>
      </c>
      <c r="B165" s="173">
        <f>B139</f>
        <v/>
      </c>
      <c r="C165" s="173">
        <f>C139</f>
        <v/>
      </c>
      <c r="D165" s="643">
        <f>VLOOKUP(C165,$C$133:$H$157,2,0)</f>
        <v/>
      </c>
      <c r="E165" s="175">
        <f>VLOOKUP(C165,$C$133:$H$157,3,0)</f>
        <v/>
      </c>
      <c r="F165" s="175">
        <f>VLOOKUP(C165,$C$133:$I$157,7,0)</f>
        <v/>
      </c>
      <c r="G165" s="175">
        <f>VLOOKUP(C165,$C$133:$J$157,8,0)</f>
        <v/>
      </c>
      <c r="H165" s="516">
        <f>ROUNDUP(((F165*G165)+(F166*G166))/6400,0)</f>
        <v/>
      </c>
      <c r="I165" s="500" t="n"/>
    </row>
    <row r="166" outlineLevel="1" ht="15" customFormat="1" customHeight="1" s="278">
      <c r="A166" s="213">
        <f>IF(B166="","",+A165+1)</f>
        <v/>
      </c>
      <c r="B166" s="173">
        <f>B140</f>
        <v/>
      </c>
      <c r="C166" s="173">
        <f>C140</f>
        <v/>
      </c>
      <c r="D166" s="625" t="n"/>
      <c r="E166" s="175">
        <f>VLOOKUP(C166,$C$133:$H$157,3,0)</f>
        <v/>
      </c>
      <c r="F166" s="175">
        <f>VLOOKUP(C166,$C$133:$I$157,7,0)</f>
        <v/>
      </c>
      <c r="G166" s="175">
        <f>VLOOKUP(C166,$C$133:$J$157,8,0)</f>
        <v/>
      </c>
      <c r="H166" s="644" t="n"/>
      <c r="I166" s="533" t="n"/>
    </row>
    <row r="167" outlineLevel="1" ht="13.8" customFormat="1" customHeight="1" s="278">
      <c r="A167" s="213">
        <f>IF(B167="","",+A166+1)</f>
        <v/>
      </c>
      <c r="B167" s="173">
        <f>B141</f>
        <v/>
      </c>
      <c r="C167" s="173">
        <f>C141</f>
        <v/>
      </c>
      <c r="D167" s="643">
        <f>VLOOKUP(C167,$C$133:$H$157,2,0)</f>
        <v/>
      </c>
      <c r="E167" s="175">
        <f>VLOOKUP(C167,$C$133:$H$157,3,0)</f>
        <v/>
      </c>
      <c r="F167" s="175">
        <f>VLOOKUP(C167,$C$133:$I$157,7,0)</f>
        <v/>
      </c>
      <c r="G167" s="175">
        <f>VLOOKUP(C167,$C$133:$J$157,8,0)</f>
        <v/>
      </c>
      <c r="H167" s="516">
        <f>ROUNDUP(((F167*G167)+(F168*G168)+(F169*G169)+(F170*G170)+(F171*G171))/6400,0)</f>
        <v/>
      </c>
      <c r="I167" s="645" t="n"/>
    </row>
    <row r="168" outlineLevel="1" ht="13.8" customFormat="1" customHeight="1" s="278">
      <c r="A168" s="213">
        <f>IF(B168="","",+A167+1)</f>
        <v/>
      </c>
      <c r="B168" s="173">
        <f>B142</f>
        <v/>
      </c>
      <c r="C168" s="173">
        <f>C142</f>
        <v/>
      </c>
      <c r="D168" s="624" t="n"/>
      <c r="E168" s="175">
        <f>VLOOKUP(C168,$C$133:$H$157,3,0)</f>
        <v/>
      </c>
      <c r="F168" s="175">
        <f>VLOOKUP(C168,$C$133:$I$157,7,0)</f>
        <v/>
      </c>
      <c r="G168" s="175">
        <f>VLOOKUP(C168,$C$133:$J$157,8,0)</f>
        <v/>
      </c>
      <c r="H168" s="646" t="n"/>
      <c r="I168" s="645" t="n"/>
    </row>
    <row r="169" outlineLevel="1" ht="13.8" customFormat="1" customHeight="1" s="278">
      <c r="A169" s="213">
        <f>IF(B169="","",+A168+1)</f>
        <v/>
      </c>
      <c r="B169" s="173">
        <f>B143</f>
        <v/>
      </c>
      <c r="C169" s="173">
        <f>C143</f>
        <v/>
      </c>
      <c r="D169" s="624" t="n"/>
      <c r="E169" s="175">
        <f>VLOOKUP(C169,$C$133:$H$157,3,0)</f>
        <v/>
      </c>
      <c r="F169" s="175">
        <f>VLOOKUP(C169,$C$133:$I$157,7,0)</f>
        <v/>
      </c>
      <c r="G169" s="175">
        <f>VLOOKUP(C169,$C$133:$J$157,8,0)</f>
        <v/>
      </c>
      <c r="H169" s="646" t="n"/>
      <c r="I169" s="645" t="n"/>
    </row>
    <row r="170" outlineLevel="1" ht="13.8" customFormat="1" customHeight="1" s="278">
      <c r="A170" s="213">
        <f>IF(B170="","",+A169+1)</f>
        <v/>
      </c>
      <c r="B170" s="173">
        <f>B144</f>
        <v/>
      </c>
      <c r="C170" s="173">
        <f>C144</f>
        <v/>
      </c>
      <c r="D170" s="624" t="n"/>
      <c r="E170" s="175">
        <f>VLOOKUP(C170,$C$133:$H$157,3,0)</f>
        <v/>
      </c>
      <c r="F170" s="175">
        <f>VLOOKUP(C170,$C$133:$I$157,7,0)</f>
        <v/>
      </c>
      <c r="G170" s="175">
        <f>VLOOKUP(C170,$C$133:$J$157,8,0)</f>
        <v/>
      </c>
      <c r="H170" s="646" t="n"/>
      <c r="I170" s="533" t="n"/>
    </row>
    <row r="171" outlineLevel="1" ht="13.8" customFormat="1" customHeight="1" s="278">
      <c r="A171" s="213">
        <f>IF(B171="","",+A170+1)</f>
        <v/>
      </c>
      <c r="B171" s="173">
        <f>B145</f>
        <v/>
      </c>
      <c r="C171" s="173">
        <f>C145</f>
        <v/>
      </c>
      <c r="D171" s="625" t="n"/>
      <c r="E171" s="175">
        <f>VLOOKUP(C171,$C$133:$H$157,3,0)</f>
        <v/>
      </c>
      <c r="F171" s="175">
        <f>VLOOKUP(C171,$C$133:$I$157,7,0)</f>
        <v/>
      </c>
      <c r="G171" s="175">
        <f>VLOOKUP(C171,$C$133:$J$157,8,0)</f>
        <v/>
      </c>
      <c r="H171" s="644" t="n"/>
      <c r="I171" s="645" t="n"/>
    </row>
    <row r="172" outlineLevel="1" ht="13.8" customFormat="1" customHeight="1" s="278">
      <c r="A172" s="213">
        <f>IF(B172="","",+A171+1)</f>
        <v/>
      </c>
      <c r="B172" s="173">
        <f>B146</f>
        <v/>
      </c>
      <c r="C172" s="173">
        <f>C146</f>
        <v/>
      </c>
      <c r="D172" s="643">
        <f>VLOOKUP(C172,$C$133:$H$157,2,0)</f>
        <v/>
      </c>
      <c r="E172" s="175">
        <f>VLOOKUP(C172,$C$133:$H$157,3,0)</f>
        <v/>
      </c>
      <c r="F172" s="175">
        <f>VLOOKUP(C172,$C$133:$I$157,7,0)</f>
        <v/>
      </c>
      <c r="G172" s="175">
        <f>VLOOKUP(C172,$C$133:$J$157,8,0)</f>
        <v/>
      </c>
      <c r="H172" s="516">
        <f>ROUNDUP(((F172*G172)+(F173*G173))/6400,0)</f>
        <v/>
      </c>
      <c r="I172" s="500" t="n"/>
    </row>
    <row r="173" outlineLevel="1" ht="13.8" customFormat="1" customHeight="1" s="278">
      <c r="A173" s="213">
        <f>IF(B173="","",+A172+1)</f>
        <v/>
      </c>
      <c r="B173" s="173">
        <f>B147</f>
        <v/>
      </c>
      <c r="C173" s="173">
        <f>C147</f>
        <v/>
      </c>
      <c r="D173" s="625" t="n"/>
      <c r="E173" s="175">
        <f>VLOOKUP(C173,$C$133:$H$157,3,0)</f>
        <v/>
      </c>
      <c r="F173" s="175">
        <f>VLOOKUP(C173,$C$133:$I$157,7,0)</f>
        <v/>
      </c>
      <c r="G173" s="175">
        <f>VLOOKUP(C173,$C$133:$J$157,8,0)</f>
        <v/>
      </c>
      <c r="H173" s="644" t="n"/>
      <c r="I173" s="500" t="n"/>
      <c r="J173" s="501" t="n"/>
    </row>
    <row r="174" outlineLevel="1" ht="13.8" customFormat="1" customHeight="1" s="278">
      <c r="A174" s="213">
        <f>IF(B174="","",+A173+1)</f>
        <v/>
      </c>
      <c r="B174" s="173">
        <f>B148</f>
        <v/>
      </c>
      <c r="C174" s="173">
        <f>C148</f>
        <v/>
      </c>
      <c r="D174" s="647">
        <f>VLOOKUP(C174,$C$133:$H$157,2,0)</f>
        <v/>
      </c>
      <c r="E174" s="175">
        <f>VLOOKUP(C174,$C$133:$H$157,3,0)</f>
        <v/>
      </c>
      <c r="F174" s="175">
        <f>VLOOKUP(C174,$C$133:$I$157,7,0)</f>
        <v/>
      </c>
      <c r="G174" s="175">
        <f>VLOOKUP(C174,$C$133:$J$157,8,0)</f>
        <v/>
      </c>
      <c r="H174" s="516">
        <f>ROUNDUP(((F174*G174)+(F175*G175))/6400,0)</f>
        <v/>
      </c>
      <c r="I174" s="500" t="n"/>
      <c r="J174" s="501" t="n"/>
    </row>
    <row r="175" outlineLevel="1" ht="15" customFormat="1" customHeight="1" s="23" thickBot="1">
      <c r="A175" s="213">
        <f>IF(B175="","",+A174+1)</f>
        <v/>
      </c>
      <c r="B175" s="173">
        <f>B149</f>
        <v/>
      </c>
      <c r="C175" s="173">
        <f>C149</f>
        <v/>
      </c>
      <c r="D175" s="648" t="n"/>
      <c r="E175" s="175">
        <f>VLOOKUP(C175,$C$133:$H$157,3,0)</f>
        <v/>
      </c>
      <c r="F175" s="175">
        <f>VLOOKUP(C175,$C$133:$I$157,7,0)</f>
        <v/>
      </c>
      <c r="G175" s="175">
        <f>VLOOKUP(C175,$C$133:$J$157,8,0)</f>
        <v/>
      </c>
      <c r="H175" s="644" t="n"/>
      <c r="I175" s="500" t="n"/>
      <c r="K175" s="278" t="n"/>
      <c r="L175" s="278" t="n"/>
      <c r="M175" s="278" t="n"/>
      <c r="N175" s="278" t="n"/>
      <c r="O175" s="278" t="n"/>
      <c r="P175" s="278" t="n"/>
      <c r="Q175" s="278" t="n"/>
      <c r="R175" s="278" t="n"/>
      <c r="S175" s="278" t="n"/>
      <c r="T175" s="278" t="n"/>
      <c r="U175" s="278" t="n"/>
      <c r="V175" s="278" t="n"/>
      <c r="Y175" s="278" t="n"/>
      <c r="Z175" s="278" t="n"/>
      <c r="AA175" s="278" t="n"/>
      <c r="AB175" s="278" t="n"/>
      <c r="AC175" s="278" t="n"/>
      <c r="AD175" s="278" t="n"/>
      <c r="AE175" s="278" t="n"/>
      <c r="AF175" s="278" t="n"/>
      <c r="AG175" s="278" t="n"/>
      <c r="AH175" s="278" t="n"/>
      <c r="AI175" s="278" t="n"/>
      <c r="AJ175" s="278" t="n"/>
    </row>
    <row r="176" ht="24.9" customFormat="1" customHeight="1" s="278" thickBot="1">
      <c r="A176" s="642" t="inlineStr">
        <is>
          <t>PARTS LIST HARDWARE &amp; ACCESSORIES</t>
        </is>
      </c>
      <c r="B176" s="634" t="n"/>
      <c r="C176" s="634" t="n"/>
      <c r="D176" s="634" t="n"/>
      <c r="E176" s="634" t="n"/>
      <c r="F176" s="634" t="n"/>
      <c r="G176" s="634" t="n"/>
      <c r="H176" s="634" t="n"/>
      <c r="I176" s="634" t="n"/>
      <c r="J176" s="635" t="n"/>
    </row>
    <row r="177" ht="35.1" customFormat="1" customHeight="1" s="278" thickBot="1">
      <c r="A177" s="102" t="inlineStr">
        <is>
          <t>ITEM</t>
        </is>
      </c>
      <c r="B177" s="103" t="inlineStr">
        <is>
          <t>THAI</t>
        </is>
      </c>
      <c r="C177" s="103" t="inlineStr">
        <is>
          <t>DESCRIPTION</t>
        </is>
      </c>
      <c r="D177" s="103" t="inlineStr">
        <is>
          <t>PART NO.</t>
        </is>
      </c>
      <c r="E177" s="103" t="inlineStr">
        <is>
          <t>KG/m</t>
        </is>
      </c>
      <c r="F177" s="104" t="inlineStr">
        <is>
          <t>DRAWING</t>
        </is>
      </c>
      <c r="G177" s="103" t="inlineStr">
        <is>
          <t>PER</t>
        </is>
      </c>
      <c r="H177" s="104" t="inlineStr">
        <is>
          <t>QUANTITY</t>
        </is>
      </c>
      <c r="I177" s="104" t="inlineStr">
        <is>
          <t>Pack QTY</t>
        </is>
      </c>
      <c r="J177" s="115" t="inlineStr">
        <is>
          <t>TOTAL</t>
        </is>
      </c>
      <c r="N177" s="101" t="inlineStr">
        <is>
          <t>Glass size</t>
        </is>
      </c>
      <c r="O177" s="246" t="inlineStr">
        <is>
          <t>THAI</t>
        </is>
      </c>
      <c r="P177" s="246" t="inlineStr">
        <is>
          <t>DESCRIPTION</t>
        </is>
      </c>
      <c r="Q177" s="246" t="inlineStr">
        <is>
          <t>PART NO.</t>
        </is>
      </c>
      <c r="R177" s="246" t="inlineStr">
        <is>
          <t>KG/m</t>
        </is>
      </c>
      <c r="S177" s="246" t="inlineStr">
        <is>
          <t>DRAWING</t>
        </is>
      </c>
      <c r="T177" s="246" t="inlineStr">
        <is>
          <t>PER</t>
        </is>
      </c>
      <c r="U177" s="246" t="inlineStr">
        <is>
          <t>QUANTITY</t>
        </is>
      </c>
      <c r="V177" s="246" t="inlineStr">
        <is>
          <t>Pack QTY</t>
        </is>
      </c>
      <c r="W177" s="246" t="inlineStr">
        <is>
          <t>TOTAL</t>
        </is>
      </c>
    </row>
    <row r="178" ht="18" customFormat="1" customHeight="1" s="278">
      <c r="A178" s="200">
        <f>IF(B178="","",1)</f>
        <v/>
      </c>
      <c r="B178" s="140" t="inlineStr">
        <is>
          <t>ตัวรับกลอน</t>
        </is>
      </c>
      <c r="C178" s="140" t="inlineStr">
        <is>
          <t xml:space="preserve">FLUSH BOLT RECEIVER </t>
        </is>
      </c>
      <c r="D178" s="139" t="inlineStr">
        <is>
          <t>04-016</t>
        </is>
      </c>
      <c r="E178" s="143" t="n"/>
      <c r="F178" s="143" t="inlineStr">
        <is>
          <t>04-016</t>
        </is>
      </c>
      <c r="G178" s="143" t="inlineStr">
        <is>
          <t>PC</t>
        </is>
      </c>
      <c r="H178" s="143" t="n">
        <v>1</v>
      </c>
      <c r="I178" s="130" t="n"/>
      <c r="J178" s="131">
        <f>$J$120*H178</f>
        <v/>
      </c>
      <c r="N178" s="101" t="inlineStr">
        <is>
          <t>5,6,18</t>
        </is>
      </c>
      <c r="O178" s="280" t="inlineStr">
        <is>
          <t>5,6,18 mm ยางรองกระจก</t>
        </is>
      </c>
      <c r="P178" s="415" t="inlineStr">
        <is>
          <t>5,6,18 mm CAPTIVE WEDGE</t>
        </is>
      </c>
      <c r="Q178" s="280" t="inlineStr">
        <is>
          <t>02-022</t>
        </is>
      </c>
      <c r="R178" s="213" t="n"/>
      <c r="S178" s="213" t="inlineStr">
        <is>
          <t>02-022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หมอนรองกระจก</t>
        </is>
      </c>
      <c r="C179" s="140" t="inlineStr">
        <is>
          <t>SETTING BLOCK</t>
        </is>
      </c>
      <c r="D179" s="139" t="inlineStr">
        <is>
          <t>02-037</t>
        </is>
      </c>
      <c r="E179" s="143" t="n"/>
      <c r="F179" s="143" t="inlineStr">
        <is>
          <t>02-037</t>
        </is>
      </c>
      <c r="G179" s="143" t="inlineStr">
        <is>
          <t>PC</t>
        </is>
      </c>
      <c r="H179" s="143" t="n">
        <v>6</v>
      </c>
      <c r="I179" s="130" t="n"/>
      <c r="J179" s="131">
        <f>$J$120*H179</f>
        <v/>
      </c>
      <c r="N179" s="101" t="inlineStr">
        <is>
          <t>12,20</t>
        </is>
      </c>
      <c r="O179" s="280" t="inlineStr">
        <is>
          <t>12,20 mm ยางรองกระจก</t>
        </is>
      </c>
      <c r="P179" s="415" t="inlineStr">
        <is>
          <t>12,20 mm CAPTIVE WEDGE</t>
        </is>
      </c>
      <c r="Q179" s="280" t="inlineStr">
        <is>
          <t>02-032</t>
        </is>
      </c>
      <c r="R179" s="213" t="n"/>
      <c r="S179" s="213" t="inlineStr">
        <is>
          <t>02-032</t>
        </is>
      </c>
      <c r="T179" s="213" t="inlineStr">
        <is>
          <t>M</t>
        </is>
      </c>
      <c r="U179" s="650">
        <f>((($I$141*$G$141)+($I$142*$G$142)+($I$143*$G$143)+($I$144*$G$144)+($I$145*$G$145))/1000)*$J$120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ประเก็นเฟรมบน</t>
        </is>
      </c>
      <c r="C180" s="140" t="inlineStr">
        <is>
          <t>FRAME SEAL BI-FOLD HEAD (L/R)</t>
        </is>
      </c>
      <c r="D180" s="139" t="inlineStr">
        <is>
          <t>02-015</t>
        </is>
      </c>
      <c r="E180" s="143" t="n"/>
      <c r="F180" s="143" t="inlineStr">
        <is>
          <t>02-015</t>
        </is>
      </c>
      <c r="G180" s="143" t="inlineStr">
        <is>
          <t>PC</t>
        </is>
      </c>
      <c r="H180" s="143" t="n">
        <v>2</v>
      </c>
      <c r="I180" s="130" t="n"/>
      <c r="J180" s="131">
        <f>$J$120*H180</f>
        <v/>
      </c>
      <c r="N180" s="101" t="inlineStr">
        <is>
          <t>5,8,10,12,18</t>
        </is>
      </c>
      <c r="O180" s="415" t="inlineStr">
        <is>
          <t>5,8,10,12,18 mmยางอัดกระจก</t>
        </is>
      </c>
      <c r="P180" s="415" t="inlineStr">
        <is>
          <t>5,8,10,12,18 mm ROLL IN WEDGE</t>
        </is>
      </c>
      <c r="Q180" s="280" t="inlineStr">
        <is>
          <t>02-033</t>
        </is>
      </c>
      <c r="R180" s="213" t="n"/>
      <c r="S180" s="213" t="inlineStr">
        <is>
          <t>02-033</t>
        </is>
      </c>
      <c r="T180" s="213" t="inlineStr">
        <is>
          <t>M</t>
        </is>
      </c>
      <c r="U180" s="650">
        <f>((($I$141*$G$141)+($I$142*$G$142)+($I$143*$G$143)+($I$144*$G$144)+($I$145*$G$145))/1000)*$J$120</f>
        <v/>
      </c>
      <c r="V180" s="650" t="n">
        <v>100</v>
      </c>
      <c r="W180" s="651">
        <f>ROUNDUP((U180)/100,0)</f>
        <v/>
      </c>
    </row>
    <row r="181" ht="18" customFormat="1" customHeight="1" s="278">
      <c r="A181" s="201">
        <f>IF(B181="","",+A180+1)</f>
        <v/>
      </c>
      <c r="B181" s="140" t="inlineStr">
        <is>
          <t>ประเก็นเฟรมล่าง</t>
        </is>
      </c>
      <c r="C181" s="140" t="inlineStr">
        <is>
          <t>FRAME SEAL BI-FOLD SILL (L/R)</t>
        </is>
      </c>
      <c r="D181" s="139" t="inlineStr">
        <is>
          <t>02-016</t>
        </is>
      </c>
      <c r="E181" s="143" t="n"/>
      <c r="F181" s="143" t="inlineStr">
        <is>
          <t>02-016</t>
        </is>
      </c>
      <c r="G181" s="143" t="inlineStr">
        <is>
          <t>PC</t>
        </is>
      </c>
      <c r="H181" s="143" t="n">
        <v>2</v>
      </c>
      <c r="I181" s="130" t="n"/>
      <c r="J181" s="131">
        <f>$J$120*H181</f>
        <v/>
      </c>
      <c r="N181" s="101" t="inlineStr">
        <is>
          <t>6,20</t>
        </is>
      </c>
      <c r="O181" s="415" t="inlineStr">
        <is>
          <t>6,20 mm ยางอัดกระจก</t>
        </is>
      </c>
      <c r="P181" s="415" t="inlineStr">
        <is>
          <t>6,20 mm ROLL IN WEDGE</t>
        </is>
      </c>
      <c r="Q181" s="280" t="inlineStr">
        <is>
          <t>02-034</t>
        </is>
      </c>
      <c r="R181" s="213" t="n"/>
      <c r="S181" s="213" t="inlineStr">
        <is>
          <t>02-034</t>
        </is>
      </c>
      <c r="T181" s="213" t="inlineStr">
        <is>
          <t>M</t>
        </is>
      </c>
      <c r="U181" s="650">
        <f>((($I$141*$G$141)+($I$142*$G$142)+($I$143*$G$143)+($I$144*$G$144)+($I$145*$G$145))/1000)*$J$120</f>
        <v/>
      </c>
      <c r="V181" s="650" t="n">
        <v>100</v>
      </c>
      <c r="W181" s="651">
        <f>ROUNDUP((U181)/100,0)</f>
        <v/>
      </c>
    </row>
    <row r="182" ht="18" customFormat="1" customHeight="1" s="278">
      <c r="A182" s="201">
        <f>IF(B182="","",+A181+1)</f>
        <v/>
      </c>
      <c r="B182" s="140" t="inlineStr">
        <is>
          <t>สกรู × 38</t>
        </is>
      </c>
      <c r="C182" s="140" t="inlineStr">
        <is>
          <t>#8x38 mm. SS PH SELF TAPPING SCREW</t>
        </is>
      </c>
      <c r="D182" s="139" t="n">
        <v>9</v>
      </c>
      <c r="E182" s="143" t="n"/>
      <c r="F182" s="143" t="n">
        <v>9</v>
      </c>
      <c r="G182" s="143" t="inlineStr">
        <is>
          <t>PC</t>
        </is>
      </c>
      <c r="H182" s="143" t="n">
        <v>24</v>
      </c>
      <c r="I182" s="130" t="n"/>
      <c r="J182" s="131">
        <f>$J$120*H182</f>
        <v/>
      </c>
      <c r="N182" s="101" t="inlineStr">
        <is>
          <t>8,14</t>
        </is>
      </c>
      <c r="O182" s="415" t="inlineStr">
        <is>
          <t>8,14 mm ยางอัดกระจก</t>
        </is>
      </c>
      <c r="P182" s="415" t="inlineStr">
        <is>
          <t>8,14 mm ROLL IN WEDGE</t>
        </is>
      </c>
      <c r="Q182" s="280" t="inlineStr">
        <is>
          <t>02-045</t>
        </is>
      </c>
      <c r="R182" s="213" t="n"/>
      <c r="S182" s="213" t="inlineStr">
        <is>
          <t>02-045</t>
        </is>
      </c>
      <c r="T182" s="213" t="inlineStr">
        <is>
          <t>M</t>
        </is>
      </c>
      <c r="U182" s="650">
        <f>((($I$141*$G$141)+($I$142*$G$142)+($I$143*$G$143)+($I$144*$G$144)+($I$145*$G$145))/1000)*$J$120</f>
        <v/>
      </c>
      <c r="V182" s="650" t="n">
        <v>100</v>
      </c>
      <c r="W182" s="651">
        <f>ROUNDUP((U182)/100,0)</f>
        <v/>
      </c>
    </row>
    <row r="183" ht="18" customFormat="1" customHeight="1" s="278">
      <c r="A183" s="201">
        <f>IF(B183="","",+A182+1)</f>
        <v/>
      </c>
      <c r="B183" s="140" t="inlineStr">
        <is>
          <t>สกรู × 12</t>
        </is>
      </c>
      <c r="C183" s="140" t="inlineStr">
        <is>
          <t>#8x12 mm. CSK SELF TAPPING SCREW</t>
        </is>
      </c>
      <c r="D183" s="139" t="n">
        <v>9</v>
      </c>
      <c r="E183" s="143" t="n"/>
      <c r="F183" s="143" t="n">
        <v>9</v>
      </c>
      <c r="G183" s="143" t="inlineStr">
        <is>
          <t>PC</t>
        </is>
      </c>
      <c r="H183" s="143" t="n">
        <v>48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ชุดล้อแขวนบานตายซ้าย</t>
        </is>
      </c>
      <c r="C184" s="140" t="inlineStr">
        <is>
          <t>Left Hand Pivot Set</t>
        </is>
      </c>
      <c r="D184" s="139" t="inlineStr">
        <is>
          <t>05-006</t>
        </is>
      </c>
      <c r="E184" s="143" t="n"/>
      <c r="F184" s="143" t="inlineStr">
        <is>
          <t>05-006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</row>
    <row r="185" ht="18" customFormat="1" customHeight="1" s="278">
      <c r="A185" s="201">
        <f>IF(B185="","",+A184+1)</f>
        <v/>
      </c>
      <c r="B185" s="140" t="inlineStr">
        <is>
          <t>ชุดล้อแขวนบานตายขวา</t>
        </is>
      </c>
      <c r="C185" s="140" t="inlineStr">
        <is>
          <t>Right Hand Pivot Set</t>
        </is>
      </c>
      <c r="D185" s="139" t="inlineStr">
        <is>
          <t>05-007</t>
        </is>
      </c>
      <c r="E185" s="143" t="n"/>
      <c r="F185" s="143" t="inlineStr">
        <is>
          <t>05-007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</row>
    <row r="186" ht="18" customFormat="1" customHeight="1" s="278">
      <c r="A186" s="201">
        <f>IF(B186="","",+A185+1)</f>
        <v/>
      </c>
      <c r="B186" s="140" t="inlineStr">
        <is>
          <t>ชุดล้อแขวนบานสุดท้าย</t>
        </is>
      </c>
      <c r="C186" s="140" t="inlineStr">
        <is>
          <t>Right Hand End Carriert Set</t>
        </is>
      </c>
      <c r="D186" s="139" t="inlineStr">
        <is>
          <t>05-009</t>
        </is>
      </c>
      <c r="E186" s="143" t="n"/>
      <c r="F186" s="143" t="inlineStr">
        <is>
          <t>05-009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</row>
    <row r="187" ht="18" customFormat="1" customHeight="1" s="278">
      <c r="A187" s="201">
        <f>IF(B187="","",+A186+1)</f>
        <v/>
      </c>
      <c r="B187" s="140" t="inlineStr">
        <is>
          <t>ชุดบานพับมีมือจับ</t>
        </is>
      </c>
      <c r="C187" s="140" t="inlineStr">
        <is>
          <t>Standard Hinge Handle Set</t>
        </is>
      </c>
      <c r="D187" s="139" t="inlineStr">
        <is>
          <t>05-004</t>
        </is>
      </c>
      <c r="E187" s="143" t="n"/>
      <c r="F187" s="143" t="inlineStr">
        <is>
          <t>05-004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278" t="n"/>
      <c r="O187" s="278" t="n"/>
      <c r="P187" s="278" t="n"/>
      <c r="Q187" s="442" t="n"/>
      <c r="R187" s="442" t="n"/>
      <c r="S187" s="442" t="n"/>
      <c r="T187" s="109" t="n"/>
      <c r="U187" s="109" t="n"/>
      <c r="V187" s="109" t="n"/>
      <c r="W187" s="278" t="n"/>
    </row>
    <row r="188" ht="18" customFormat="1" customHeight="1" s="278">
      <c r="A188" s="201">
        <f>IF(B188="","",+A187+1)</f>
        <v/>
      </c>
      <c r="B188" s="140" t="inlineStr">
        <is>
          <t>ชุดสลักล็อค</t>
        </is>
      </c>
      <c r="C188" s="140" t="inlineStr">
        <is>
          <t>Twin Bolt + Rods</t>
        </is>
      </c>
      <c r="D188" s="139" t="inlineStr">
        <is>
          <t>05-014</t>
        </is>
      </c>
      <c r="E188" s="143" t="n"/>
      <c r="F188" s="143" t="inlineStr">
        <is>
          <t>05-014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FRAME SEAL</t>
        </is>
      </c>
      <c r="O188" s="246" t="inlineStr">
        <is>
          <t>THAI</t>
        </is>
      </c>
      <c r="P188" s="246" t="inlineStr">
        <is>
          <t>DESCRIPTION</t>
        </is>
      </c>
      <c r="Q188" s="246" t="inlineStr">
        <is>
          <t>PART NO.</t>
        </is>
      </c>
      <c r="R188" s="246" t="inlineStr">
        <is>
          <t>KG/m</t>
        </is>
      </c>
      <c r="S188" s="246" t="inlineStr">
        <is>
          <t>DRAWING</t>
        </is>
      </c>
      <c r="T188" s="246" t="inlineStr">
        <is>
          <t>PER</t>
        </is>
      </c>
      <c r="U188" s="246" t="inlineStr">
        <is>
          <t>QUANTITY</t>
        </is>
      </c>
      <c r="V188" s="246" t="inlineStr">
        <is>
          <t>Pack QTY</t>
        </is>
      </c>
      <c r="W188" s="246" t="inlineStr">
        <is>
          <t>TOTAL</t>
        </is>
      </c>
    </row>
    <row r="189" ht="18" customFormat="1" customHeight="1" s="278">
      <c r="A189" s="201">
        <f>IF(B189="","",+A188+1)</f>
        <v/>
      </c>
      <c r="B189" s="140" t="inlineStr">
        <is>
          <t>ชุดมือจับล็อค</t>
        </is>
      </c>
      <c r="C189" s="140" t="inlineStr">
        <is>
          <t>Stainless steel mortise lock,handle,cylinder</t>
        </is>
      </c>
      <c r="D189" s="139" t="inlineStr">
        <is>
          <t>00-024 or 00-027</t>
        </is>
      </c>
      <c r="E189" s="143" t="n"/>
      <c r="F189" s="143" t="inlineStr">
        <is>
          <t>00-024 or 00-027</t>
        </is>
      </c>
      <c r="G189" s="143" t="inlineStr">
        <is>
          <t>SET</t>
        </is>
      </c>
      <c r="H189" s="143" t="n">
        <v>1</v>
      </c>
      <c r="I189" s="144" t="n"/>
      <c r="J189" s="131">
        <f>$J$120*H189</f>
        <v/>
      </c>
      <c r="N189" s="101" t="inlineStr">
        <is>
          <t>ธรรมดา</t>
        </is>
      </c>
      <c r="O189" s="415" t="inlineStr">
        <is>
          <t>ยางเฟรมกันน้ำ (ธรรมดา)</t>
        </is>
      </c>
      <c r="P189" s="415" t="inlineStr">
        <is>
          <t>FRAME SEAL (Standard)</t>
        </is>
      </c>
      <c r="Q189" s="280" t="inlineStr">
        <is>
          <t>02-026</t>
        </is>
      </c>
      <c r="R189" s="213" t="n"/>
      <c r="S189" s="213" t="inlineStr">
        <is>
          <t>02-026</t>
        </is>
      </c>
      <c r="T189" s="213" t="inlineStr">
        <is>
          <t>M</t>
        </is>
      </c>
      <c r="U189" s="650">
        <f>((($I$134*$G$134)+($I$136*$G$136)+($I$139*$G$139))/1000)*$J$120</f>
        <v/>
      </c>
      <c r="V189" s="650" t="n">
        <v>300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ตัวประคองสลักล็อค</t>
        </is>
      </c>
      <c r="C190" s="140" t="inlineStr">
        <is>
          <t>Guide twin Bolt Rods</t>
        </is>
      </c>
      <c r="D190" s="139" t="inlineStr">
        <is>
          <t>04-009</t>
        </is>
      </c>
      <c r="E190" s="143" t="n"/>
      <c r="F190" s="143" t="inlineStr">
        <is>
          <t>04-009</t>
        </is>
      </c>
      <c r="G190" s="143" t="inlineStr">
        <is>
          <t>PC</t>
        </is>
      </c>
      <c r="H190" s="143" t="n">
        <v>2</v>
      </c>
      <c r="I190" s="144" t="n"/>
      <c r="J190" s="131">
        <f>$J$120*H190</f>
        <v/>
      </c>
      <c r="N190" s="101" t="inlineStr">
        <is>
          <t>กันเสียง</t>
        </is>
      </c>
      <c r="O190" s="415" t="inlineStr">
        <is>
          <t>ยางเฟรมกันน้ำ (กันเสียง)</t>
        </is>
      </c>
      <c r="P190" s="415" t="inlineStr">
        <is>
          <t>FRAME SEAL (Soumdproof)</t>
        </is>
      </c>
      <c r="Q190" s="280" t="inlineStr">
        <is>
          <t>02-025</t>
        </is>
      </c>
      <c r="R190" s="213" t="n"/>
      <c r="S190" s="213" t="inlineStr">
        <is>
          <t>02-025</t>
        </is>
      </c>
      <c r="T190" s="213" t="inlineStr">
        <is>
          <t>M</t>
        </is>
      </c>
      <c r="U190" s="650">
        <f>((($I$134*$G$134)+($I$136*$G$136)+($I$139*$G$139))/1000)*$J$120</f>
        <v/>
      </c>
      <c r="V190" s="650" t="n">
        <v>100</v>
      </c>
      <c r="W190" s="651">
        <f>ROUNDUP((U190)/V190,0)</f>
        <v/>
      </c>
    </row>
    <row r="191" ht="18" customFormat="1" customHeight="1" s="278">
      <c r="A191" s="201">
        <f>IF(B191="","",+A190+1)</f>
        <v/>
      </c>
      <c r="B191" s="140" t="inlineStr">
        <is>
          <t>รางเสริมเปลี่ยนล้อ</t>
        </is>
      </c>
      <c r="C191" s="140" t="inlineStr">
        <is>
          <t>35 SERIES TRACK INSERT</t>
        </is>
      </c>
      <c r="D191" s="139" t="inlineStr">
        <is>
          <t>04-004</t>
        </is>
      </c>
      <c r="E191" s="143" t="n"/>
      <c r="F191" s="143" t="inlineStr">
        <is>
          <t>04-004</t>
        </is>
      </c>
      <c r="G191" s="143" t="inlineStr">
        <is>
          <t>PC</t>
        </is>
      </c>
      <c r="H191" s="143" t="n">
        <v>1</v>
      </c>
      <c r="I191" s="144" t="n"/>
      <c r="J191" s="131">
        <f>$J$120*H191</f>
        <v/>
      </c>
      <c r="N191" s="101" t="inlineStr">
        <is>
          <t>ธรรมดา</t>
        </is>
      </c>
      <c r="O191" s="415" t="inlineStr">
        <is>
          <t>ยางแซชกันน้ำ (ธรรมดา)</t>
        </is>
      </c>
      <c r="P191" s="415" t="inlineStr">
        <is>
          <t>SASH SEAL FOAM (Standard)</t>
        </is>
      </c>
      <c r="Q191" s="280" t="inlineStr">
        <is>
          <t>02-031</t>
        </is>
      </c>
      <c r="R191" s="213" t="n"/>
      <c r="S191" s="213" t="inlineStr">
        <is>
          <t>02-031</t>
        </is>
      </c>
      <c r="T191" s="213" t="inlineStr">
        <is>
          <t>M</t>
        </is>
      </c>
      <c r="U191" s="650">
        <f>((($I$143*$G$143*2)+($I$144*$G$144*2)+($I$141*$G$141*2))/1000)*$J$120</f>
        <v/>
      </c>
      <c r="V191" s="650" t="n">
        <v>350</v>
      </c>
      <c r="W191" s="651">
        <f>ROUNDUP((U191)/V191,0)</f>
        <v/>
      </c>
    </row>
    <row r="192" ht="18" customFormat="1" customHeight="1" s="278">
      <c r="A192" s="201">
        <f>IF(B192="","",+A191+1)</f>
        <v/>
      </c>
      <c r="B192" s="139">
        <f>IF($D$129="Standard",$O$189,IF($D$129="Soumdproof",$O$190,))</f>
        <v/>
      </c>
      <c r="C192" s="139">
        <f>IF($D$129="Standard",$P$189,IF($D$129="Soumdproof",$P$190,))</f>
        <v/>
      </c>
      <c r="D192" s="139">
        <f>IF($D$129="Standard",$Q$189,IF($D$129="Soumdproof",$Q$190,))</f>
        <v/>
      </c>
      <c r="E192" s="143">
        <f>IF($D$129="Standard",R190,IF($D$129="Soumdproof",R191,))</f>
        <v/>
      </c>
      <c r="F192" s="143">
        <f>IF($D$129="Standard",$S$189,IF($D$129="Soumdproof",$S$190,))</f>
        <v/>
      </c>
      <c r="G192" s="143">
        <f>IF($D$129="Standard",$T$189,IF($D$129="Soumdproof",$T$190,))</f>
        <v/>
      </c>
      <c r="H192" s="652">
        <f>IF($D$129="Standard",$U$189,IF($D$129="Soumdproof",$U$190,))</f>
        <v/>
      </c>
      <c r="I192" s="653">
        <f>IF($D$129="Standard",$V$189,IF($D$129="Soumdproof",$V$190,))</f>
        <v/>
      </c>
      <c r="J192" s="655">
        <f>ROUNDUP((H192)/100,0)</f>
        <v/>
      </c>
      <c r="N192" s="101" t="inlineStr">
        <is>
          <t>กันเสียง</t>
        </is>
      </c>
      <c r="O192" s="415" t="inlineStr">
        <is>
          <t>ยางแซชกันน้ำ (กันเสียง)</t>
        </is>
      </c>
      <c r="P192" s="415" t="inlineStr">
        <is>
          <t>SASH SEAL FOAM (Soumdproof)</t>
        </is>
      </c>
      <c r="Q192" s="280" t="inlineStr">
        <is>
          <t>02-035</t>
        </is>
      </c>
      <c r="R192" s="213" t="n"/>
      <c r="S192" s="213" t="inlineStr">
        <is>
          <t>02-035</t>
        </is>
      </c>
      <c r="T192" s="213" t="inlineStr">
        <is>
          <t>M</t>
        </is>
      </c>
      <c r="U192" s="650">
        <f>((($I$143*$G$143*2)+($I$144*$G$144*2)+($I$141*$G$141*2))/1000)*$J$120</f>
        <v/>
      </c>
      <c r="V192" s="650" t="n">
        <v>100</v>
      </c>
      <c r="W192" s="651">
        <f>ROUNDUP((U192)/V192,0)</f>
        <v/>
      </c>
    </row>
    <row r="193" ht="18" customFormat="1" customHeight="1" s="278">
      <c r="A193" s="201">
        <f>IF(B193="","",+A192+1)</f>
        <v/>
      </c>
      <c r="B193" s="139">
        <f>IF($D$129="Standard",$O$191,IF($D$129="Soumdproof",$O$192,))</f>
        <v/>
      </c>
      <c r="C193" s="139">
        <f>IF($D$129="Standard",$P$191,IF($D$129="Soumdproof",$P$192,))</f>
        <v/>
      </c>
      <c r="D193" s="139">
        <f>IF($D$129="Standard",$Q$191,IF($D$129="Soumdproof",$Q$192,))</f>
        <v/>
      </c>
      <c r="E193" s="143">
        <f>IF($D$129="Standard",R192,IF($D$129="Soumdproof",R193,))</f>
        <v/>
      </c>
      <c r="F193" s="143">
        <f>IF($D$129="Standard",$S$191,IF($D$129="Soumdproof",$S$192,))</f>
        <v/>
      </c>
      <c r="G193" s="143">
        <f>IF($D$129="Standard",$T$191,IF($D$129="Soumdproof",$T$192,))</f>
        <v/>
      </c>
      <c r="H193" s="652">
        <f>IF($D$129="Standard",$U$191,IF($D$129="Soumdproof",$U$192,))</f>
        <v/>
      </c>
      <c r="I193" s="653">
        <f>IF($D$129="Standard",$V$191,IF($D$129="Soumdproof",$V$192,))</f>
        <v/>
      </c>
      <c r="J193" s="655">
        <f>ROUNDUP((H193)/100,0)</f>
        <v/>
      </c>
    </row>
    <row r="194" ht="18" customFormat="1" customHeight="1" s="278">
      <c r="A194" s="201">
        <f>IF(B194="","",+A193+1)</f>
        <v/>
      </c>
      <c r="B194" s="296">
        <f>IF($D$127=5,$O$180,IF($D$127=6,$O$181,IF($D$127=8,$O$182,IF($D$127=10,$O$180,IF($D$127=12,$O$180,IF($D$127=14,$O$182,IF($D$127=18,$O$180,IF($D$127=20,$O$181,IF($D$127=22,"")))))))))</f>
        <v/>
      </c>
      <c r="C194" s="296">
        <f>IF($D$127=5,$P$180,IF($D$127=6,$P$181,IF($D$127=8,$P$182,IF($D$127=10,$P$180,IF($D$127=12,$P$180,IF($D$127=14,$P$182,IF($D$127=18,$P$180,IF($D$127=20,$P$181,IF($D$127=22,"")))))))))</f>
        <v/>
      </c>
      <c r="D194" s="296">
        <f>IF($D$127=5,$Q$180,IF($D$127=6,$Q$181,IF($D$127=8,$Q$182,IF($D$127=10,$Q$180,IF($D$127=12,$Q$180,IF($D$127=14,$Q$182,IF($D$127=18,$Q$180,IF($D$127=20,$Q$181,IF($D$127=22,"")))))))))</f>
        <v/>
      </c>
      <c r="E194" s="296">
        <f>IF($D$127=5,R181,IF($D$127=6,R182,IF($D$127=8,R183,IF($D$127=10,R181,IF($D$127=12,R181,IF($D$127=14,R183,IF($D$127=18,R181,IF($D$127=20,R182,IF($D$127=22,"",)))))))))</f>
        <v/>
      </c>
      <c r="F194" s="242">
        <f>IF($D$127=5,$S$180,IF($D$127=6,$S$181,IF($D$127=8,$S$182,IF($D$127=10,$S$180,IF($D$127=12,$S$180,IF($D$127=14,$S$182,IF($D$127=18,$S$180,IF($D$127=20,$S$181,IF($D$127=22,"")))))))))</f>
        <v/>
      </c>
      <c r="G194" s="242">
        <f>IF($D$127=5,$T$180,IF($D$127=6,$T$181,IF($D$127=8,$T$182,IF($D$127=10,$T$180,IF($D$127=12,$T$180,IF($D$127=14,$T$182,IF($D$127=18,$T$180,IF($D$127=20,$T$181,IF($D$127=22,"")))))))))</f>
        <v/>
      </c>
      <c r="H194" s="652">
        <f>IF($D$127=5,$U$180,IF($D$127=6,$U$181,IF($D$127=8,$U$182,IF($D$127=10,$U$180*2,IF($D$127=12,$U$180,IF($D$127=14,$U$182*2,IF($D$127=18,$U$180,IF($D$127=20,$U$181,IF($D$127=22,"")))))))))</f>
        <v/>
      </c>
      <c r="I194" s="653">
        <f>IF($D$127=5,$V$180,IF($D$127=6,$V$181,IF($D$127=8,$V$182,IF($D$127=10,$V$180,IF($D$127=12,$V$180,IF($D$127=14,$V$182,IF($D$127=18,$V$180,IF($D$127=20,$V$181,IF($D$127=22,"")))))))))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IF($D$127=5,$O$178,IF($D$127=6,$O$178,IF($D$127=8,$O$180,IF($D$127=10,"",IF($D$127=12,$O$179,IF($D$127=14,"",IF($D$127=18,$O$178,IF($D$127=20,$O$179,IF($D$127=22,"",)))))))))</f>
        <v/>
      </c>
      <c r="C195" s="296">
        <f>IF($D$127=5,$P$178,IF($D$127=6,$P$178,IF($D$127=8,$P$180,IF($D$127=10,"",IF($D$127=12,$P$179,IF($D$127=14,"",IF($D$127=18,$P$178,IF($D$127=20,$P$179,IF($D$127=22,"",)))))))))</f>
        <v/>
      </c>
      <c r="D195" s="296">
        <f>IF($D$127=5,$Q$178,IF($D$127=6,$Q$178,IF($D$127=8,$Q$180,IF($D$127=10,"",IF($D$127=12,$Q$179,IF($D$127=14,"",IF($D$127=18,$Q$178,IF($D$127=20,$Q$179,IF($D$127=22,"",)))))))))</f>
        <v/>
      </c>
      <c r="E195" s="296">
        <f>IF($D$127=5,R179,IF($D$127=6,R179,IF($D$127=8,R181,IF($D$127=10,"",IF($D$127=12,R180,IF($D$127=14,"",IF($D$127=18,R179,IF($D$127=20,R180,IF($D$127=22,"",)))))))))</f>
        <v/>
      </c>
      <c r="F195" s="242">
        <f>IF($D$127=5,$S$178,IF($D$127=6,$S$178,IF($D$127=8,$S$180,IF($D$127=10,"",IF($D$127=12,$S$179,IF($D$127=14,"",IF($D$127=18,$S$178,IF($D$127=20,$S$179,IF($D$127=22,"",)))))))))</f>
        <v/>
      </c>
      <c r="G195" s="242">
        <f>IF($D$127=5,$T$178,IF($D$127=6,$T$178,IF($D$127=8,$T$180,IF($D$127=10,"",IF($D$127=12,$T$179,IF($D$127=14,"",IF($D$127=18,$T$178,IF($D$127=20,$T$179,IF($D$127=22,"",)))))))))</f>
        <v/>
      </c>
      <c r="H195" s="652">
        <f>IF($D$127=5,$U$178,IF($D$127=6,$U$178,IF($D$127=8,$U$180,IF($D$127=10,"",IF($D$127=12,$U$179,IF($D$127=14,"",IF($D$127=18,$U$178,IF($D$127=20,$U$179,IF($D$127=22,"")))))))))</f>
        <v/>
      </c>
      <c r="I195" s="653">
        <f>IF($D$127=5,$V$178,IF($D$127=6,$V$178,IF($D$127=8,$V$180,IF($D$127=10,"",IF($D$127=12,$V$179,IF($D$127=14,"",IF($D$127=18,$V$178,IF($D$127=20,$V$179,IF($D$127=22,"",)))))))))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44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Height="1" s="344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  <c r="Y198" s="278" t="n"/>
      <c r="Z198" s="278" t="n"/>
      <c r="AA198" s="278" t="n"/>
      <c r="AB198" s="278" t="n"/>
      <c r="AC198" s="278" t="n"/>
      <c r="AD198" s="278" t="n"/>
      <c r="AE198" s="278" t="n"/>
      <c r="AF198" s="278" t="n"/>
      <c r="AG198" s="278" t="n"/>
      <c r="AH198" s="278" t="n"/>
      <c r="AI198" s="278" t="n"/>
      <c r="AJ198" s="278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 t="n"/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  <c r="P202" s="334" t="n"/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 t="n"/>
    </row>
    <row r="205" ht="18" customFormat="1" customHeight="1" s="278">
      <c r="A205" s="201">
        <f>IF(B205="","",+A204+1)</f>
        <v/>
      </c>
      <c r="B205" s="140" t="n"/>
      <c r="C205" s="140" t="n"/>
      <c r="D205" s="139" t="n"/>
      <c r="E205" s="143" t="n"/>
      <c r="F205" s="143" t="n"/>
      <c r="G205" s="143" t="n"/>
      <c r="H205" s="143" t="n"/>
      <c r="I205" s="130" t="n"/>
      <c r="J205" s="131">
        <f>$J$120*H205</f>
        <v/>
      </c>
    </row>
    <row r="206" ht="18" customFormat="1" customHeight="1" s="278">
      <c r="A206" s="306" t="n"/>
      <c r="B206" s="142" t="n"/>
      <c r="C206" s="142" t="n"/>
      <c r="D206" s="141" t="n"/>
      <c r="E206" s="240" t="n"/>
      <c r="F206" s="240" t="n"/>
      <c r="G206" s="240" t="n"/>
      <c r="H206" s="240" t="n"/>
      <c r="I206" s="136" t="n"/>
      <c r="J206" s="293" t="n"/>
    </row>
    <row r="207" ht="18" customHeight="1" s="344">
      <c r="A207" s="109" t="n"/>
      <c r="B207" s="278" t="n"/>
      <c r="C207" s="278" t="n"/>
      <c r="D207" s="161" t="n"/>
      <c r="E207" s="109" t="n"/>
      <c r="F207" s="109" t="n"/>
      <c r="G207" s="109" t="n"/>
      <c r="H207" s="109" t="n"/>
      <c r="J207" s="99">
        <f>LEFT($J$111,13)&amp;"-02"</f>
        <v/>
      </c>
    </row>
    <row r="208" ht="12.75" customHeight="1" s="344">
      <c r="K208" s="37" t="n"/>
      <c r="L208" s="37" t="n"/>
      <c r="M208" s="2" t="n"/>
      <c r="N208" s="2" t="n"/>
    </row>
    <row r="209" ht="30" customHeight="1" s="344">
      <c r="C209" s="5" t="n"/>
      <c r="D209" s="95" t="n"/>
      <c r="E209" s="95" t="n"/>
      <c r="F209" s="95" t="n"/>
      <c r="G209" s="95" t="n"/>
      <c r="H209" s="95" t="n"/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B211" s="72" t="n"/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8" t="n"/>
      <c r="C212" s="78" t="n"/>
      <c r="D212" s="82" t="n"/>
      <c r="E212" s="78" t="n"/>
      <c r="F212" s="78" t="n"/>
      <c r="G212" s="78" t="n"/>
      <c r="H212" s="7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B215" s="93" t="n"/>
      <c r="C215" s="278" t="n"/>
      <c r="D215" s="161" t="n"/>
      <c r="E215" s="35" t="n"/>
      <c r="F215" s="160" t="n"/>
      <c r="G215" s="160" t="n"/>
      <c r="H215" s="160" t="n"/>
      <c r="I215" s="160" t="n"/>
      <c r="J215" s="532" t="n"/>
    </row>
    <row r="216" ht="15" customFormat="1" customHeight="1" s="278">
      <c r="A216" s="109" t="n"/>
      <c r="B216" s="278" t="n"/>
      <c r="C216" s="89" t="n"/>
      <c r="D216" s="161" t="n"/>
      <c r="E216" s="35" t="n"/>
      <c r="F216" s="161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Height="1" s="344">
      <c r="A218" s="109" t="n"/>
      <c r="B218" s="278" t="n"/>
      <c r="C218" s="542" t="n"/>
      <c r="D218" s="161" t="n"/>
      <c r="E218" s="109" t="n"/>
      <c r="F218" s="161" t="n"/>
      <c r="G218" s="278" t="n"/>
      <c r="H218" s="328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89" t="inlineStr">
        <is>
          <t>Sash Stop</t>
        </is>
      </c>
      <c r="I219" s="161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H220" s="328" t="inlineStr">
        <is>
          <t>= FAME HIGHT - 92.00</t>
        </is>
      </c>
      <c r="I220" s="328" t="n"/>
      <c r="J220" s="328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542" t="inlineStr">
        <is>
          <t>ความสูง (วงกบ) - 92.00</t>
        </is>
      </c>
    </row>
    <row r="222" ht="15.6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H222" s="661">
        <f>$I$148</f>
        <v/>
      </c>
      <c r="I222" s="657">
        <f>$J$148+$J$149</f>
        <v/>
      </c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I223" s="328" t="n"/>
      <c r="J223" s="328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J225" s="109" t="n"/>
    </row>
    <row r="226" ht="15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J226" s="109" t="n"/>
    </row>
    <row r="227" ht="15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J227" s="109" t="n"/>
    </row>
    <row r="228" ht="15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109" t="n"/>
      <c r="J228" s="109" t="n"/>
    </row>
    <row r="229" ht="15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109" t="n"/>
      <c r="J229" s="109" t="n"/>
    </row>
    <row r="230" ht="15" customFormat="1" customHeight="1" s="278">
      <c r="A230" s="532" t="n"/>
      <c r="B230" s="532" t="n"/>
      <c r="C230" s="542" t="n"/>
      <c r="D230" s="161" t="n"/>
      <c r="E230" s="109" t="n"/>
      <c r="F230" s="161" t="n"/>
      <c r="H230" s="109" t="n"/>
      <c r="I230" s="109" t="n"/>
      <c r="J230" s="109" t="n"/>
    </row>
    <row r="231" ht="15.9" customFormat="1" customHeight="1" s="278">
      <c r="A231" s="63" t="n"/>
      <c r="B231" s="63" t="n"/>
      <c r="D231" s="161" t="n"/>
      <c r="E231" s="109" t="n"/>
      <c r="F231" s="161" t="n"/>
      <c r="I231" s="109" t="n"/>
      <c r="J231" s="109" t="n"/>
    </row>
    <row r="232" ht="15.9" customFormat="1" customHeight="1" s="278">
      <c r="A232" s="109" t="n"/>
      <c r="B232" s="109" t="n"/>
      <c r="D232" s="161" t="n"/>
      <c r="E232" s="109" t="n"/>
      <c r="F232" s="161" t="n"/>
      <c r="I232" s="109" t="n"/>
      <c r="J232" s="109" t="n"/>
    </row>
    <row r="233" ht="15.9" customFormat="1" customHeight="1" s="278">
      <c r="A233" s="72" t="n"/>
      <c r="B233" s="278" t="n"/>
      <c r="D233" s="161" t="n"/>
      <c r="E233" s="109" t="n"/>
      <c r="F233" s="109" t="n"/>
      <c r="I233" s="32" t="n"/>
      <c r="J233" s="40" t="n"/>
    </row>
    <row r="234" ht="15.9" customFormat="1" customHeight="1" s="278">
      <c r="A234" s="44" t="n"/>
      <c r="B234" s="44" t="n"/>
      <c r="C234" s="89" t="inlineStr">
        <is>
          <t xml:space="preserve">                          Door Stop Head</t>
        </is>
      </c>
      <c r="D234" s="84" t="n"/>
      <c r="E234" s="44" t="n"/>
      <c r="F234" s="44" t="n"/>
      <c r="G234" s="109" t="n"/>
      <c r="H234" s="109" t="n"/>
      <c r="I234" s="328" t="n"/>
      <c r="J234" s="117" t="n"/>
    </row>
    <row r="235" ht="15.9" customFormat="1" customHeight="1" s="278">
      <c r="A235" s="40" t="n"/>
      <c r="B235" s="40" t="n"/>
      <c r="C235" s="328" t="inlineStr">
        <is>
          <t xml:space="preserve">                          = Frame Width -86</t>
        </is>
      </c>
      <c r="D235" s="85" t="n"/>
      <c r="E235" s="40" t="n"/>
      <c r="F235" s="32" t="n"/>
      <c r="G235" s="109" t="n"/>
      <c r="H235" s="109" t="n"/>
      <c r="I235" s="328" t="n"/>
      <c r="J235" s="117" t="n"/>
    </row>
    <row r="236" ht="15.9" customFormat="1" customHeight="1" s="278">
      <c r="A236" s="109" t="n"/>
      <c r="B236" s="278" t="n"/>
      <c r="C236" s="542" t="inlineStr">
        <is>
          <t xml:space="preserve">                          ความกว้างวงกบ - 86</t>
        </is>
      </c>
      <c r="D236" s="161" t="n"/>
      <c r="E236" s="109" t="n"/>
      <c r="F236" s="161" t="n"/>
      <c r="G236" s="109" t="n"/>
      <c r="H236" s="109" t="n"/>
      <c r="I236" s="328" t="n"/>
      <c r="J236" s="117" t="n"/>
    </row>
    <row r="237" ht="15.9" customFormat="1" customHeight="1" s="278">
      <c r="A237" s="109" t="n"/>
      <c r="B237" s="278" t="n"/>
      <c r="C237" s="656">
        <f>$I$134</f>
        <v/>
      </c>
      <c r="D237" s="161" t="n"/>
      <c r="E237" s="109" t="n"/>
      <c r="F237" s="161" t="n"/>
      <c r="G237" s="109" t="n"/>
      <c r="H237" s="109" t="n"/>
      <c r="I237" s="328" t="n"/>
      <c r="J237" s="117" t="n"/>
    </row>
    <row r="238" ht="15.9" customFormat="1" customHeight="1" s="278">
      <c r="A238" s="109" t="n"/>
      <c r="B238" s="278" t="n"/>
      <c r="C238" s="657">
        <f>$J$134</f>
        <v/>
      </c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C239" s="44" t="n"/>
      <c r="D239" s="161" t="n"/>
      <c r="E239" s="109" t="n"/>
      <c r="F239" s="161" t="n"/>
      <c r="G239" s="109" t="n"/>
      <c r="H239" s="107" t="n"/>
      <c r="J239" s="109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109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36" t="n"/>
      <c r="I243" s="89" t="n"/>
      <c r="J243" s="118" t="n"/>
    </row>
    <row r="244" ht="15.9" customFormat="1" customHeight="1" s="278">
      <c r="A244" s="109" t="n"/>
      <c r="B244" s="278" t="n"/>
      <c r="D244" s="161" t="n"/>
      <c r="E244" s="109" t="n"/>
      <c r="F244" s="161" t="n"/>
      <c r="G244" s="109" t="n"/>
      <c r="H244" s="109" t="n"/>
      <c r="I244" s="328" t="n"/>
      <c r="J244" s="117" t="n"/>
    </row>
    <row r="245" ht="15.9" customFormat="1" customHeight="1" s="278">
      <c r="A245" s="109" t="n"/>
      <c r="B245" s="278" t="n"/>
      <c r="C245" s="89" t="inlineStr">
        <is>
          <t xml:space="preserve">                          Sill</t>
        </is>
      </c>
      <c r="D245" s="161" t="n"/>
      <c r="E245" s="109" t="n"/>
      <c r="F245" s="161" t="n"/>
      <c r="G245" s="109" t="n"/>
      <c r="H245" s="109" t="n"/>
      <c r="I245" s="328" t="n"/>
      <c r="J245" s="117" t="n"/>
    </row>
    <row r="246" ht="15.9" customFormat="1" customHeight="1" s="278">
      <c r="A246" s="109" t="n"/>
      <c r="B246" s="278" t="n"/>
      <c r="C246" s="328" t="inlineStr">
        <is>
          <t xml:space="preserve">                          = Frame Width -60.00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542" t="inlineStr">
        <is>
          <t xml:space="preserve">                          ความกว้าง(วงกบ) - 60.00</t>
        </is>
      </c>
      <c r="D247" s="161" t="n"/>
      <c r="E247" s="109" t="n"/>
      <c r="F247" s="161" t="n"/>
      <c r="G247" s="109" t="n"/>
      <c r="H247" s="109" t="n"/>
      <c r="I247" s="501" t="n"/>
      <c r="J247" s="501" t="n"/>
    </row>
    <row r="248" ht="15.9" customFormat="1" customHeight="1" s="278">
      <c r="A248" s="109" t="n"/>
      <c r="B248" s="278" t="n"/>
      <c r="C248" s="656">
        <f>$I$135</f>
        <v/>
      </c>
      <c r="D248" s="161" t="n"/>
      <c r="E248" s="109" t="n"/>
      <c r="F248" s="161" t="n"/>
      <c r="G248" s="109" t="n"/>
      <c r="H248" s="109" t="n"/>
      <c r="I248" s="109" t="n"/>
      <c r="J248" s="501" t="n"/>
    </row>
    <row r="249" ht="15.9" customFormat="1" customHeight="1" s="278">
      <c r="A249" s="109" t="n"/>
      <c r="B249" s="278" t="n"/>
      <c r="C249" s="657">
        <f>$J$135</f>
        <v/>
      </c>
      <c r="D249" s="161" t="n"/>
      <c r="E249" s="109" t="n"/>
      <c r="F249" s="161" t="n"/>
      <c r="G249" s="109" t="n"/>
      <c r="H249" s="109" t="n"/>
      <c r="I249" s="501" t="n"/>
      <c r="J249" s="501" t="n"/>
    </row>
    <row r="250" ht="15.9" customFormat="1" customHeight="1" s="278">
      <c r="A250" s="109" t="n"/>
      <c r="B250" s="278" t="n"/>
      <c r="C250" s="161" t="n"/>
      <c r="D250" s="161" t="n"/>
      <c r="E250" s="109" t="n"/>
      <c r="F250" s="161" t="n"/>
      <c r="G250" s="109" t="n"/>
      <c r="H250" s="109" t="n"/>
      <c r="I250" s="501" t="n"/>
      <c r="J250" s="501" t="n"/>
    </row>
    <row r="251" ht="15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I251" s="501" t="n"/>
      <c r="J251" s="501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I252" s="44" t="n"/>
      <c r="J252" s="11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4" t="n"/>
      <c r="H253" s="109" t="n"/>
      <c r="I253" s="44" t="n"/>
      <c r="J253" s="119" t="n"/>
    </row>
    <row r="254" ht="15.9" customFormat="1" customHeight="1" s="278">
      <c r="A254" s="109" t="n"/>
      <c r="B254" s="278" t="n"/>
      <c r="C254" s="278" t="n"/>
      <c r="D254" s="161" t="n"/>
      <c r="E254" s="109" t="n"/>
      <c r="F254" s="109" t="n"/>
      <c r="G254" s="40" t="n"/>
      <c r="H254" s="109" t="n"/>
      <c r="I254" s="32" t="n"/>
      <c r="J254" s="40" t="n"/>
    </row>
    <row r="255" ht="15.9" customFormat="1" customHeight="1" s="278">
      <c r="A255" s="109" t="n"/>
      <c r="B255" s="278" t="n"/>
      <c r="D255" s="161" t="n"/>
      <c r="E255" s="109" t="n"/>
      <c r="F255" s="109" t="n"/>
      <c r="G255" s="109" t="n"/>
      <c r="H255" s="109" t="n"/>
      <c r="J255" s="109" t="n"/>
    </row>
    <row r="256" ht="15.9" customFormat="1" customHeight="1" s="278">
      <c r="A256" s="44" t="n"/>
      <c r="B256" s="44" t="n"/>
      <c r="D256" s="84" t="n"/>
      <c r="E256" s="44" t="n"/>
      <c r="F256" s="44" t="n"/>
      <c r="G256" s="109" t="n"/>
      <c r="H256" s="109" t="n"/>
      <c r="J256" s="109" t="n"/>
    </row>
    <row r="257" ht="15.9" customFormat="1" customHeight="1" s="278">
      <c r="A257" s="40" t="n"/>
      <c r="B257" s="40" t="n"/>
      <c r="C257" s="89" t="inlineStr">
        <is>
          <t xml:space="preserve">                          Door Stop Sill</t>
        </is>
      </c>
      <c r="D257" s="85" t="n"/>
      <c r="E257" s="40" t="n"/>
      <c r="F257" s="32" t="n"/>
      <c r="G257" s="109" t="n"/>
      <c r="J257" s="109" t="n"/>
    </row>
    <row r="258" ht="15.9" customFormat="1" customHeight="1" s="278">
      <c r="A258" s="27" t="n"/>
      <c r="B258" s="278" t="n"/>
      <c r="C258" s="328" t="inlineStr">
        <is>
          <t xml:space="preserve">                          = Frame Width -60.00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542" t="inlineStr">
        <is>
          <t xml:space="preserve">                          ความกว้าง(วงกบ) - 60.00</t>
        </is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6">
        <f>$I$136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657">
        <f>$J$136</f>
        <v/>
      </c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287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161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278" t="n"/>
      <c r="D267" s="161" t="n"/>
      <c r="E267" s="109" t="n"/>
      <c r="F267" s="109" t="n"/>
      <c r="G267" s="109" t="n"/>
      <c r="I267" s="501" t="n"/>
      <c r="J267" s="501" t="n"/>
    </row>
    <row r="268" ht="15.9" customFormat="1" customHeight="1" s="278">
      <c r="A268" s="27" t="n"/>
      <c r="B268" s="278" t="n"/>
      <c r="C268" s="89" t="inlineStr">
        <is>
          <t xml:space="preserve">                          JAMB</t>
        </is>
      </c>
      <c r="D268" s="161" t="n"/>
      <c r="E268" s="109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328" t="inlineStr">
        <is>
          <t xml:space="preserve">                                  = FAME HIGHT</t>
        </is>
      </c>
      <c r="D269" s="328" t="n"/>
      <c r="E269" s="328" t="n"/>
      <c r="F269" s="109" t="n"/>
      <c r="G269" s="109" t="n"/>
      <c r="H269" s="109" t="n"/>
      <c r="I269" s="501" t="n"/>
      <c r="J269" s="501" t="n"/>
      <c r="AF269" s="278" t="n">
        <v>6</v>
      </c>
    </row>
    <row r="270" ht="15.9" customFormat="1" customHeight="1" s="278">
      <c r="A270" s="27" t="n"/>
      <c r="B270" s="278" t="n"/>
      <c r="C270" s="542" t="inlineStr">
        <is>
          <t xml:space="preserve">                          ความสูง (วงกบ)</t>
        </is>
      </c>
      <c r="D270" s="542" t="n"/>
      <c r="E270" s="542" t="n"/>
      <c r="F270" s="109" t="n"/>
      <c r="G270" s="109" t="n"/>
      <c r="H270" s="109" t="n"/>
      <c r="I270" s="501" t="n"/>
      <c r="J270" s="501" t="n"/>
    </row>
    <row r="271" ht="15.9" customFormat="1" customHeight="1" s="278">
      <c r="A271" s="27" t="n"/>
      <c r="B271" s="278" t="n"/>
      <c r="C271" s="656">
        <f>$I$137</f>
        <v/>
      </c>
      <c r="D271" s="161" t="n"/>
      <c r="E271" s="109" t="n"/>
      <c r="F271" s="109" t="n"/>
      <c r="G271" s="278" t="n"/>
      <c r="H271" s="278" t="n"/>
      <c r="I271" s="501" t="n"/>
      <c r="J271" s="501" t="n"/>
    </row>
    <row r="272" ht="15.9" customFormat="1" customHeight="1" s="278">
      <c r="A272" s="27" t="n"/>
      <c r="B272" s="278" t="n"/>
      <c r="C272" s="657">
        <f>$J$137+$J$138</f>
        <v/>
      </c>
      <c r="D272" s="161" t="n"/>
      <c r="E272" s="109" t="n"/>
      <c r="F272" s="109" t="n"/>
      <c r="G272" s="109" t="n"/>
      <c r="H272" s="109" t="n"/>
      <c r="I272" s="501" t="n"/>
      <c r="J272" s="501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I273" s="501" t="n"/>
      <c r="J273" s="501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B275" s="278" t="n"/>
      <c r="D275" s="89" t="n"/>
      <c r="E275" s="89" t="n"/>
      <c r="F275" s="109" t="n"/>
      <c r="G275" s="109" t="n"/>
      <c r="H275" s="109" t="n"/>
      <c r="J275" s="109" t="n"/>
    </row>
    <row r="276" ht="15.9" customFormat="1" customHeight="1" s="278">
      <c r="A276" s="27" t="n"/>
      <c r="B276" s="278" t="n"/>
      <c r="D276" s="89" t="n"/>
      <c r="E276" s="89" t="n"/>
      <c r="F276" s="109" t="n"/>
      <c r="G276" s="109" t="n"/>
      <c r="H276" s="109" t="n"/>
      <c r="J276" s="109" t="n"/>
    </row>
    <row r="277" ht="15.9" customFormat="1" customHeight="1" s="278">
      <c r="A277" s="27" t="n"/>
      <c r="D277" s="328" t="n"/>
      <c r="E277" s="328" t="n"/>
      <c r="F277" s="109" t="n"/>
      <c r="G277" s="109" t="n"/>
      <c r="H277" s="109" t="n"/>
      <c r="J277" s="109" t="n"/>
    </row>
    <row r="278" ht="15.9" customFormat="1" customHeight="1" s="278">
      <c r="A278" s="27" t="n"/>
      <c r="B278" s="278" t="n"/>
      <c r="D278" s="328" t="n"/>
      <c r="E278" s="328" t="n"/>
      <c r="F278" s="109" t="n"/>
      <c r="G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J279" s="109" t="n"/>
    </row>
    <row r="280" ht="15.9" customFormat="1" customHeight="1" s="278">
      <c r="A280" s="27" t="n"/>
      <c r="B280" s="278" t="n"/>
      <c r="C280" s="89" t="inlineStr">
        <is>
          <t xml:space="preserve">                          Door Stop Jamb</t>
        </is>
      </c>
      <c r="D280" s="162" t="n"/>
      <c r="E280" s="501" t="n"/>
      <c r="F280" s="109" t="n"/>
      <c r="G280" s="109" t="n"/>
      <c r="J280" s="109" t="n"/>
    </row>
    <row r="281" ht="15.9" customFormat="1" customHeight="1" s="278">
      <c r="A281" s="27" t="n"/>
      <c r="B281" s="278" t="n"/>
      <c r="C281" s="328" t="inlineStr">
        <is>
          <t xml:space="preserve">                          = FAME HIGHT - 96</t>
        </is>
      </c>
      <c r="D281" s="328" t="n"/>
      <c r="E281" s="328" t="n"/>
      <c r="F281" s="109" t="n"/>
      <c r="G281" s="109" t="n"/>
      <c r="J281" s="109" t="n"/>
    </row>
    <row r="282" ht="15.9" customFormat="1" customHeight="1" s="278">
      <c r="A282" s="27" t="n"/>
      <c r="B282" s="278" t="n"/>
      <c r="C282" s="542" t="inlineStr">
        <is>
          <t xml:space="preserve">                          ความสูง (วงกบ) - 96</t>
        </is>
      </c>
      <c r="D282" s="542" t="n"/>
      <c r="E282" s="542" t="n"/>
      <c r="F282" s="109" t="n"/>
      <c r="G282" s="109" t="n"/>
      <c r="I282" s="501" t="n"/>
      <c r="J282" s="501" t="n"/>
    </row>
    <row r="283" ht="15.9" customFormat="1" customHeight="1" s="278">
      <c r="A283" s="27" t="n"/>
      <c r="B283" s="278" t="n"/>
      <c r="C283" s="656">
        <f>$I$139</f>
        <v/>
      </c>
      <c r="F283" s="109" t="n"/>
      <c r="G283" s="109" t="n"/>
      <c r="I283" s="501" t="n"/>
      <c r="J283" s="501" t="n"/>
    </row>
    <row r="284" ht="15.9" customFormat="1" customHeight="1" s="278">
      <c r="A284" s="27" t="n"/>
      <c r="B284" s="278" t="n"/>
      <c r="C284" s="657">
        <f>$J$139+$J$140</f>
        <v/>
      </c>
      <c r="F284" s="109" t="n"/>
      <c r="G284" s="109" t="n"/>
      <c r="I284" s="501" t="n"/>
      <c r="J284" s="501" t="n"/>
    </row>
    <row r="285" ht="15.9" customFormat="1" customHeight="1" s="278">
      <c r="A285" s="27" t="n"/>
      <c r="B285" s="278" t="n"/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C287" s="278" t="n"/>
      <c r="D287" s="161" t="n"/>
      <c r="E287" s="109" t="n"/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F289" s="109" t="n"/>
      <c r="G289" s="109" t="n"/>
      <c r="H289" s="109" t="n"/>
      <c r="I289" s="109" t="n"/>
      <c r="J289" s="501" t="n"/>
    </row>
    <row r="290" ht="15.9" customFormat="1" customHeight="1" s="278">
      <c r="A290" s="27" t="n"/>
      <c r="B290" s="278" t="n"/>
      <c r="C290" s="89" t="inlineStr">
        <is>
          <t xml:space="preserve">                          Sash</t>
        </is>
      </c>
      <c r="F290" s="109" t="n"/>
      <c r="G290" s="109" t="n"/>
      <c r="H290" s="109" t="n"/>
      <c r="J290" s="109" t="n"/>
    </row>
    <row r="291" ht="15.9" customFormat="1" customHeight="1" s="278">
      <c r="A291" s="27" t="n"/>
      <c r="B291" s="278" t="n"/>
      <c r="C291" s="94" t="inlineStr">
        <is>
          <t xml:space="preserve">                          = ((Frame Width - 182-(113.25 × 2))/3</t>
        </is>
      </c>
      <c r="D291" s="161" t="n"/>
      <c r="E291" s="109" t="n"/>
      <c r="F291" s="109" t="n"/>
      <c r="G291" s="109" t="n"/>
      <c r="H291" s="109" t="n"/>
      <c r="J291" s="109" t="n"/>
    </row>
    <row r="292" ht="15.9" customFormat="1" customHeight="1" s="278">
      <c r="A292" s="27" t="n"/>
      <c r="B292" s="278" t="n"/>
      <c r="C292" s="542" t="inlineStr">
        <is>
          <t xml:space="preserve">                          ((ความกว้าง (วงกบ) - 182-(113.25 × 2))/3</t>
        </is>
      </c>
      <c r="D292" s="161" t="n"/>
      <c r="E292" s="109" t="n"/>
      <c r="F292" s="109" t="n"/>
      <c r="G292" s="109" t="n"/>
      <c r="H292" s="109" t="n"/>
      <c r="J292" s="109" t="n"/>
    </row>
    <row r="293" ht="15.9" customFormat="1" customHeight="1" s="278">
      <c r="A293" s="27" t="n"/>
      <c r="B293" s="278" t="n"/>
      <c r="C293" s="328" t="inlineStr">
        <is>
          <t xml:space="preserve">                          = FAME HIGHT - 92.00</t>
        </is>
      </c>
      <c r="D293" s="328" t="n"/>
      <c r="E293" s="328" t="n"/>
      <c r="F293" s="109" t="n"/>
      <c r="G293" s="109" t="n"/>
      <c r="I293" s="162" t="n"/>
      <c r="J293" s="501" t="n"/>
    </row>
    <row r="294" ht="15.9" customFormat="1" customHeight="1" s="278">
      <c r="A294" s="27" t="n"/>
      <c r="B294" s="278" t="n"/>
      <c r="C294" s="542" t="inlineStr">
        <is>
          <t xml:space="preserve">                          ความสูง (วงกบ) - 92.00</t>
        </is>
      </c>
      <c r="D294" s="542" t="n"/>
      <c r="E294" s="542" t="n"/>
      <c r="F294" s="109" t="n"/>
      <c r="G294" s="109" t="n"/>
      <c r="I294" s="109" t="n"/>
      <c r="J294" s="501" t="n"/>
    </row>
    <row r="295" ht="15.9" customFormat="1" customHeight="1" s="278">
      <c r="A295" s="27" t="n"/>
      <c r="B295" s="278" t="n"/>
      <c r="C295" s="656">
        <f>$I$141</f>
        <v/>
      </c>
      <c r="F295" s="109" t="n"/>
      <c r="G295" s="109" t="n"/>
      <c r="I295" s="501" t="n"/>
      <c r="J295" s="501" t="n"/>
    </row>
    <row r="296" ht="15.9" customFormat="1" customHeight="1" s="278">
      <c r="A296" s="27" t="n"/>
      <c r="B296" s="278" t="n"/>
      <c r="C296" s="657">
        <f>$J$141+$J$142</f>
        <v/>
      </c>
      <c r="D296" s="161" t="n"/>
      <c r="E296" s="109" t="n"/>
      <c r="F296" s="109" t="n"/>
      <c r="G296" s="109" t="n"/>
      <c r="H296" s="161" t="n"/>
      <c r="I296" s="501" t="n"/>
      <c r="J296" s="501" t="n"/>
    </row>
    <row r="297" ht="15.9" customFormat="1" customHeight="1" s="278">
      <c r="A297" s="27" t="n"/>
      <c r="B297" s="278" t="n"/>
      <c r="C297" s="656">
        <f>$I$143</f>
        <v/>
      </c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3">
      <c r="A298" s="27" t="n"/>
      <c r="B298" s="278" t="n"/>
      <c r="C298" s="657">
        <f>$J$143+$J$144+$J$145</f>
        <v/>
      </c>
      <c r="D298" s="161" t="n"/>
      <c r="E298" s="109" t="n"/>
      <c r="F298" s="109" t="n"/>
      <c r="G298" s="109" t="n"/>
      <c r="H298" s="109" t="n"/>
      <c r="I298" s="109" t="n"/>
      <c r="J298" s="109" t="n"/>
    </row>
    <row r="299" ht="15.9" customFormat="1" customHeight="1" s="23">
      <c r="A299" s="27" t="n"/>
      <c r="B299" s="278" t="n"/>
      <c r="C299" s="278" t="n"/>
      <c r="D299" s="161" t="n"/>
      <c r="E299" s="109" t="n"/>
      <c r="F299" s="109" t="n"/>
      <c r="G299" s="109" t="n"/>
      <c r="H299" s="109" t="n"/>
      <c r="I299" s="109" t="n"/>
      <c r="J299" s="109" t="n"/>
    </row>
    <row r="300" ht="15.9" customFormat="1" customHeight="1" s="23">
      <c r="A300" s="27" t="n"/>
      <c r="B300" s="278" t="n"/>
      <c r="C300" s="278" t="n"/>
      <c r="D300" s="161" t="n"/>
      <c r="E300" s="109" t="n"/>
      <c r="F300" s="109" t="n"/>
      <c r="G300" s="109" t="n"/>
      <c r="H300" s="109" t="n"/>
      <c r="I300" s="109" t="n"/>
      <c r="J300" s="109" t="n"/>
    </row>
    <row r="301" ht="15.9" customFormat="1" customHeight="1" s="278">
      <c r="A301" s="27" t="n"/>
      <c r="B301" s="278" t="n"/>
      <c r="C301" s="278" t="n"/>
      <c r="D301" s="161" t="n"/>
      <c r="E301" s="109" t="n"/>
      <c r="F301" s="109" t="n"/>
      <c r="G301" s="109" t="n"/>
      <c r="H301" s="109" t="n"/>
      <c r="I301" s="44" t="n"/>
      <c r="J301" s="119" t="n"/>
    </row>
    <row r="302" ht="15.9" customFormat="1" customHeight="1" s="278">
      <c r="A302" s="27" t="n"/>
      <c r="B302" s="278" t="n"/>
      <c r="C302" s="23" t="n"/>
      <c r="D302" s="161" t="n"/>
      <c r="E302" s="109" t="n"/>
      <c r="F302" s="109" t="n"/>
      <c r="G302" s="109" t="n"/>
      <c r="H302" s="109" t="n"/>
      <c r="I302" s="32" t="n"/>
      <c r="J302" s="40" t="n"/>
    </row>
    <row r="303" ht="15.9" customFormat="1" customHeight="1" s="278">
      <c r="A303" s="27" t="n"/>
      <c r="B303" s="278" t="n"/>
      <c r="C303" s="89" t="inlineStr">
        <is>
          <t xml:space="preserve">                          Glazing Bead</t>
        </is>
      </c>
      <c r="D303" s="161" t="n"/>
      <c r="E303" s="109" t="n"/>
      <c r="F303" s="109" t="n"/>
      <c r="G303" s="109" t="n"/>
      <c r="H303" s="109" t="n"/>
      <c r="I303" s="501" t="n"/>
      <c r="J303" s="501" t="n"/>
    </row>
    <row r="304" ht="15.9" customFormat="1" customHeight="1" s="278">
      <c r="A304" s="27" t="n"/>
      <c r="B304" s="278" t="n"/>
      <c r="C304" s="94" t="inlineStr">
        <is>
          <t xml:space="preserve">                          = ((Frame Width - 182-(113.25 × 2))/3</t>
        </is>
      </c>
      <c r="D304" s="161" t="n"/>
      <c r="E304" s="109" t="n"/>
      <c r="F304" s="109" t="n"/>
      <c r="G304" s="44" t="n"/>
      <c r="H304" s="44" t="n"/>
      <c r="I304" s="501" t="n"/>
      <c r="J304" s="501" t="n"/>
    </row>
    <row r="305" ht="15.9" customFormat="1" customHeight="1" s="278">
      <c r="A305" s="27" t="n"/>
      <c r="B305" s="278" t="n"/>
      <c r="C305" s="542" t="inlineStr">
        <is>
          <t xml:space="preserve">                          ((ความกว้าง (วงกบ) - 182-(113.25 × 2))/3</t>
        </is>
      </c>
      <c r="D305" s="328" t="n"/>
      <c r="E305" s="328" t="n"/>
      <c r="F305" s="109" t="n"/>
      <c r="G305" s="40" t="n"/>
      <c r="H305" s="32" t="n"/>
      <c r="I305" s="109" t="n"/>
      <c r="J305" s="501" t="n"/>
    </row>
    <row r="306" ht="15.9" customFormat="1" customHeight="1" s="278">
      <c r="A306" s="101" t="n"/>
      <c r="B306" s="278" t="n"/>
      <c r="C306" s="328" t="inlineStr">
        <is>
          <t xml:space="preserve">                          = FAME HIGHT - 242.00</t>
        </is>
      </c>
      <c r="D306" s="542" t="n"/>
      <c r="E306" s="542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44" t="n"/>
      <c r="B307" s="44" t="n"/>
      <c r="C307" s="542" t="inlineStr">
        <is>
          <t xml:space="preserve">                          ความสูง (วงกบ) - 242.00</t>
        </is>
      </c>
      <c r="D307" s="86" t="n"/>
      <c r="E307" s="79" t="n"/>
      <c r="F307" s="44" t="n"/>
      <c r="G307" s="109" t="n"/>
      <c r="H307" s="109" t="n"/>
      <c r="I307" s="109" t="n"/>
      <c r="J307" s="501" t="n"/>
    </row>
    <row r="308" ht="15.9" customFormat="1" customHeight="1" s="278">
      <c r="A308" s="40" t="n"/>
      <c r="B308" s="40" t="n"/>
      <c r="C308" s="656">
        <f>$I$146</f>
        <v/>
      </c>
      <c r="D308" s="87" t="n"/>
      <c r="E308" s="80" t="n"/>
      <c r="F308" s="32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$J$146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$I$147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$J$147</f>
        <v/>
      </c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89" t="n"/>
      <c r="D312" s="161" t="n"/>
      <c r="E312" s="109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C313" s="328" t="n"/>
      <c r="D313" s="328" t="n"/>
      <c r="E313" s="328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406" t="n"/>
      <c r="C314" s="406" t="n"/>
      <c r="D314" s="83" t="n"/>
      <c r="E314" s="27" t="n"/>
      <c r="F314" s="27" t="n"/>
      <c r="G314" s="27" t="n"/>
      <c r="H314" s="27" t="n"/>
      <c r="I314" s="27" t="n"/>
      <c r="J314" s="99">
        <f>LEFT($J$111,13)&amp;"-03"</f>
        <v/>
      </c>
    </row>
    <row r="315" ht="12.75" customHeight="1" s="344">
      <c r="A315" s="109" t="n"/>
      <c r="B315" s="278" t="n"/>
      <c r="C315" s="278" t="n"/>
      <c r="D315" s="161" t="n"/>
      <c r="E315" s="109" t="n"/>
      <c r="F315" s="109" t="n"/>
      <c r="G315" s="109" t="n"/>
      <c r="H315" s="109" t="n"/>
      <c r="I315" s="179" t="n"/>
      <c r="J315" s="179" t="n"/>
    </row>
    <row r="316" ht="30" customHeight="1" s="344">
      <c r="C316" s="5" t="n"/>
      <c r="D316" s="95" t="n"/>
      <c r="E316" s="95" t="n"/>
      <c r="F316" s="95" t="n"/>
      <c r="G316" s="95" t="n"/>
      <c r="H316" s="95" t="n"/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B318" s="72" t="n"/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Height="1" s="344" thickBot="1"/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</row>
    <row r="321" ht="15" customFormat="1" customHeight="1" s="278">
      <c r="A321" s="63" t="n"/>
      <c r="B321" s="72" t="n"/>
      <c r="C321" s="278" t="n"/>
      <c r="D321" s="161" t="n"/>
      <c r="E321" s="35" t="n"/>
      <c r="F321" s="160" t="n"/>
      <c r="G321" s="160" t="n"/>
      <c r="H321" s="160" t="n"/>
      <c r="I321" s="160" t="n"/>
      <c r="J321" s="532" t="n"/>
    </row>
    <row r="322" ht="15" customFormat="1" customHeight="1" s="278">
      <c r="A322" s="63" t="n"/>
      <c r="B322" s="72" t="n"/>
      <c r="C322" s="278" t="n"/>
      <c r="D322" s="161" t="n"/>
      <c r="E322" s="35" t="n"/>
      <c r="F322" s="160" t="n"/>
      <c r="G322" s="160" t="n"/>
      <c r="H322" s="160" t="n"/>
      <c r="I322" s="160" t="n"/>
      <c r="J322" s="532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94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35" t="n"/>
      <c r="F324" s="161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109" t="n"/>
      <c r="J329" s="109" t="n"/>
    </row>
    <row r="330" ht="15" customFormat="1" customHeight="1" s="278">
      <c r="A330" s="109" t="n"/>
      <c r="B330" s="278" t="n"/>
      <c r="C330" s="93" t="n"/>
      <c r="D330" s="161" t="n"/>
      <c r="E330" s="109" t="n"/>
      <c r="F330" s="505" t="n"/>
      <c r="H330" s="507" t="n"/>
      <c r="I330" s="93" t="n"/>
      <c r="J330" s="109" t="n"/>
    </row>
    <row r="331" ht="15" customFormat="1" customHeight="1" s="278">
      <c r="A331" s="532" t="n"/>
      <c r="B331" s="532" t="n"/>
      <c r="C331" s="161" t="n"/>
      <c r="D331" s="161" t="n"/>
      <c r="E331" s="109" t="n"/>
      <c r="F331" s="507" t="n"/>
      <c r="G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109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72" t="n"/>
      <c r="C335" s="43" t="n"/>
      <c r="D335" s="161" t="n"/>
      <c r="E335" s="109" t="n"/>
      <c r="F335" s="109" t="n"/>
      <c r="G335" s="109" t="n"/>
      <c r="H335" s="109" t="n"/>
      <c r="I335" s="109" t="n"/>
      <c r="J335" s="109" t="n"/>
    </row>
    <row r="336" ht="15.9" customFormat="1" customHeight="1" s="278">
      <c r="A336" s="44" t="n"/>
      <c r="C336" s="44" t="n"/>
      <c r="D336" s="84" t="n"/>
      <c r="E336" s="44" t="n"/>
      <c r="F336" s="44" t="n"/>
      <c r="G336" s="44" t="n"/>
      <c r="H336" s="44" t="n"/>
      <c r="I336" s="44" t="n"/>
      <c r="J336" s="119" t="n"/>
    </row>
    <row r="337" ht="15.9" customFormat="1" customHeight="1" s="278">
      <c r="A337" s="40" t="n"/>
      <c r="C337" s="161" t="n"/>
      <c r="D337" s="85" t="n"/>
      <c r="E337" s="40" t="n"/>
      <c r="F337" s="32" t="n"/>
      <c r="G337" s="40" t="n"/>
      <c r="H337" s="32" t="n"/>
      <c r="I337" s="32" t="n"/>
      <c r="J337" s="40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2" t="n"/>
      <c r="J340" s="162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109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44" t="n"/>
      <c r="C355" s="44" t="n"/>
      <c r="D355" s="84" t="n"/>
      <c r="E355" s="44" t="n"/>
      <c r="F355" s="44" t="n"/>
      <c r="G355" s="44" t="n"/>
      <c r="H355" s="44" t="n"/>
      <c r="I355" s="44" t="n"/>
      <c r="J355" s="119" t="n"/>
    </row>
    <row r="356" ht="15.9" customFormat="1" customHeight="1" s="278">
      <c r="A356" s="40" t="n"/>
      <c r="B356" s="40" t="n"/>
      <c r="C356" s="44" t="n"/>
      <c r="D356" s="85" t="n"/>
      <c r="E356" s="40" t="n"/>
      <c r="F356" s="32" t="n"/>
      <c r="G356" s="40" t="n"/>
      <c r="H356" s="32" t="n"/>
      <c r="I356" s="32" t="n"/>
      <c r="J356" s="40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501" t="n"/>
      <c r="J357" s="501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3" t="n"/>
      <c r="J358" s="163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161" t="n"/>
      <c r="J359" s="16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501" t="n"/>
      <c r="J375" s="501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3" t="n"/>
      <c r="J376" s="163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161" t="n"/>
      <c r="J377" s="16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501" t="n"/>
      <c r="J378" s="501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302" t="n"/>
      <c r="J389" s="302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161" t="n"/>
      <c r="J390" s="16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501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3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C423" s="5" t="n"/>
      <c r="D423" s="95" t="n"/>
      <c r="E423" s="95" t="n"/>
      <c r="F423" s="95" t="n"/>
      <c r="G423" s="95" t="n"/>
      <c r="H423" s="95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B425" s="72" t="n"/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8" t="n"/>
      <c r="C426" s="78" t="n"/>
      <c r="D426" s="82" t="n"/>
      <c r="E426" s="78" t="n"/>
      <c r="F426" s="78" t="n"/>
      <c r="G426" s="78" t="n"/>
      <c r="H426" s="7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</row>
    <row r="428" ht="15" customFormat="1" customHeight="1" s="278">
      <c r="A428" s="63" t="n"/>
      <c r="B428" s="72" t="n"/>
      <c r="C428" s="278" t="n"/>
      <c r="D428" s="161" t="n"/>
      <c r="E428" s="35" t="n"/>
      <c r="F428" s="72" t="n"/>
      <c r="H428" s="44" t="n"/>
      <c r="I428" s="44" t="n"/>
      <c r="J428" s="119" t="n"/>
    </row>
    <row r="429" ht="15" customFormat="1" customHeight="1" s="278">
      <c r="A429" s="109" t="n"/>
      <c r="B429" s="278" t="n"/>
      <c r="C429" s="278" t="n"/>
      <c r="D429" s="161" t="n"/>
      <c r="E429" s="35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109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3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93" t="n"/>
      <c r="D434" s="161" t="n"/>
      <c r="E434" s="109" t="n"/>
      <c r="F434" s="69" t="n"/>
      <c r="H434" s="44" t="n"/>
      <c r="I434" s="44" t="n"/>
      <c r="J434" s="119" t="n"/>
    </row>
    <row r="435" ht="15" customFormat="1" customHeight="1" s="278">
      <c r="A435" s="72" t="n"/>
      <c r="B435" s="72" t="n"/>
      <c r="C435" s="163" t="n"/>
      <c r="D435" s="161" t="n"/>
      <c r="E435" s="109" t="n"/>
      <c r="F435" s="324" t="n"/>
      <c r="H435" s="44" t="n"/>
      <c r="I435" s="44" t="n"/>
      <c r="J435" s="119" t="n"/>
    </row>
    <row r="436" ht="15" customFormat="1" customHeight="1" s="278">
      <c r="A436" s="532" t="n"/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C438" s="93" t="n"/>
      <c r="D438" s="161" t="n"/>
      <c r="E438" s="109" t="n"/>
      <c r="F438" s="324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161" t="n"/>
      <c r="D439" s="161" t="n"/>
      <c r="E439" s="109" t="n"/>
      <c r="F439" s="37" t="n"/>
      <c r="H439" s="44" t="n"/>
      <c r="I439" s="44" t="n"/>
      <c r="J439" s="119" t="n"/>
    </row>
    <row r="440" ht="15.9" customFormat="1" customHeight="1" s="278">
      <c r="A440" s="72" t="n"/>
      <c r="B440" s="278" t="n"/>
      <c r="C440" s="43" t="n"/>
      <c r="D440" s="161" t="n"/>
      <c r="E440" s="109" t="n"/>
      <c r="F440" s="109" t="n"/>
      <c r="H440" s="44" t="n"/>
      <c r="I440" s="44" t="n"/>
      <c r="J440" s="119" t="n"/>
    </row>
    <row r="441" ht="15.9" customFormat="1" customHeight="1" s="278">
      <c r="A441" s="44" t="n"/>
      <c r="C441" s="44" t="n"/>
      <c r="D441" s="84" t="n"/>
      <c r="E441" s="44" t="n"/>
      <c r="F441" s="44" t="n"/>
      <c r="H441" s="44" t="n"/>
      <c r="I441" s="44" t="n"/>
      <c r="J441" s="119" t="n"/>
    </row>
    <row r="442" ht="15.9" customFormat="1" customHeight="1" s="278">
      <c r="A442" s="40" t="n"/>
      <c r="C442" s="161" t="n"/>
      <c r="D442" s="85" t="n"/>
      <c r="E442" s="40" t="n"/>
      <c r="F442" s="32" t="n"/>
      <c r="H442" s="44" t="n"/>
      <c r="I442" s="44" t="n"/>
      <c r="J442" s="119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44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1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3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109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7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.9" customFormat="1" customHeight="1" s="23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109" t="n"/>
      <c r="J475" s="109" t="n"/>
    </row>
    <row r="476" ht="15.9" customFormat="1" customHeight="1" s="278">
      <c r="A476" s="44" t="n"/>
      <c r="B476" s="44" t="n"/>
      <c r="C476" s="44" t="n"/>
      <c r="D476" s="84" t="n"/>
      <c r="E476" s="44" t="n"/>
      <c r="F476" s="44" t="n"/>
      <c r="G476" s="44" t="n"/>
      <c r="H476" s="44" t="n"/>
      <c r="I476" s="44" t="n"/>
      <c r="J476" s="119" t="n"/>
    </row>
    <row r="477" ht="15.9" customFormat="1" customHeight="1" s="278">
      <c r="A477" s="40" t="n"/>
      <c r="B477" s="40" t="n"/>
      <c r="C477" s="44" t="n"/>
      <c r="D477" s="85" t="n"/>
      <c r="E477" s="40" t="n"/>
      <c r="F477" s="32" t="n"/>
      <c r="G477" s="40" t="n"/>
      <c r="H477" s="32" t="n"/>
      <c r="I477" s="32" t="n"/>
      <c r="J477" s="40" t="n"/>
    </row>
    <row r="478" ht="15.9" customFormat="1" customHeight="1" s="278">
      <c r="A478" s="27" t="n"/>
      <c r="B478" s="278" t="n"/>
      <c r="C478" s="93" t="n"/>
      <c r="D478" s="161" t="n"/>
      <c r="E478" s="109" t="n"/>
      <c r="F478" s="109" t="n"/>
      <c r="G478" s="109" t="n"/>
      <c r="H478" s="93" t="n"/>
      <c r="I478" s="501" t="n"/>
      <c r="J478" s="501" t="n"/>
    </row>
    <row r="479" ht="15.9" customFormat="1" customHeight="1" s="278">
      <c r="A479" s="27" t="n"/>
      <c r="B479" s="278" t="n"/>
      <c r="C479" s="163" t="n"/>
      <c r="D479" s="161" t="n"/>
      <c r="E479" s="109" t="n"/>
      <c r="F479" s="109" t="n"/>
      <c r="G479" s="109" t="n"/>
      <c r="H479" s="287" t="n"/>
      <c r="I479" s="287" t="n"/>
      <c r="J479" s="302" t="n"/>
    </row>
    <row r="480" ht="15.9" customFormat="1" customHeight="1" s="278">
      <c r="A480" s="27" t="n"/>
      <c r="B480" s="278" t="n"/>
      <c r="C480" s="161" t="n"/>
      <c r="D480" s="161" t="n"/>
      <c r="E480" s="109" t="n"/>
      <c r="F480" s="109" t="n"/>
      <c r="G480" s="109" t="n"/>
      <c r="H480" s="278" t="n"/>
      <c r="I480" s="278" t="n"/>
      <c r="J480" s="109" t="n"/>
    </row>
    <row r="481" ht="15.9" customFormat="1" customHeight="1" s="278">
      <c r="A481" s="27" t="n"/>
      <c r="B481" s="278" t="n"/>
      <c r="C481" s="278" t="n"/>
      <c r="D481" s="161" t="n"/>
      <c r="E481" s="109" t="n"/>
      <c r="F481" s="109" t="n"/>
      <c r="G481" s="109" t="n"/>
      <c r="H481" s="109" t="n"/>
      <c r="I481" s="501" t="n"/>
      <c r="J481" s="501" t="n"/>
    </row>
    <row r="482" ht="15.9" customFormat="1" customHeight="1" s="278">
      <c r="A482" s="27" t="n"/>
      <c r="B482" s="278" t="n"/>
      <c r="C482" s="278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287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D492" s="161" t="n"/>
      <c r="E492" s="109" t="n"/>
      <c r="F492" s="109" t="n"/>
      <c r="G492" s="278" t="n"/>
      <c r="H492" s="278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93" t="n"/>
      <c r="I496" s="501" t="n"/>
      <c r="J496" s="501" t="n"/>
    </row>
    <row r="497" ht="15.9" customFormat="1" customHeight="1" s="278">
      <c r="A497" s="27" t="n"/>
      <c r="B497" s="278" t="n"/>
      <c r="C497" s="63" t="n"/>
      <c r="D497" s="161" t="n"/>
      <c r="E497" s="109" t="n"/>
      <c r="F497" s="109" t="n"/>
      <c r="G497" s="109" t="n"/>
      <c r="H497" s="287" t="n"/>
      <c r="I497" s="287" t="n"/>
      <c r="J497" s="302" t="n"/>
    </row>
    <row r="498" ht="15.9" customFormat="1" customHeight="1" s="278">
      <c r="A498" s="27" t="n"/>
      <c r="B498" s="278" t="n"/>
      <c r="C498" s="287" t="n"/>
      <c r="D498" s="161" t="n"/>
      <c r="E498" s="109" t="n"/>
      <c r="F498" s="109" t="n"/>
      <c r="G498" s="109" t="n"/>
      <c r="H498" s="278" t="n"/>
      <c r="I498" s="278" t="n"/>
      <c r="J498" s="109" t="n"/>
    </row>
    <row r="499" ht="15.9" customFormat="1" customHeight="1" s="278">
      <c r="A499" s="27" t="n"/>
      <c r="B499" s="278" t="n"/>
      <c r="C499" s="161" t="n"/>
      <c r="D499" s="161" t="n"/>
      <c r="E499" s="109" t="n"/>
      <c r="F499" s="109" t="n"/>
      <c r="G499" s="109" t="n"/>
      <c r="H499" s="93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287" t="n"/>
      <c r="I500" s="287" t="n"/>
      <c r="J500" s="302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278" t="n"/>
      <c r="I501" s="278" t="n"/>
      <c r="J501" s="109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43" t="n"/>
      <c r="J515" s="107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A517" s="44" t="n"/>
      <c r="B517" s="44" t="n"/>
      <c r="C517" s="44" t="n"/>
      <c r="D517" s="84" t="n"/>
      <c r="E517" s="44" t="n"/>
      <c r="F517" s="44" t="n"/>
      <c r="G517" s="44" t="n"/>
      <c r="H517" s="44" t="n"/>
      <c r="I517" s="44" t="n"/>
      <c r="J517" s="119" t="n"/>
    </row>
    <row r="518" ht="15.9" customFormat="1" customHeight="1" s="278"/>
    <row r="519" ht="15.9" customFormat="1" customHeight="1" s="278" thickBot="1"/>
    <row r="520" ht="24.9" customFormat="1" customHeight="1" s="278" thickBot="1">
      <c r="A520" s="633" t="inlineStr">
        <is>
          <t>GLASS</t>
        </is>
      </c>
      <c r="B520" s="634" t="n"/>
      <c r="C520" s="634" t="n"/>
      <c r="D520" s="634" t="n"/>
      <c r="E520" s="634" t="n"/>
      <c r="F520" s="634" t="n"/>
      <c r="G520" s="634" t="n"/>
      <c r="H520" s="634" t="n"/>
      <c r="I520" s="634" t="n"/>
      <c r="J520" s="635" t="n"/>
    </row>
    <row r="521" ht="35.1" customFormat="1" customHeight="1" s="278" thickBot="1">
      <c r="A521" s="102" t="inlineStr">
        <is>
          <t>ITEM</t>
        </is>
      </c>
      <c r="B521" s="103" t="inlineStr">
        <is>
          <t>DESCRIPTION</t>
        </is>
      </c>
      <c r="C521" s="103" t="inlineStr">
        <is>
          <t>DESCRIPTION</t>
        </is>
      </c>
      <c r="D521" s="104" t="inlineStr">
        <is>
          <t>HEIGHT</t>
        </is>
      </c>
      <c r="E521" s="103" t="inlineStr">
        <is>
          <t>KG/m</t>
        </is>
      </c>
      <c r="F521" s="579" t="inlineStr">
        <is>
          <t>FORMULA</t>
        </is>
      </c>
      <c r="G521" s="305" t="n"/>
      <c r="H521" s="104" t="inlineStr">
        <is>
          <t>FORMULA</t>
        </is>
      </c>
      <c r="I521" s="104" t="inlineStr">
        <is>
          <t>WIDTH</t>
        </is>
      </c>
      <c r="J521" s="115" t="inlineStr">
        <is>
          <t>QTY</t>
        </is>
      </c>
      <c r="N521" s="249" t="inlineStr">
        <is>
          <t>DESCRIPTION</t>
        </is>
      </c>
      <c r="O521" s="249" t="inlineStr">
        <is>
          <t>DESCRIPTION</t>
        </is>
      </c>
      <c r="Q521" s="300" t="n"/>
      <c r="R521" s="301" t="n"/>
      <c r="S521" s="300" t="n"/>
      <c r="T521" s="301" t="n"/>
      <c r="U521" s="301" t="n"/>
    </row>
    <row r="522" ht="15.9" customFormat="1" customHeight="1" s="278">
      <c r="A522" s="186">
        <f>IF(C522="","",1)</f>
        <v/>
      </c>
      <c r="B522" s="138">
        <f>IF($D$127=5,N522,IF($D$127=6,N523,IF($D$127=8,N524,IF($D$127=10,N525,IF($D$127=12,N526,IF($D$127=14,N527,IF($D$127=18,N528,IF($D$127=20,N529,IF($D$127=22,N530,)))))))))</f>
        <v/>
      </c>
      <c r="C522" s="138">
        <f>IF($D$127=5,O522,IF($D$127=6,O523,IF($D$127=8,O524,IF($D$127=10,O525,IF($D$127=12,O526,IF($D$127=14,O527,IF($D$127=18,O528,IF($D$127=20,O529,IF($D$127=22,O530,)))))))))</f>
        <v/>
      </c>
      <c r="D522" s="124">
        <f>$J$123-215</f>
        <v/>
      </c>
      <c r="E522" s="186" t="inlineStr">
        <is>
          <t>-</t>
        </is>
      </c>
      <c r="F522" s="658" t="inlineStr">
        <is>
          <t>Height - 215</t>
        </is>
      </c>
      <c r="G522" s="659" t="n"/>
      <c r="H522" s="186" t="inlineStr">
        <is>
          <t>((W-182-(113.25 × 2)/3)-13</t>
        </is>
      </c>
      <c r="I522" s="124">
        <f>(($J$126-182-(113.25*2))/3)-13</f>
        <v/>
      </c>
      <c r="J522" s="151">
        <f>$J$120*3</f>
        <v/>
      </c>
      <c r="M522" s="278">
        <f>ROW()</f>
        <v/>
      </c>
      <c r="N522" s="415" t="inlineStr">
        <is>
          <t>กระจก 5 mm (สูง) (กว้าง)</t>
        </is>
      </c>
      <c r="O522" s="415" t="inlineStr">
        <is>
          <t>GLASS thk.5 mm (H) (W)</t>
        </is>
      </c>
      <c r="Q522" s="109" t="n"/>
      <c r="R522" s="302" t="n"/>
      <c r="S522" s="442" t="n"/>
      <c r="T522" s="109" t="n"/>
      <c r="U522" s="303" t="n"/>
    </row>
    <row r="523" ht="15.9" customFormat="1" customHeight="1" s="278">
      <c r="A523" s="242" t="n"/>
      <c r="B523" s="295" t="n"/>
      <c r="C523" s="295" t="n"/>
      <c r="D523" s="357" t="n"/>
      <c r="E523" s="242" t="n"/>
      <c r="F523" s="337" t="n"/>
      <c r="G523" s="338" t="n"/>
      <c r="H523" s="242" t="n"/>
      <c r="I523" s="298" t="n"/>
      <c r="J523" s="299" t="n"/>
      <c r="M523" s="278">
        <f>ROW()</f>
        <v/>
      </c>
      <c r="N523" s="415" t="inlineStr">
        <is>
          <t>กระจก 6 mm (สูง) (กว้าง)</t>
        </is>
      </c>
      <c r="O523" s="415" t="inlineStr">
        <is>
          <t>GLASS thk.6 mm (H) (W)</t>
        </is>
      </c>
      <c r="Q523" s="109" t="n"/>
      <c r="R523" s="302" t="n"/>
      <c r="S523" s="442" t="n"/>
      <c r="T523" s="109" t="n"/>
      <c r="U523" s="303" t="n"/>
    </row>
    <row r="524" ht="15.9" customFormat="1" customHeight="1" s="278">
      <c r="A524" s="152" t="n"/>
      <c r="B524" s="140" t="n"/>
      <c r="C524" s="295" t="n"/>
      <c r="D524" s="296" t="inlineStr">
        <is>
          <t xml:space="preserve"> </t>
        </is>
      </c>
      <c r="E524" s="242" t="n"/>
      <c r="F524" s="251" t="n"/>
      <c r="G524" s="297" t="n"/>
      <c r="H524" s="295" t="n"/>
      <c r="I524" s="298" t="n"/>
      <c r="J524" s="153" t="n"/>
      <c r="M524" s="278">
        <f>ROW()</f>
        <v/>
      </c>
      <c r="N524" s="415" t="inlineStr">
        <is>
          <t>กระจก 8 mm (สูง) (กว้าง)</t>
        </is>
      </c>
      <c r="O524" s="415" t="inlineStr">
        <is>
          <t>GLASS thk.8 mm (H) (W)</t>
        </is>
      </c>
      <c r="Q524" s="109" t="n"/>
      <c r="R524" s="302" t="n"/>
      <c r="S524" s="442" t="n"/>
      <c r="T524" s="109" t="n"/>
      <c r="U524" s="303" t="n"/>
    </row>
    <row r="525" ht="15.9" customFormat="1" customHeight="1" s="278">
      <c r="A525" s="152" t="n"/>
      <c r="B525" s="140" t="n"/>
      <c r="C525" s="140" t="n"/>
      <c r="D525" s="139" t="n"/>
      <c r="E525" s="143" t="n"/>
      <c r="F525" s="155" t="n"/>
      <c r="G525" s="156" t="n"/>
      <c r="H525" s="143" t="n"/>
      <c r="I525" s="130" t="n"/>
      <c r="J525" s="153" t="n"/>
      <c r="M525" s="278">
        <f>ROW()</f>
        <v/>
      </c>
      <c r="N525" s="415" t="inlineStr">
        <is>
          <t>กระจก 10 mm (สูง) (กว้าง)</t>
        </is>
      </c>
      <c r="O525" s="415" t="inlineStr">
        <is>
          <t>GLASS thk.10 mm (H) (W)</t>
        </is>
      </c>
    </row>
    <row r="526" ht="15.9" customFormat="1" customHeight="1" s="278">
      <c r="A526" s="240">
        <f>IF(B526="","",+A524+1)</f>
        <v/>
      </c>
      <c r="B526" s="142" t="n"/>
      <c r="C526" s="142" t="n"/>
      <c r="D526" s="141" t="n"/>
      <c r="E526" s="240" t="n"/>
      <c r="F526" s="158" t="n"/>
      <c r="G526" s="159" t="n"/>
      <c r="H526" s="240" t="n"/>
      <c r="I526" s="145" t="n"/>
      <c r="J526" s="136" t="n"/>
      <c r="M526" s="278">
        <f>ROW()</f>
        <v/>
      </c>
      <c r="N526" s="415" t="inlineStr">
        <is>
          <t>กระจก 12 mm (สูง) (กว้าง)</t>
        </is>
      </c>
      <c r="O526" s="415" t="inlineStr">
        <is>
          <t>GLASS thk.12 mm (H) (W)</t>
        </is>
      </c>
    </row>
    <row r="527">
      <c r="D527" s="345" t="n"/>
      <c r="J527" s="99">
        <f>LEFT($J$111,13)&amp;"-05"</f>
        <v/>
      </c>
      <c r="M527" s="278">
        <f>ROW()</f>
        <v/>
      </c>
      <c r="N527" s="415" t="inlineStr">
        <is>
          <t>กระจก 14 mm (สูง) (กว้าง)</t>
        </is>
      </c>
      <c r="O527" s="415" t="inlineStr">
        <is>
          <t>GLASS thk.14 mm (H) (W)</t>
        </is>
      </c>
    </row>
    <row r="528">
      <c r="M528" s="278">
        <f>ROW()</f>
        <v/>
      </c>
      <c r="N528" s="415" t="inlineStr">
        <is>
          <t>กระจก 18 mm (สูง) (กว้าง)</t>
        </is>
      </c>
      <c r="O528" s="415" t="inlineStr">
        <is>
          <t>GLASS thk.18 mm (H) (W)</t>
        </is>
      </c>
    </row>
    <row r="529">
      <c r="M529" s="278">
        <f>ROW()</f>
        <v/>
      </c>
      <c r="N529" s="415" t="inlineStr">
        <is>
          <t>กระจก 20 mm (สูง) (กว้าง)</t>
        </is>
      </c>
      <c r="O529" s="415" t="inlineStr">
        <is>
          <t>GLASS thk.20 mm (H) (W)</t>
        </is>
      </c>
    </row>
    <row r="530">
      <c r="M530" s="278">
        <f>ROW()</f>
        <v/>
      </c>
      <c r="N530" s="415" t="inlineStr">
        <is>
          <t>กระจก 22 mm (สูง) (กว้าง)</t>
        </is>
      </c>
      <c r="O530" s="415" t="inlineStr">
        <is>
          <t>GLASS thk.22 mm (H) (W)</t>
        </is>
      </c>
    </row>
  </sheetData>
  <mergeCells count="46">
    <mergeCell ref="I158:J158"/>
    <mergeCell ref="D127:G127"/>
    <mergeCell ref="D174:D175"/>
    <mergeCell ref="A131:J131"/>
    <mergeCell ref="D121:G121"/>
    <mergeCell ref="I160:J160"/>
    <mergeCell ref="I170:J171"/>
    <mergeCell ref="F522:G522"/>
    <mergeCell ref="D163:D164"/>
    <mergeCell ref="D129:G129"/>
    <mergeCell ref="D123:G123"/>
    <mergeCell ref="I175:J175"/>
    <mergeCell ref="A117:J117"/>
    <mergeCell ref="J123:J124"/>
    <mergeCell ref="H163:H164"/>
    <mergeCell ref="D167:D171"/>
    <mergeCell ref="A320:J320"/>
    <mergeCell ref="A176:J176"/>
    <mergeCell ref="H120:I121"/>
    <mergeCell ref="I159:J159"/>
    <mergeCell ref="I166:J169"/>
    <mergeCell ref="D119:G119"/>
    <mergeCell ref="F330:G330"/>
    <mergeCell ref="I165:J165"/>
    <mergeCell ref="I162:J162"/>
    <mergeCell ref="H126:I127"/>
    <mergeCell ref="A520:J520"/>
    <mergeCell ref="A6:J6"/>
    <mergeCell ref="I161:J161"/>
    <mergeCell ref="D165:D166"/>
    <mergeCell ref="H174:H175"/>
    <mergeCell ref="A427:J427"/>
    <mergeCell ref="F333:G333"/>
    <mergeCell ref="J120:J121"/>
    <mergeCell ref="A125:B125"/>
    <mergeCell ref="H167:H171"/>
    <mergeCell ref="H221:J221"/>
    <mergeCell ref="J126:J127"/>
    <mergeCell ref="I172:J172"/>
    <mergeCell ref="I163:J164"/>
    <mergeCell ref="H165:H166"/>
    <mergeCell ref="D172:D173"/>
    <mergeCell ref="D125:G125"/>
    <mergeCell ref="H123:I124"/>
    <mergeCell ref="A213:J213"/>
    <mergeCell ref="H172:H173"/>
  </mergeCells>
  <dataValidations count="3">
    <dataValidation sqref="D123:G123" showDropDown="0" showInputMessage="1" showErrorMessage="1" allowBlank="1" type="list">
      <formula1>$P$119:$P$128</formula1>
    </dataValidation>
    <dataValidation sqref="D129:G129" showDropDown="0" showInputMessage="1" showErrorMessage="1" allowBlank="1" type="list">
      <formula1>$O$120</formula1>
    </dataValidation>
    <dataValidation sqref="D127:G127" showDropDown="0" showInputMessage="1" showErrorMessage="1" allowBlank="1" type="list">
      <formula1>$N$120:$N$128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AJ530"/>
  <sheetViews>
    <sheetView showGridLines="0" view="pageBreakPreview" topLeftCell="A124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9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8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1.332031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240-3 Panel (1L2R)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FG-240-3P1L2R-01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2200</v>
      </c>
      <c r="N123" s="248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2100</v>
      </c>
      <c r="K126" s="507" t="n"/>
      <c r="L126" s="507" t="n"/>
      <c r="N126" s="248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8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6</v>
      </c>
      <c r="U133" s="283" t="inlineStr">
        <is>
          <t>(W-182-(113.25 × 2))/3</t>
        </is>
      </c>
      <c r="V133" s="307">
        <f>($J$126-182-(113.25*2))/3</f>
        <v/>
      </c>
      <c r="W133" s="286">
        <f>$J$119*T133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6</v>
      </c>
      <c r="U134" s="143" t="inlineStr">
        <is>
          <t>(W-182-(113.25 × 2))/3</t>
        </is>
      </c>
      <c r="V134" s="307">
        <f>($J$126-182-(113.25*2))/3</f>
        <v/>
      </c>
      <c r="W134" s="131">
        <f>$J$119*T134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6</v>
      </c>
      <c r="U135" s="240" t="inlineStr">
        <is>
          <t>(W-182-(113.25 × 2))/3</t>
        </is>
      </c>
      <c r="V135" s="307">
        <f>($J$126-182-(113.25*2))/3</f>
        <v/>
      </c>
      <c r="W135" s="293">
        <f>$J$119*T135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6</v>
      </c>
      <c r="U136" s="283" t="inlineStr">
        <is>
          <t>H-242</t>
        </is>
      </c>
      <c r="V136" s="288">
        <f>$J$123-242</f>
        <v/>
      </c>
      <c r="W136" s="286">
        <f>$J$119*T136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6</v>
      </c>
      <c r="U137" s="143" t="inlineStr">
        <is>
          <t>H-242</t>
        </is>
      </c>
      <c r="V137" s="130">
        <f>$J$123-242</f>
        <v/>
      </c>
      <c r="W137" s="131">
        <f>$J$119*T137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B24005-004R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6</v>
      </c>
      <c r="U138" s="240" t="inlineStr">
        <is>
          <t>H-242</t>
        </is>
      </c>
      <c r="V138" s="136">
        <f>$J$123-242</f>
        <v/>
      </c>
      <c r="W138" s="293">
        <f>$J$119*T138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3</v>
      </c>
      <c r="H141" s="143" t="inlineStr">
        <is>
          <t>45° (W-60-(3+1)×4)/3</t>
        </is>
      </c>
      <c r="I141" s="178">
        <f>($J$126-60-(3+1)*4)/3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3</v>
      </c>
      <c r="H142" s="143" t="inlineStr">
        <is>
          <t>45° (W-60-(3+1)×4)/3</t>
        </is>
      </c>
      <c r="I142" s="178">
        <f>($J$126-60-(3+1)*4)/3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4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 xml:space="preserve">SASH STOP 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</row>
    <row r="154" ht="18" customFormat="1" customHeight="1" s="278">
      <c r="A154" s="143">
        <f>IF(B154="","",+A153+1)</f>
        <v/>
      </c>
      <c r="B154" s="140" t="n"/>
      <c r="C154" s="140" t="n"/>
      <c r="D154" s="139" t="n"/>
      <c r="E154" s="143" t="n"/>
      <c r="F154" s="139" t="n"/>
      <c r="G154" s="143" t="n"/>
      <c r="H154" s="143" t="n"/>
      <c r="I154" s="144" t="n"/>
      <c r="J154" s="131">
        <f>$J$120*G154</f>
        <v/>
      </c>
      <c r="N154" s="287" t="n"/>
    </row>
    <row r="155" ht="18" customFormat="1" customHeight="1" s="278">
      <c r="A155" s="143">
        <f>IF(B155="","",+A154+1)</f>
        <v/>
      </c>
      <c r="B155" s="140" t="n"/>
      <c r="C155" s="140" t="n"/>
      <c r="D155" s="139" t="n"/>
      <c r="E155" s="143" t="n"/>
      <c r="F155" s="139" t="n"/>
      <c r="G155" s="143" t="n"/>
      <c r="H155" s="143" t="n"/>
      <c r="I155" s="144" t="n"/>
      <c r="J155" s="131">
        <f>$J$120*G155</f>
        <v/>
      </c>
      <c r="N155" s="287" t="n"/>
    </row>
    <row r="156" ht="18" customFormat="1" customHeight="1" s="278">
      <c r="A156" s="143">
        <f>IF(B156="","",+A155+1)</f>
        <v/>
      </c>
      <c r="B156" s="140" t="n"/>
      <c r="C156" s="140" t="n"/>
      <c r="D156" s="139" t="n"/>
      <c r="E156" s="143" t="n"/>
      <c r="F156" s="139" t="n"/>
      <c r="G156" s="143" t="n"/>
      <c r="H156" s="143" t="n"/>
      <c r="I156" s="144" t="n"/>
      <c r="J156" s="131">
        <f>$J$120*G156</f>
        <v/>
      </c>
      <c r="N156" s="287" t="n"/>
    </row>
    <row r="157" ht="18" customFormat="1" customHeight="1" s="278" thickBot="1">
      <c r="A157" s="143">
        <f>IF(B157="","",+A156+1)</f>
        <v/>
      </c>
      <c r="B157" s="207" t="n"/>
      <c r="C157" s="207" t="n"/>
      <c r="D157" s="208" t="n"/>
      <c r="E157" s="209" t="n"/>
      <c r="F157" s="208" t="n"/>
      <c r="G157" s="209" t="n"/>
      <c r="H157" s="209" t="n"/>
      <c r="I157" s="171" t="n"/>
      <c r="J157" s="172">
        <f>$J$120*G157</f>
        <v/>
      </c>
    </row>
    <row r="158" outlineLevel="1" ht="27" customFormat="1" customHeight="1" s="278" thickBot="1">
      <c r="A158" s="169" t="inlineStr">
        <is>
          <t>ITEM</t>
        </is>
      </c>
      <c r="B158" s="169" t="inlineStr">
        <is>
          <t>THAI</t>
        </is>
      </c>
      <c r="C158" s="169" t="inlineStr">
        <is>
          <t>DESCRIPTION</t>
        </is>
      </c>
      <c r="D158" s="169" t="inlineStr">
        <is>
          <t>DIE NO.</t>
        </is>
      </c>
      <c r="E158" s="169" t="inlineStr">
        <is>
          <t>KG/m</t>
        </is>
      </c>
      <c r="F158" s="177" t="inlineStr">
        <is>
          <t>TOTAL
LENGTH/SET(mm)</t>
        </is>
      </c>
      <c r="G158" s="169" t="inlineStr">
        <is>
          <t>LENGTH/SET(m)</t>
        </is>
      </c>
      <c r="H158" s="170" t="inlineStr">
        <is>
          <t>TAKE OFF/6.4M</t>
        </is>
      </c>
      <c r="I158" s="540" t="n"/>
    </row>
    <row r="159" outlineLevel="1" ht="15" customFormat="1" customHeight="1" s="278">
      <c r="A159" s="21">
        <f>IF(B159="","",1)</f>
        <v/>
      </c>
      <c r="B159" s="173">
        <f>B133</f>
        <v/>
      </c>
      <c r="C159" s="173">
        <f>C133</f>
        <v/>
      </c>
      <c r="D159" s="577">
        <f>VLOOKUP(C159,$C$133:$H$157,2,0)</f>
        <v/>
      </c>
      <c r="E159" s="175">
        <f>VLOOKUP(C159,$C$133:$H$157,3,0)</f>
        <v/>
      </c>
      <c r="F159" s="175">
        <f>VLOOKUP(C159,$C$133:$J$157,7,0)</f>
        <v/>
      </c>
      <c r="G159" s="175">
        <f>VLOOKUP(C159,$C$133:$J$157,8,0)</f>
        <v/>
      </c>
      <c r="H159" s="176">
        <f>ROUNDUP((F159*G159)/6400,0)</f>
        <v/>
      </c>
      <c r="I159" s="500" t="n"/>
    </row>
    <row r="160" outlineLevel="1" ht="15" customFormat="1" customHeight="1" s="278">
      <c r="A160" s="213">
        <f>IF(B160="","",+A159+1)</f>
        <v/>
      </c>
      <c r="B160" s="173">
        <f>B134</f>
        <v/>
      </c>
      <c r="C160" s="173">
        <f>C134</f>
        <v/>
      </c>
      <c r="D160" s="577">
        <f>VLOOKUP(C160,$C$133:$H$157,2,0)</f>
        <v/>
      </c>
      <c r="E160" s="175">
        <f>VLOOKUP(C160,$C$133:$H$157,3,0)</f>
        <v/>
      </c>
      <c r="F160" s="175">
        <f>VLOOKUP(C160,$C$133:$I$157,7,0)</f>
        <v/>
      </c>
      <c r="G160" s="175">
        <f>VLOOKUP(C160,$C$133:$J$157,8,0)</f>
        <v/>
      </c>
      <c r="H160" s="176">
        <f>ROUNDUP((F160*G160)/6400,0)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B135</f>
        <v/>
      </c>
      <c r="C161" s="173">
        <f>C135</f>
        <v/>
      </c>
      <c r="D161" s="577">
        <f>VLOOKUP(C161,$C$133:$H$157,2,0)</f>
        <v/>
      </c>
      <c r="E161" s="175">
        <f>VLOOKUP(C161,$C$133:$H$157,3,0)</f>
        <v/>
      </c>
      <c r="F161" s="175">
        <f>VLOOKUP(C161,$C$133:$I$157,7,0)</f>
        <v/>
      </c>
      <c r="G161" s="175">
        <f>VLOOKUP(C161,$C$133:$J$157,8,0)</f>
        <v/>
      </c>
      <c r="H161" s="176">
        <f>ROUNDUP((F161*G161)/6400,0)</f>
        <v/>
      </c>
      <c r="I161" s="500" t="n"/>
    </row>
    <row r="162" outlineLevel="1" ht="15" customFormat="1" customHeight="1" s="278">
      <c r="A162" s="213">
        <f>IF(B162="","",+A161+1)</f>
        <v/>
      </c>
      <c r="B162" s="173">
        <f>B136</f>
        <v/>
      </c>
      <c r="C162" s="173">
        <f>C136</f>
        <v/>
      </c>
      <c r="D162" s="577">
        <f>VLOOKUP(C162,$C$133:$H$157,2,0)</f>
        <v/>
      </c>
      <c r="E162" s="175">
        <f>VLOOKUP(C162,$C$133:$H$157,3,0)</f>
        <v/>
      </c>
      <c r="F162" s="175">
        <f>VLOOKUP(C162,$C$133:$I$157,7,0)</f>
        <v/>
      </c>
      <c r="G162" s="175">
        <f>VLOOKUP(C162,$C$133:$J$157,8,0)</f>
        <v/>
      </c>
      <c r="H162" s="176">
        <f>ROUNDUP((F162*G162)/6400,0)</f>
        <v/>
      </c>
      <c r="I162" s="500" t="n"/>
    </row>
    <row r="163" outlineLevel="1" ht="15" customFormat="1" customHeight="1" s="278">
      <c r="A163" s="213">
        <f>IF(B163="","",+A162+1)</f>
        <v/>
      </c>
      <c r="B163" s="173">
        <f>B137</f>
        <v/>
      </c>
      <c r="C163" s="173">
        <f>C137</f>
        <v/>
      </c>
      <c r="D163" s="643">
        <f>VLOOKUP(C163,$C$133:$H$157,2,0)</f>
        <v/>
      </c>
      <c r="E163" s="175">
        <f>VLOOKUP(C163,$C$133:$H$157,3,0)</f>
        <v/>
      </c>
      <c r="F163" s="175">
        <f>VLOOKUP(C163,$C$133:$I$157,7,0)</f>
        <v/>
      </c>
      <c r="G163" s="175">
        <f>VLOOKUP(C163,$C$133:$J$157,8,0)</f>
        <v/>
      </c>
      <c r="H163" s="516">
        <f>ROUNDUP(((F163*G163)+(F164*G164))/6400,0)</f>
        <v/>
      </c>
      <c r="I163" s="506" t="n"/>
    </row>
    <row r="164" outlineLevel="1" ht="15" customFormat="1" customHeight="1" s="278">
      <c r="A164" s="213">
        <f>IF(B164="","",+A163+1)</f>
        <v/>
      </c>
      <c r="B164" s="173">
        <f>B138</f>
        <v/>
      </c>
      <c r="C164" s="173">
        <f>C138</f>
        <v/>
      </c>
      <c r="D164" s="625" t="n"/>
      <c r="E164" s="175">
        <f>VLOOKUP(C164,$C$133:$H$157,3,0)</f>
        <v/>
      </c>
      <c r="F164" s="175">
        <f>VLOOKUP(C164,$C$133:$I$157,7,0)</f>
        <v/>
      </c>
      <c r="G164" s="175">
        <f>VLOOKUP(C164,$C$133:$J$157,8,0)</f>
        <v/>
      </c>
      <c r="H164" s="644" t="n"/>
    </row>
    <row r="165" outlineLevel="1" ht="15" customFormat="1" customHeight="1" s="278">
      <c r="A165" s="213">
        <f>IF(B165="","",+A164+1)</f>
        <v/>
      </c>
      <c r="B165" s="173">
        <f>B139</f>
        <v/>
      </c>
      <c r="C165" s="173">
        <f>C139</f>
        <v/>
      </c>
      <c r="D165" s="643">
        <f>VLOOKUP(C165,$C$133:$H$157,2,0)</f>
        <v/>
      </c>
      <c r="E165" s="175">
        <f>VLOOKUP(C165,$C$133:$H$157,3,0)</f>
        <v/>
      </c>
      <c r="F165" s="175">
        <f>VLOOKUP(C165,$C$133:$I$157,7,0)</f>
        <v/>
      </c>
      <c r="G165" s="175">
        <f>VLOOKUP(C165,$C$133:$J$157,8,0)</f>
        <v/>
      </c>
      <c r="H165" s="516">
        <f>ROUNDUP(((F165*G165)+(F166*G166))/6400,0)</f>
        <v/>
      </c>
      <c r="I165" s="500" t="n"/>
    </row>
    <row r="166" outlineLevel="1" ht="15" customFormat="1" customHeight="1" s="278">
      <c r="A166" s="213">
        <f>IF(B166="","",+A165+1)</f>
        <v/>
      </c>
      <c r="B166" s="173">
        <f>B140</f>
        <v/>
      </c>
      <c r="C166" s="173">
        <f>C140</f>
        <v/>
      </c>
      <c r="D166" s="625" t="n"/>
      <c r="E166" s="175">
        <f>VLOOKUP(C166,$C$133:$H$157,3,0)</f>
        <v/>
      </c>
      <c r="F166" s="175">
        <f>VLOOKUP(C166,$C$133:$I$157,7,0)</f>
        <v/>
      </c>
      <c r="G166" s="175">
        <f>VLOOKUP(C166,$C$133:$J$157,8,0)</f>
        <v/>
      </c>
      <c r="H166" s="644" t="n"/>
      <c r="I166" s="533" t="n"/>
    </row>
    <row r="167" outlineLevel="1" ht="13.8" customFormat="1" customHeight="1" s="278">
      <c r="A167" s="213">
        <f>IF(B167="","",+A166+1)</f>
        <v/>
      </c>
      <c r="B167" s="173">
        <f>B141</f>
        <v/>
      </c>
      <c r="C167" s="173">
        <f>C141</f>
        <v/>
      </c>
      <c r="D167" s="643">
        <f>VLOOKUP(C167,$C$133:$H$157,2,0)</f>
        <v/>
      </c>
      <c r="E167" s="175">
        <f>VLOOKUP(C167,$C$133:$H$157,3,0)</f>
        <v/>
      </c>
      <c r="F167" s="175">
        <f>VLOOKUP(C167,$C$133:$I$157,7,0)</f>
        <v/>
      </c>
      <c r="G167" s="175">
        <f>VLOOKUP(C167,$C$133:$J$157,8,0)</f>
        <v/>
      </c>
      <c r="H167" s="516">
        <f>ROUNDUP(((F167*G167)+(F168*G168)+(F169*G169)+(F170*G170)+(F171*G171))/6400,0)</f>
        <v/>
      </c>
      <c r="I167" s="645" t="n"/>
    </row>
    <row r="168" outlineLevel="1" ht="13.8" customFormat="1" customHeight="1" s="278">
      <c r="A168" s="213">
        <f>IF(B168="","",+A167+1)</f>
        <v/>
      </c>
      <c r="B168" s="173">
        <f>B142</f>
        <v/>
      </c>
      <c r="C168" s="173">
        <f>C142</f>
        <v/>
      </c>
      <c r="D168" s="624" t="n"/>
      <c r="E168" s="175">
        <f>VLOOKUP(C168,$C$133:$H$157,3,0)</f>
        <v/>
      </c>
      <c r="F168" s="175">
        <f>VLOOKUP(C168,$C$133:$I$157,7,0)</f>
        <v/>
      </c>
      <c r="G168" s="175">
        <f>VLOOKUP(C168,$C$133:$J$157,8,0)</f>
        <v/>
      </c>
      <c r="H168" s="646" t="n"/>
      <c r="I168" s="645" t="n"/>
    </row>
    <row r="169" outlineLevel="1" ht="13.8" customFormat="1" customHeight="1" s="278">
      <c r="A169" s="213">
        <f>IF(B169="","",+A168+1)</f>
        <v/>
      </c>
      <c r="B169" s="173">
        <f>B143</f>
        <v/>
      </c>
      <c r="C169" s="173">
        <f>C143</f>
        <v/>
      </c>
      <c r="D169" s="624" t="n"/>
      <c r="E169" s="175">
        <f>VLOOKUP(C169,$C$133:$H$157,3,0)</f>
        <v/>
      </c>
      <c r="F169" s="175">
        <f>VLOOKUP(C169,$C$133:$I$157,7,0)</f>
        <v/>
      </c>
      <c r="G169" s="175">
        <f>VLOOKUP(C169,$C$133:$J$157,8,0)</f>
        <v/>
      </c>
      <c r="H169" s="646" t="n"/>
      <c r="I169" s="645" t="n"/>
    </row>
    <row r="170" outlineLevel="1" ht="13.8" customFormat="1" customHeight="1" s="278">
      <c r="A170" s="213">
        <f>IF(B170="","",+A169+1)</f>
        <v/>
      </c>
      <c r="B170" s="173">
        <f>B144</f>
        <v/>
      </c>
      <c r="C170" s="173">
        <f>C144</f>
        <v/>
      </c>
      <c r="D170" s="624" t="n"/>
      <c r="E170" s="175">
        <f>VLOOKUP(C170,$C$133:$H$157,3,0)</f>
        <v/>
      </c>
      <c r="F170" s="175">
        <f>VLOOKUP(C170,$C$133:$I$157,7,0)</f>
        <v/>
      </c>
      <c r="G170" s="175">
        <f>VLOOKUP(C170,$C$133:$J$157,8,0)</f>
        <v/>
      </c>
      <c r="H170" s="646" t="n"/>
      <c r="I170" s="533" t="n"/>
    </row>
    <row r="171" outlineLevel="1" ht="13.8" customFormat="1" customHeight="1" s="278">
      <c r="A171" s="213">
        <f>IF(B171="","",+A170+1)</f>
        <v/>
      </c>
      <c r="B171" s="173">
        <f>B145</f>
        <v/>
      </c>
      <c r="C171" s="173">
        <f>C145</f>
        <v/>
      </c>
      <c r="D171" s="625" t="n"/>
      <c r="E171" s="175">
        <f>VLOOKUP(C171,$C$133:$H$157,3,0)</f>
        <v/>
      </c>
      <c r="F171" s="175">
        <f>VLOOKUP(C171,$C$133:$I$157,7,0)</f>
        <v/>
      </c>
      <c r="G171" s="175">
        <f>VLOOKUP(C171,$C$133:$J$157,8,0)</f>
        <v/>
      </c>
      <c r="H171" s="644" t="n"/>
      <c r="I171" s="645" t="n"/>
    </row>
    <row r="172" outlineLevel="1" ht="13.8" customFormat="1" customHeight="1" s="278">
      <c r="A172" s="213">
        <f>IF(B172="","",+A171+1)</f>
        <v/>
      </c>
      <c r="B172" s="173">
        <f>B146</f>
        <v/>
      </c>
      <c r="C172" s="173">
        <f>C146</f>
        <v/>
      </c>
      <c r="D172" s="643">
        <f>VLOOKUP(C172,$C$133:$H$157,2,0)</f>
        <v/>
      </c>
      <c r="E172" s="175">
        <f>VLOOKUP(C172,$C$133:$H$157,3,0)</f>
        <v/>
      </c>
      <c r="F172" s="175">
        <f>VLOOKUP(C172,$C$133:$I$157,7,0)</f>
        <v/>
      </c>
      <c r="G172" s="175">
        <f>VLOOKUP(C172,$C$133:$J$157,8,0)</f>
        <v/>
      </c>
      <c r="H172" s="516">
        <f>ROUNDUP(((F172*G172)+(F173*G173))/6400,0)</f>
        <v/>
      </c>
      <c r="I172" s="500" t="n"/>
    </row>
    <row r="173" outlineLevel="1" ht="13.8" customFormat="1" customHeight="1" s="278">
      <c r="A173" s="213">
        <f>IF(B173="","",+A172+1)</f>
        <v/>
      </c>
      <c r="B173" s="173">
        <f>B147</f>
        <v/>
      </c>
      <c r="C173" s="173">
        <f>C147</f>
        <v/>
      </c>
      <c r="D173" s="625" t="n"/>
      <c r="E173" s="175">
        <f>VLOOKUP(C173,$C$133:$H$157,3,0)</f>
        <v/>
      </c>
      <c r="F173" s="175">
        <f>VLOOKUP(C173,$C$133:$I$157,7,0)</f>
        <v/>
      </c>
      <c r="G173" s="175">
        <f>VLOOKUP(C173,$C$133:$J$157,8,0)</f>
        <v/>
      </c>
      <c r="H173" s="644" t="n"/>
      <c r="I173" s="500" t="n"/>
      <c r="J173" s="501" t="n"/>
    </row>
    <row r="174" outlineLevel="1" ht="13.8" customFormat="1" customHeight="1" s="278">
      <c r="A174" s="213">
        <f>IF(B174="","",+A173+1)</f>
        <v/>
      </c>
      <c r="B174" s="173">
        <f>B148</f>
        <v/>
      </c>
      <c r="C174" s="173">
        <f>C148</f>
        <v/>
      </c>
      <c r="D174" s="647">
        <f>VLOOKUP(C174,$C$133:$H$157,2,0)</f>
        <v/>
      </c>
      <c r="E174" s="175">
        <f>VLOOKUP(C174,$C$133:$H$157,3,0)</f>
        <v/>
      </c>
      <c r="F174" s="175">
        <f>VLOOKUP(C174,$C$133:$I$157,7,0)</f>
        <v/>
      </c>
      <c r="G174" s="175">
        <f>VLOOKUP(C174,$C$133:$J$157,8,0)</f>
        <v/>
      </c>
      <c r="H174" s="516">
        <f>ROUNDUP(((F174*G174)+(F175*G175))/6400,0)</f>
        <v/>
      </c>
      <c r="I174" s="500" t="n"/>
      <c r="J174" s="501" t="n"/>
    </row>
    <row r="175" outlineLevel="1" ht="15" customFormat="1" customHeight="1" s="23" thickBot="1">
      <c r="A175" s="213">
        <f>IF(B175="","",+A174+1)</f>
        <v/>
      </c>
      <c r="B175" s="173">
        <f>B149</f>
        <v/>
      </c>
      <c r="C175" s="173">
        <f>C149</f>
        <v/>
      </c>
      <c r="D175" s="648" t="n"/>
      <c r="E175" s="175">
        <f>VLOOKUP(C175,$C$133:$H$157,3,0)</f>
        <v/>
      </c>
      <c r="F175" s="175">
        <f>VLOOKUP(C175,$C$133:$I$157,7,0)</f>
        <v/>
      </c>
      <c r="G175" s="175">
        <f>VLOOKUP(C175,$C$133:$J$157,8,0)</f>
        <v/>
      </c>
      <c r="H175" s="644" t="n"/>
      <c r="I175" s="500" t="n"/>
      <c r="K175" s="278" t="n"/>
      <c r="L175" s="278" t="n"/>
      <c r="M175" s="278" t="n"/>
      <c r="N175" s="278" t="n"/>
      <c r="O175" s="278" t="n"/>
      <c r="P175" s="278" t="n"/>
      <c r="Q175" s="278" t="n"/>
      <c r="R175" s="278" t="n"/>
      <c r="S175" s="278" t="n"/>
      <c r="T175" s="278" t="n"/>
      <c r="U175" s="278" t="n"/>
      <c r="V175" s="278" t="n"/>
      <c r="Y175" s="278" t="n"/>
      <c r="Z175" s="278" t="n"/>
      <c r="AA175" s="278" t="n"/>
      <c r="AB175" s="278" t="n"/>
      <c r="AC175" s="278" t="n"/>
      <c r="AD175" s="278" t="n"/>
      <c r="AE175" s="278" t="n"/>
      <c r="AF175" s="278" t="n"/>
      <c r="AG175" s="278" t="n"/>
      <c r="AH175" s="278" t="n"/>
      <c r="AI175" s="278" t="n"/>
      <c r="AJ175" s="278" t="n"/>
    </row>
    <row r="176" ht="24.9" customFormat="1" customHeight="1" s="278" thickBot="1">
      <c r="A176" s="642" t="inlineStr">
        <is>
          <t>PARTS LIST HARDWARE &amp; ACCESSORIES</t>
        </is>
      </c>
      <c r="B176" s="634" t="n"/>
      <c r="C176" s="634" t="n"/>
      <c r="D176" s="634" t="n"/>
      <c r="E176" s="634" t="n"/>
      <c r="F176" s="634" t="n"/>
      <c r="G176" s="634" t="n"/>
      <c r="H176" s="634" t="n"/>
      <c r="I176" s="634" t="n"/>
      <c r="J176" s="635" t="n"/>
    </row>
    <row r="177" ht="35.1" customFormat="1" customHeight="1" s="278" thickBot="1">
      <c r="A177" s="102" t="inlineStr">
        <is>
          <t>ITEM</t>
        </is>
      </c>
      <c r="B177" s="103" t="inlineStr">
        <is>
          <t>THAI</t>
        </is>
      </c>
      <c r="C177" s="103" t="inlineStr">
        <is>
          <t>DESCRIPTION</t>
        </is>
      </c>
      <c r="D177" s="103" t="inlineStr">
        <is>
          <t>PART NO.</t>
        </is>
      </c>
      <c r="E177" s="103" t="inlineStr">
        <is>
          <t>KG/m</t>
        </is>
      </c>
      <c r="F177" s="104" t="inlineStr">
        <is>
          <t>DRAWING</t>
        </is>
      </c>
      <c r="G177" s="103" t="inlineStr">
        <is>
          <t>PER</t>
        </is>
      </c>
      <c r="H177" s="104" t="inlineStr">
        <is>
          <t>QUANTITY</t>
        </is>
      </c>
      <c r="I177" s="104" t="inlineStr">
        <is>
          <t>Pack QTY</t>
        </is>
      </c>
      <c r="J177" s="115" t="inlineStr">
        <is>
          <t>TOTAL</t>
        </is>
      </c>
      <c r="N177" s="101" t="inlineStr">
        <is>
          <t>Glass size</t>
        </is>
      </c>
      <c r="O177" s="246" t="inlineStr">
        <is>
          <t>THAI</t>
        </is>
      </c>
      <c r="P177" s="246" t="inlineStr">
        <is>
          <t>DESCRIPTION</t>
        </is>
      </c>
      <c r="Q177" s="246" t="inlineStr">
        <is>
          <t>PART NO.</t>
        </is>
      </c>
      <c r="R177" s="246" t="inlineStr">
        <is>
          <t>KG/m</t>
        </is>
      </c>
      <c r="S177" s="246" t="inlineStr">
        <is>
          <t>DRAWING</t>
        </is>
      </c>
      <c r="T177" s="246" t="inlineStr">
        <is>
          <t>PER</t>
        </is>
      </c>
      <c r="U177" s="246" t="inlineStr">
        <is>
          <t>QUANTITY</t>
        </is>
      </c>
      <c r="V177" s="246" t="inlineStr">
        <is>
          <t>Pack QTY</t>
        </is>
      </c>
      <c r="W177" s="246" t="inlineStr">
        <is>
          <t>TOTAL</t>
        </is>
      </c>
    </row>
    <row r="178" ht="18" customFormat="1" customHeight="1" s="278">
      <c r="A178" s="200">
        <f>IF(B178="","",1)</f>
        <v/>
      </c>
      <c r="B178" s="140" t="inlineStr">
        <is>
          <t>ตัวรับกลอน</t>
        </is>
      </c>
      <c r="C178" s="140" t="inlineStr">
        <is>
          <t xml:space="preserve">FLUSH BOLT RECEIVER </t>
        </is>
      </c>
      <c r="D178" s="139" t="inlineStr">
        <is>
          <t>04-016</t>
        </is>
      </c>
      <c r="E178" s="143" t="n"/>
      <c r="F178" s="143" t="inlineStr">
        <is>
          <t>04-016</t>
        </is>
      </c>
      <c r="G178" s="143" t="inlineStr">
        <is>
          <t>PC</t>
        </is>
      </c>
      <c r="H178" s="143" t="n">
        <v>1</v>
      </c>
      <c r="I178" s="130" t="n"/>
      <c r="J178" s="131">
        <f>$J$120*H178</f>
        <v/>
      </c>
      <c r="N178" s="101" t="inlineStr">
        <is>
          <t>5,6,18</t>
        </is>
      </c>
      <c r="O178" s="280" t="inlineStr">
        <is>
          <t>5,6,18 mm ยางรองกระจก</t>
        </is>
      </c>
      <c r="P178" s="415" t="inlineStr">
        <is>
          <t>5,6,18 mm CAPTIVE WEDGE</t>
        </is>
      </c>
      <c r="Q178" s="280" t="inlineStr">
        <is>
          <t>02-022</t>
        </is>
      </c>
      <c r="R178" s="213" t="n"/>
      <c r="S178" s="213" t="inlineStr">
        <is>
          <t>02-022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หมอนรองกระจก</t>
        </is>
      </c>
      <c r="C179" s="140" t="inlineStr">
        <is>
          <t>SETTING BLOCK</t>
        </is>
      </c>
      <c r="D179" s="139" t="inlineStr">
        <is>
          <t>02-037</t>
        </is>
      </c>
      <c r="E179" s="143" t="n"/>
      <c r="F179" s="143" t="inlineStr">
        <is>
          <t>02-037</t>
        </is>
      </c>
      <c r="G179" s="143" t="inlineStr">
        <is>
          <t>PC</t>
        </is>
      </c>
      <c r="H179" s="143" t="n">
        <v>6</v>
      </c>
      <c r="I179" s="130" t="n"/>
      <c r="J179" s="131">
        <f>$J$120*H179</f>
        <v/>
      </c>
      <c r="N179" s="101" t="inlineStr">
        <is>
          <t>12,20</t>
        </is>
      </c>
      <c r="O179" s="280" t="inlineStr">
        <is>
          <t>12,20 mm ยางรองกระจก</t>
        </is>
      </c>
      <c r="P179" s="415" t="inlineStr">
        <is>
          <t>12,20 mm CAPTIVE WEDGE</t>
        </is>
      </c>
      <c r="Q179" s="280" t="inlineStr">
        <is>
          <t>02-032</t>
        </is>
      </c>
      <c r="R179" s="213" t="n"/>
      <c r="S179" s="213" t="inlineStr">
        <is>
          <t>02-032</t>
        </is>
      </c>
      <c r="T179" s="213" t="inlineStr">
        <is>
          <t>M</t>
        </is>
      </c>
      <c r="U179" s="650">
        <f>((($I$141*$G$141)+($I$142*$G$142)+($I$143*$G$143)+($I$144*$G$144)+($I$145*$G$145))/1000)*$J$120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ประเก็นเฟรมบน</t>
        </is>
      </c>
      <c r="C180" s="140" t="inlineStr">
        <is>
          <t>FRAME SEAL BI-FOLD HEAD (L/R)</t>
        </is>
      </c>
      <c r="D180" s="139" t="inlineStr">
        <is>
          <t>02-015</t>
        </is>
      </c>
      <c r="E180" s="143" t="n"/>
      <c r="F180" s="143" t="inlineStr">
        <is>
          <t>02-015</t>
        </is>
      </c>
      <c r="G180" s="143" t="inlineStr">
        <is>
          <t>PC</t>
        </is>
      </c>
      <c r="H180" s="143" t="n">
        <v>2</v>
      </c>
      <c r="I180" s="130" t="n"/>
      <c r="J180" s="131">
        <f>$J$120*H180</f>
        <v/>
      </c>
      <c r="N180" s="101" t="inlineStr">
        <is>
          <t>5,8,10,12,18</t>
        </is>
      </c>
      <c r="O180" s="415" t="inlineStr">
        <is>
          <t>5,8,10,12,18 mmยางอัดกระจก</t>
        </is>
      </c>
      <c r="P180" s="415" t="inlineStr">
        <is>
          <t>5,8,10,12,18 mm ROLL IN WEDGE</t>
        </is>
      </c>
      <c r="Q180" s="280" t="inlineStr">
        <is>
          <t>02-033</t>
        </is>
      </c>
      <c r="R180" s="213" t="n"/>
      <c r="S180" s="213" t="inlineStr">
        <is>
          <t>02-033</t>
        </is>
      </c>
      <c r="T180" s="213" t="inlineStr">
        <is>
          <t>M</t>
        </is>
      </c>
      <c r="U180" s="650">
        <f>((($I$141*$G$141)+($I$142*$G$142)+($I$143*$G$143)+($I$144*$G$144)+($I$145*$G$145))/1000)*$J$120</f>
        <v/>
      </c>
      <c r="V180" s="650" t="n">
        <v>100</v>
      </c>
      <c r="W180" s="651">
        <f>ROUNDUP((U180)/100,0)</f>
        <v/>
      </c>
    </row>
    <row r="181" ht="18" customFormat="1" customHeight="1" s="278">
      <c r="A181" s="201">
        <f>IF(B181="","",+A180+1)</f>
        <v/>
      </c>
      <c r="B181" s="140" t="inlineStr">
        <is>
          <t>ประเก็นเฟรมล่าง</t>
        </is>
      </c>
      <c r="C181" s="140" t="inlineStr">
        <is>
          <t>FRAME SEAL BI-FOLD SILL (L/R)</t>
        </is>
      </c>
      <c r="D181" s="139" t="inlineStr">
        <is>
          <t>02-016</t>
        </is>
      </c>
      <c r="E181" s="143" t="n"/>
      <c r="F181" s="143" t="inlineStr">
        <is>
          <t>02-016</t>
        </is>
      </c>
      <c r="G181" s="143" t="inlineStr">
        <is>
          <t>PC</t>
        </is>
      </c>
      <c r="H181" s="143" t="n">
        <v>2</v>
      </c>
      <c r="I181" s="130" t="n"/>
      <c r="J181" s="131">
        <f>$J$120*H181</f>
        <v/>
      </c>
      <c r="N181" s="101" t="inlineStr">
        <is>
          <t>6,20</t>
        </is>
      </c>
      <c r="O181" s="415" t="inlineStr">
        <is>
          <t>6,20 mm ยางอัดกระจก</t>
        </is>
      </c>
      <c r="P181" s="415" t="inlineStr">
        <is>
          <t>6,20 mm ROLL IN WEDGE</t>
        </is>
      </c>
      <c r="Q181" s="280" t="inlineStr">
        <is>
          <t>02-034</t>
        </is>
      </c>
      <c r="R181" s="213" t="n"/>
      <c r="S181" s="213" t="inlineStr">
        <is>
          <t>02-034</t>
        </is>
      </c>
      <c r="T181" s="213" t="inlineStr">
        <is>
          <t>M</t>
        </is>
      </c>
      <c r="U181" s="650">
        <f>((($I$141*$G$141)+($I$142*$G$142)+($I$143*$G$143)+($I$144*$G$144)+($I$145*$G$145))/1000)*$J$120</f>
        <v/>
      </c>
      <c r="V181" s="650" t="n">
        <v>100</v>
      </c>
      <c r="W181" s="651">
        <f>ROUNDUP((U181)/100,0)</f>
        <v/>
      </c>
    </row>
    <row r="182" ht="18" customFormat="1" customHeight="1" s="278">
      <c r="A182" s="201">
        <f>IF(B182="","",+A181+1)</f>
        <v/>
      </c>
      <c r="B182" s="140" t="inlineStr">
        <is>
          <t>สกรู × 38</t>
        </is>
      </c>
      <c r="C182" s="140" t="inlineStr">
        <is>
          <t>#8x38 mm. SS PH SELF TAPPING SCREW</t>
        </is>
      </c>
      <c r="D182" s="139" t="n">
        <v>9</v>
      </c>
      <c r="E182" s="143" t="n"/>
      <c r="F182" s="143" t="n">
        <v>9</v>
      </c>
      <c r="G182" s="143" t="inlineStr">
        <is>
          <t>PC</t>
        </is>
      </c>
      <c r="H182" s="143" t="n">
        <v>24</v>
      </c>
      <c r="I182" s="130" t="n"/>
      <c r="J182" s="131">
        <f>$J$120*H182</f>
        <v/>
      </c>
      <c r="N182" s="101" t="inlineStr">
        <is>
          <t>8,14</t>
        </is>
      </c>
      <c r="O182" s="415" t="inlineStr">
        <is>
          <t>8,14 mm ยางอัดกระจก</t>
        </is>
      </c>
      <c r="P182" s="415" t="inlineStr">
        <is>
          <t>8,14 mm ROLL IN WEDGE</t>
        </is>
      </c>
      <c r="Q182" s="280" t="inlineStr">
        <is>
          <t>02-045</t>
        </is>
      </c>
      <c r="R182" s="213" t="n"/>
      <c r="S182" s="213" t="inlineStr">
        <is>
          <t>02-045</t>
        </is>
      </c>
      <c r="T182" s="213" t="inlineStr">
        <is>
          <t>M</t>
        </is>
      </c>
      <c r="U182" s="650">
        <f>((($I$141*$G$141)+($I$142*$G$142)+($I$143*$G$143)+($I$144*$G$144)+($I$145*$G$145))/1000)*$J$120</f>
        <v/>
      </c>
      <c r="V182" s="650" t="n">
        <v>100</v>
      </c>
      <c r="W182" s="651">
        <f>ROUNDUP((U182)/100,0)</f>
        <v/>
      </c>
    </row>
    <row r="183" ht="18" customFormat="1" customHeight="1" s="278">
      <c r="A183" s="201">
        <f>IF(B183="","",+A182+1)</f>
        <v/>
      </c>
      <c r="B183" s="140" t="inlineStr">
        <is>
          <t>สกรู × 12</t>
        </is>
      </c>
      <c r="C183" s="140" t="inlineStr">
        <is>
          <t>#8x12 mm. CSK SELF TAPPING SCREW</t>
        </is>
      </c>
      <c r="D183" s="139" t="n">
        <v>9</v>
      </c>
      <c r="E183" s="143" t="n"/>
      <c r="F183" s="143" t="n">
        <v>9</v>
      </c>
      <c r="G183" s="143" t="inlineStr">
        <is>
          <t>PC</t>
        </is>
      </c>
      <c r="H183" s="143" t="n">
        <v>48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ชุดล้อแขวนบานตายซ้าย</t>
        </is>
      </c>
      <c r="C184" s="140" t="inlineStr">
        <is>
          <t>Left Hand Pivot Set</t>
        </is>
      </c>
      <c r="D184" s="139" t="inlineStr">
        <is>
          <t>05-006</t>
        </is>
      </c>
      <c r="E184" s="143" t="n"/>
      <c r="F184" s="143" t="inlineStr">
        <is>
          <t>05-006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</row>
    <row r="185" ht="18" customFormat="1" customHeight="1" s="278">
      <c r="A185" s="201">
        <f>IF(B185="","",+A184+1)</f>
        <v/>
      </c>
      <c r="B185" s="140" t="inlineStr">
        <is>
          <t>ชุดล้อแขวนบานตายขวา</t>
        </is>
      </c>
      <c r="C185" s="140" t="inlineStr">
        <is>
          <t>Right Hand Pivot Set</t>
        </is>
      </c>
      <c r="D185" s="139" t="inlineStr">
        <is>
          <t>05-007</t>
        </is>
      </c>
      <c r="E185" s="143" t="n"/>
      <c r="F185" s="143" t="inlineStr">
        <is>
          <t>05-007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</row>
    <row r="186" ht="18" customFormat="1" customHeight="1" s="278">
      <c r="A186" s="201">
        <f>IF(B186="","",+A185+1)</f>
        <v/>
      </c>
      <c r="B186" s="140" t="inlineStr">
        <is>
          <t>ชุดล้อแขวนบานเปิด</t>
        </is>
      </c>
      <c r="C186" s="140" t="inlineStr">
        <is>
          <t>Left Hand End Carrier Set</t>
        </is>
      </c>
      <c r="D186" s="139" t="inlineStr">
        <is>
          <t>05-008</t>
        </is>
      </c>
      <c r="E186" s="143" t="n"/>
      <c r="F186" s="143" t="inlineStr">
        <is>
          <t>05-008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</row>
    <row r="187" ht="18" customFormat="1" customHeight="1" s="278">
      <c r="A187" s="201">
        <f>IF(B187="","",+A186+1)</f>
        <v/>
      </c>
      <c r="B187" s="140" t="inlineStr">
        <is>
          <t>ชุดบานพับมีมือจับ</t>
        </is>
      </c>
      <c r="C187" s="140" t="inlineStr">
        <is>
          <t>Standard Hinge Handle Set</t>
        </is>
      </c>
      <c r="D187" s="139" t="inlineStr">
        <is>
          <t>05-004</t>
        </is>
      </c>
      <c r="E187" s="143" t="n"/>
      <c r="F187" s="143" t="inlineStr">
        <is>
          <t>05-004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278" t="n"/>
      <c r="O187" s="278" t="n"/>
      <c r="P187" s="278" t="n"/>
      <c r="Q187" s="442" t="n"/>
      <c r="R187" s="442" t="n"/>
      <c r="S187" s="442" t="n"/>
      <c r="T187" s="109" t="n"/>
      <c r="U187" s="109" t="n"/>
      <c r="V187" s="109" t="n"/>
      <c r="W187" s="278" t="n"/>
    </row>
    <row r="188" ht="18" customFormat="1" customHeight="1" s="278">
      <c r="A188" s="201">
        <f>IF(B188="","",+A187+1)</f>
        <v/>
      </c>
      <c r="B188" s="140" t="inlineStr">
        <is>
          <t>ชุดสลักล็อค</t>
        </is>
      </c>
      <c r="C188" s="140" t="inlineStr">
        <is>
          <t>Twin Bolt + Rods</t>
        </is>
      </c>
      <c r="D188" s="139" t="inlineStr">
        <is>
          <t>05-014</t>
        </is>
      </c>
      <c r="E188" s="143" t="n"/>
      <c r="F188" s="143" t="inlineStr">
        <is>
          <t>05-014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FRAME SEAL</t>
        </is>
      </c>
      <c r="O188" s="246" t="inlineStr">
        <is>
          <t>THAI</t>
        </is>
      </c>
      <c r="P188" s="246" t="inlineStr">
        <is>
          <t>DESCRIPTION</t>
        </is>
      </c>
      <c r="Q188" s="246" t="inlineStr">
        <is>
          <t>PART NO.</t>
        </is>
      </c>
      <c r="R188" s="246" t="inlineStr">
        <is>
          <t>KG/m</t>
        </is>
      </c>
      <c r="S188" s="246" t="inlineStr">
        <is>
          <t>DRAWING</t>
        </is>
      </c>
      <c r="T188" s="246" t="inlineStr">
        <is>
          <t>PER</t>
        </is>
      </c>
      <c r="U188" s="246" t="inlineStr">
        <is>
          <t>QUANTITY</t>
        </is>
      </c>
      <c r="V188" s="246" t="inlineStr">
        <is>
          <t>Pack QTY</t>
        </is>
      </c>
      <c r="W188" s="246" t="inlineStr">
        <is>
          <t>TOTAL</t>
        </is>
      </c>
    </row>
    <row r="189" ht="18" customFormat="1" customHeight="1" s="278">
      <c r="A189" s="201">
        <f>IF(B189="","",+A188+1)</f>
        <v/>
      </c>
      <c r="B189" s="140" t="inlineStr">
        <is>
          <t>ชุดมือจับล็อค</t>
        </is>
      </c>
      <c r="C189" s="140" t="inlineStr">
        <is>
          <t>Stainless steel mortise lock,handle,cylinder</t>
        </is>
      </c>
      <c r="D189" s="139" t="inlineStr">
        <is>
          <t>00-024 or 00-027</t>
        </is>
      </c>
      <c r="E189" s="143" t="n"/>
      <c r="F189" s="143" t="inlineStr">
        <is>
          <t>00-024 or 00-027</t>
        </is>
      </c>
      <c r="G189" s="143" t="inlineStr">
        <is>
          <t>SET</t>
        </is>
      </c>
      <c r="H189" s="143" t="n">
        <v>1</v>
      </c>
      <c r="I189" s="144" t="n"/>
      <c r="J189" s="131">
        <f>$J$120*H189</f>
        <v/>
      </c>
      <c r="N189" s="101" t="inlineStr">
        <is>
          <t>ธรรมดา</t>
        </is>
      </c>
      <c r="O189" s="415" t="inlineStr">
        <is>
          <t>ยางเฟรมกันน้ำ (ธรรมดา)</t>
        </is>
      </c>
      <c r="P189" s="415" t="inlineStr">
        <is>
          <t>FRAME SEAL (Standard)</t>
        </is>
      </c>
      <c r="Q189" s="280" t="inlineStr">
        <is>
          <t>02-026</t>
        </is>
      </c>
      <c r="R189" s="213" t="n"/>
      <c r="S189" s="213" t="inlineStr">
        <is>
          <t>02-026</t>
        </is>
      </c>
      <c r="T189" s="213" t="inlineStr">
        <is>
          <t>M</t>
        </is>
      </c>
      <c r="U189" s="650">
        <f>((($I$134*$G$134)+($I$136*$G$136)+($I$139*$G$139))/1000)*$J$120</f>
        <v/>
      </c>
      <c r="V189" s="650" t="n">
        <v>300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ตัวประคองสลักล็อค</t>
        </is>
      </c>
      <c r="C190" s="140" t="inlineStr">
        <is>
          <t>Guide twin Bolt Rods</t>
        </is>
      </c>
      <c r="D190" s="139" t="inlineStr">
        <is>
          <t>04-009</t>
        </is>
      </c>
      <c r="E190" s="143" t="n"/>
      <c r="F190" s="143" t="inlineStr">
        <is>
          <t>04-009</t>
        </is>
      </c>
      <c r="G190" s="143" t="inlineStr">
        <is>
          <t>PC</t>
        </is>
      </c>
      <c r="H190" s="143" t="n">
        <v>2</v>
      </c>
      <c r="I190" s="144" t="n"/>
      <c r="J190" s="131">
        <f>$J$120*H190</f>
        <v/>
      </c>
      <c r="N190" s="101" t="inlineStr">
        <is>
          <t>กันเสียง</t>
        </is>
      </c>
      <c r="O190" s="415" t="inlineStr">
        <is>
          <t>ยางเฟรมกันน้ำ (กันเสียง)</t>
        </is>
      </c>
      <c r="P190" s="415" t="inlineStr">
        <is>
          <t>FRAME SEAL (Soumdproof)</t>
        </is>
      </c>
      <c r="Q190" s="280" t="inlineStr">
        <is>
          <t>02-025</t>
        </is>
      </c>
      <c r="R190" s="213" t="n"/>
      <c r="S190" s="213" t="inlineStr">
        <is>
          <t>02-025</t>
        </is>
      </c>
      <c r="T190" s="213" t="inlineStr">
        <is>
          <t>M</t>
        </is>
      </c>
      <c r="U190" s="650">
        <f>((($I$134*$G$134)+($I$136*$G$136)+($I$139*$G$139))/1000)*$J$120</f>
        <v/>
      </c>
      <c r="V190" s="650" t="n">
        <v>100</v>
      </c>
      <c r="W190" s="651">
        <f>ROUNDUP((U190)/V190,0)</f>
        <v/>
      </c>
    </row>
    <row r="191" ht="18" customFormat="1" customHeight="1" s="278">
      <c r="A191" s="201">
        <f>IF(B191="","",+A190+1)</f>
        <v/>
      </c>
      <c r="B191" s="140" t="inlineStr">
        <is>
          <t>รางเสริมเปลี่ยนล้อ</t>
        </is>
      </c>
      <c r="C191" s="140" t="inlineStr">
        <is>
          <t>35 SERIES TRACK INSERT</t>
        </is>
      </c>
      <c r="D191" s="139" t="inlineStr">
        <is>
          <t>04-004</t>
        </is>
      </c>
      <c r="E191" s="143" t="n"/>
      <c r="F191" s="143" t="inlineStr">
        <is>
          <t>04-004</t>
        </is>
      </c>
      <c r="G191" s="143" t="inlineStr">
        <is>
          <t>PC</t>
        </is>
      </c>
      <c r="H191" s="143" t="n">
        <v>1</v>
      </c>
      <c r="I191" s="144" t="n"/>
      <c r="J191" s="131">
        <f>$J$120*H191</f>
        <v/>
      </c>
      <c r="N191" s="101" t="inlineStr">
        <is>
          <t>ธรรมดา</t>
        </is>
      </c>
      <c r="O191" s="415" t="inlineStr">
        <is>
          <t>ยางแซชกันน้ำ (ธรรมดา)</t>
        </is>
      </c>
      <c r="P191" s="415" t="inlineStr">
        <is>
          <t>SASH SEAL FOAM (Standard)</t>
        </is>
      </c>
      <c r="Q191" s="280" t="inlineStr">
        <is>
          <t>02-031</t>
        </is>
      </c>
      <c r="R191" s="213" t="n"/>
      <c r="S191" s="213" t="inlineStr">
        <is>
          <t>02-031</t>
        </is>
      </c>
      <c r="T191" s="213" t="inlineStr">
        <is>
          <t>M</t>
        </is>
      </c>
      <c r="U191" s="650">
        <f>((($I$143*$G$143*2)+($I$144*$G$144*2)+($I$141*$G$141*2))/1000)*$J$120</f>
        <v/>
      </c>
      <c r="V191" s="650" t="n">
        <v>350</v>
      </c>
      <c r="W191" s="651">
        <f>ROUNDUP((U191)/V191,0)</f>
        <v/>
      </c>
    </row>
    <row r="192" ht="18" customFormat="1" customHeight="1" s="278">
      <c r="A192" s="201">
        <f>IF(B192="","",+A191+1)</f>
        <v/>
      </c>
      <c r="B192" s="139">
        <f>IF($D$129="Standard",$O$189,IF($D$129="Soumdproof",$O$190,))</f>
        <v/>
      </c>
      <c r="C192" s="139">
        <f>IF($D$129="Standard",$P$189,IF($D$129="Soumdproof",$P$190,))</f>
        <v/>
      </c>
      <c r="D192" s="139">
        <f>IF($D$129="Standard",$Q$189,IF($D$129="Soumdproof",$Q$190,))</f>
        <v/>
      </c>
      <c r="E192" s="143">
        <f>IF($D$129="Standard",R190,IF($D$129="Soumdproof",R191,))</f>
        <v/>
      </c>
      <c r="F192" s="143">
        <f>IF($D$129="Standard",$S$189,IF($D$129="Soumdproof",$S$190,))</f>
        <v/>
      </c>
      <c r="G192" s="143">
        <f>IF($D$129="Standard",$T$189,IF($D$129="Soumdproof",$T$190,))</f>
        <v/>
      </c>
      <c r="H192" s="652">
        <f>IF($D$129="Standard",$U$189,IF($D$129="Soumdproof",$U$190,))</f>
        <v/>
      </c>
      <c r="I192" s="653">
        <f>IF($D$129="Standard",$V$189,IF($D$129="Soumdproof",$V$190,))</f>
        <v/>
      </c>
      <c r="J192" s="655">
        <f>ROUNDUP((H192)/100,0)</f>
        <v/>
      </c>
      <c r="N192" s="101" t="inlineStr">
        <is>
          <t>กันเสียง</t>
        </is>
      </c>
      <c r="O192" s="415" t="inlineStr">
        <is>
          <t>ยางแซชกันน้ำ (กันเสียง)</t>
        </is>
      </c>
      <c r="P192" s="415" t="inlineStr">
        <is>
          <t>SASH SEAL FOAM (Soumdproof)</t>
        </is>
      </c>
      <c r="Q192" s="280" t="inlineStr">
        <is>
          <t>02-035</t>
        </is>
      </c>
      <c r="R192" s="213" t="n"/>
      <c r="S192" s="213" t="inlineStr">
        <is>
          <t>02-035</t>
        </is>
      </c>
      <c r="T192" s="213" t="inlineStr">
        <is>
          <t>M</t>
        </is>
      </c>
      <c r="U192" s="650">
        <f>((($I$143*$G$143*2)+($I$144*$G$144*2)+($I$141*$G$141*2))/1000)*$J$120</f>
        <v/>
      </c>
      <c r="V192" s="650" t="n">
        <v>100</v>
      </c>
      <c r="W192" s="651">
        <f>ROUNDUP((U192)/V192,0)</f>
        <v/>
      </c>
    </row>
    <row r="193" ht="18" customFormat="1" customHeight="1" s="278">
      <c r="A193" s="201">
        <f>IF(B193="","",+A192+1)</f>
        <v/>
      </c>
      <c r="B193" s="139">
        <f>IF($D$129="Standard",$O$191,IF($D$129="Soumdproof",$O$192,))</f>
        <v/>
      </c>
      <c r="C193" s="139">
        <f>IF($D$129="Standard",$P$191,IF($D$129="Soumdproof",$P$192,))</f>
        <v/>
      </c>
      <c r="D193" s="139">
        <f>IF($D$129="Standard",$Q$191,IF($D$129="Soumdproof",$Q$192,))</f>
        <v/>
      </c>
      <c r="E193" s="143">
        <f>IF($D$129="Standard",R192,IF($D$129="Soumdproof",R193,))</f>
        <v/>
      </c>
      <c r="F193" s="143">
        <f>IF($D$129="Standard",$S$191,IF($D$129="Soumdproof",$S$192,))</f>
        <v/>
      </c>
      <c r="G193" s="143">
        <f>IF($D$129="Standard",$T$191,IF($D$129="Soumdproof",$T$192,))</f>
        <v/>
      </c>
      <c r="H193" s="652">
        <f>IF($D$129="Standard",$U$191,IF($D$129="Soumdproof",$U$192,))</f>
        <v/>
      </c>
      <c r="I193" s="653">
        <f>IF($D$129="Standard",$V$191,IF($D$129="Soumdproof",$V$192,))</f>
        <v/>
      </c>
      <c r="J193" s="655">
        <f>ROUNDUP((H193)/100,0)</f>
        <v/>
      </c>
    </row>
    <row r="194" ht="18" customFormat="1" customHeight="1" s="278">
      <c r="A194" s="201">
        <f>IF(B194="","",+A193+1)</f>
        <v/>
      </c>
      <c r="B194" s="296">
        <f>IF($D$127=5,$O$180,IF($D$127=6,$O$181,IF($D$127=8,$O$182,IF($D$127=10,$O$180,IF($D$127=12,$O$180,IF($D$127=14,$O$182,IF($D$127=18,$O$180,IF($D$127=20,$O$181,IF($D$127=22,"")))))))))</f>
        <v/>
      </c>
      <c r="C194" s="296">
        <f>IF($D$127=5,$P$180,IF($D$127=6,$P$181,IF($D$127=8,$P$182,IF($D$127=10,$P$180,IF($D$127=12,$P$180,IF($D$127=14,$P$182,IF($D$127=18,$P$180,IF($D$127=20,$P$181,IF($D$127=22,"")))))))))</f>
        <v/>
      </c>
      <c r="D194" s="296">
        <f>IF($D$127=5,$Q$180,IF($D$127=6,$Q$181,IF($D$127=8,$Q$182,IF($D$127=10,$Q$180,IF($D$127=12,$Q$180,IF($D$127=14,$Q$182,IF($D$127=18,$Q$180,IF($D$127=20,$Q$181,IF($D$127=22,"")))))))))</f>
        <v/>
      </c>
      <c r="E194" s="296">
        <f>IF($D$127=5,R181,IF($D$127=6,R182,IF($D$127=8,R183,IF($D$127=10,R181,IF($D$127=12,R181,IF($D$127=14,R183,IF($D$127=18,R181,IF($D$127=20,R182,IF($D$127=22,"",)))))))))</f>
        <v/>
      </c>
      <c r="F194" s="242">
        <f>IF($D$127=5,$S$180,IF($D$127=6,$S$181,IF($D$127=8,$S$182,IF($D$127=10,$S$180,IF($D$127=12,$S$180,IF($D$127=14,$S$182,IF($D$127=18,$S$180,IF($D$127=20,$S$181,IF($D$127=22,"")))))))))</f>
        <v/>
      </c>
      <c r="G194" s="242">
        <f>IF($D$127=5,$T$180,IF($D$127=6,$T$181,IF($D$127=8,$T$182,IF($D$127=10,$T$180,IF($D$127=12,$T$180,IF($D$127=14,$T$182,IF($D$127=18,$T$180,IF($D$127=20,$T$181,IF($D$127=22,"")))))))))</f>
        <v/>
      </c>
      <c r="H194" s="652">
        <f>IF($D$127=5,$U$180,IF($D$127=6,$U$181,IF($D$127=8,$U$182,IF($D$127=10,$U$180*2,IF($D$127=12,$U$180,IF($D$127=14,$U$182*2,IF($D$127=18,$U$180,IF($D$127=20,$U$181,IF($D$127=22,"")))))))))</f>
        <v/>
      </c>
      <c r="I194" s="653">
        <f>IF($D$127=5,$V$180,IF($D$127=6,$V$181,IF($D$127=8,$V$182,IF($D$127=10,$V$180,IF($D$127=12,$V$180,IF($D$127=14,$V$182,IF($D$127=18,$V$180,IF($D$127=20,$V$181,IF($D$127=22,"")))))))))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IF($D$127=5,$O$178,IF($D$127=6,$O$178,IF($D$127=8,$O$180,IF($D$127=10,"",IF($D$127=12,$O$179,IF($D$127=14,"",IF($D$127=18,$O$178,IF($D$127=20,$O$179,IF($D$127=22,"",)))))))))</f>
        <v/>
      </c>
      <c r="C195" s="296">
        <f>IF($D$127=5,$P$178,IF($D$127=6,$P$178,IF($D$127=8,$P$180,IF($D$127=10,"",IF($D$127=12,$P$179,IF($D$127=14,"",IF($D$127=18,$P$178,IF($D$127=20,$P$179,IF($D$127=22,"",)))))))))</f>
        <v/>
      </c>
      <c r="D195" s="296">
        <f>IF($D$127=5,$Q$178,IF($D$127=6,$Q$178,IF($D$127=8,$Q$180,IF($D$127=10,"",IF($D$127=12,$Q$179,IF($D$127=14,"",IF($D$127=18,$Q$178,IF($D$127=20,$Q$179,IF($D$127=22,"",)))))))))</f>
        <v/>
      </c>
      <c r="E195" s="296">
        <f>IF($D$127=5,R179,IF($D$127=6,R179,IF($D$127=8,R181,IF($D$127=10,"",IF($D$127=12,R180,IF($D$127=14,"",IF($D$127=18,R179,IF($D$127=20,R180,IF($D$127=22,"",)))))))))</f>
        <v/>
      </c>
      <c r="F195" s="242">
        <f>IF($D$127=5,$S$178,IF($D$127=6,$S$178,IF($D$127=8,$S$180,IF($D$127=10,"",IF($D$127=12,$S$179,IF($D$127=14,"",IF($D$127=18,$S$178,IF($D$127=20,$S$179,IF($D$127=22,"",)))))))))</f>
        <v/>
      </c>
      <c r="G195" s="242">
        <f>IF($D$127=5,$T$178,IF($D$127=6,$T$178,IF($D$127=8,$T$180,IF($D$127=10,"",IF($D$127=12,$T$179,IF($D$127=14,"",IF($D$127=18,$T$178,IF($D$127=20,$T$179,IF($D$127=22,"",)))))))))</f>
        <v/>
      </c>
      <c r="H195" s="652">
        <f>IF($D$127=5,$U$178,IF($D$127=6,$U$178,IF($D$127=8,$U$180,IF($D$127=10,"",IF($D$127=12,$U$179,IF($D$127=14,"",IF($D$127=18,$U$178,IF($D$127=20,$U$179,IF($D$127=22,"")))))))))</f>
        <v/>
      </c>
      <c r="I195" s="653">
        <f>IF($D$127=5,$V$178,IF($D$127=6,$V$178,IF($D$127=8,$V$180,IF($D$127=10,"",IF($D$127=12,$V$179,IF($D$127=14,"",IF($D$127=18,$V$178,IF($D$127=20,$V$179,IF($D$127=22,"",)))))))))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44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Height="1" s="344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  <c r="Y198" s="278" t="n"/>
      <c r="Z198" s="278" t="n"/>
      <c r="AA198" s="278" t="n"/>
      <c r="AB198" s="278" t="n"/>
      <c r="AC198" s="278" t="n"/>
      <c r="AD198" s="278" t="n"/>
      <c r="AE198" s="278" t="n"/>
      <c r="AF198" s="278" t="n"/>
      <c r="AG198" s="278" t="n"/>
      <c r="AH198" s="278" t="n"/>
      <c r="AI198" s="278" t="n"/>
      <c r="AJ198" s="278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 t="n"/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  <c r="P202" s="334" t="n"/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 t="n"/>
    </row>
    <row r="205" ht="18" customFormat="1" customHeight="1" s="278">
      <c r="A205" s="201">
        <f>IF(B205="","",+A204+1)</f>
        <v/>
      </c>
      <c r="B205" s="140" t="n"/>
      <c r="C205" s="140" t="n"/>
      <c r="D205" s="139" t="n"/>
      <c r="E205" s="143" t="n"/>
      <c r="F205" s="143" t="n"/>
      <c r="G205" s="143" t="n"/>
      <c r="H205" s="143" t="n"/>
      <c r="I205" s="130" t="n"/>
      <c r="J205" s="131">
        <f>$J$120*H205</f>
        <v/>
      </c>
    </row>
    <row r="206" ht="18" customFormat="1" customHeight="1" s="278">
      <c r="A206" s="306" t="n"/>
      <c r="B206" s="142" t="n"/>
      <c r="C206" s="142" t="n"/>
      <c r="D206" s="141" t="n"/>
      <c r="E206" s="240" t="n"/>
      <c r="F206" s="240" t="n"/>
      <c r="G206" s="240" t="n"/>
      <c r="H206" s="240" t="n"/>
      <c r="I206" s="136" t="n"/>
      <c r="J206" s="293" t="n"/>
    </row>
    <row r="207" ht="18" customHeight="1" s="344">
      <c r="A207" s="109" t="n"/>
      <c r="B207" s="278" t="n"/>
      <c r="C207" s="278" t="n"/>
      <c r="D207" s="161" t="n"/>
      <c r="E207" s="109" t="n"/>
      <c r="F207" s="109" t="n"/>
      <c r="G207" s="109" t="n"/>
      <c r="H207" s="109" t="n"/>
      <c r="J207" s="99">
        <f>LEFT($J$111,13)&amp;"-02"</f>
        <v/>
      </c>
    </row>
    <row r="208" ht="12.75" customHeight="1" s="344">
      <c r="K208" s="37" t="n"/>
      <c r="L208" s="37" t="n"/>
      <c r="M208" s="2" t="n"/>
      <c r="N208" s="2" t="n"/>
    </row>
    <row r="209" ht="30" customHeight="1" s="344">
      <c r="C209" s="5" t="n"/>
      <c r="D209" s="95" t="n"/>
      <c r="E209" s="95" t="n"/>
      <c r="F209" s="95" t="n"/>
      <c r="G209" s="95" t="n"/>
      <c r="H209" s="95" t="n"/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B211" s="72" t="n"/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8" t="n"/>
      <c r="C212" s="78" t="n"/>
      <c r="D212" s="82" t="n"/>
      <c r="E212" s="78" t="n"/>
      <c r="F212" s="78" t="n"/>
      <c r="G212" s="78" t="n"/>
      <c r="H212" s="7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B215" s="93" t="n"/>
      <c r="C215" s="278" t="n"/>
      <c r="D215" s="161" t="n"/>
      <c r="E215" s="35" t="n"/>
      <c r="F215" s="160" t="n"/>
      <c r="G215" s="160" t="n"/>
      <c r="H215" s="160" t="n"/>
      <c r="I215" s="160" t="n"/>
      <c r="J215" s="532" t="n"/>
    </row>
    <row r="216" ht="15" customFormat="1" customHeight="1" s="278">
      <c r="A216" s="109" t="n"/>
      <c r="B216" s="278" t="n"/>
      <c r="C216" s="89" t="n"/>
      <c r="D216" s="161" t="n"/>
      <c r="E216" s="35" t="n"/>
      <c r="F216" s="161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Height="1" s="344">
      <c r="A218" s="109" t="n"/>
      <c r="B218" s="278" t="n"/>
      <c r="C218" s="542" t="n"/>
      <c r="D218" s="161" t="n"/>
      <c r="E218" s="109" t="n"/>
      <c r="F218" s="161" t="n"/>
      <c r="G218" s="278" t="n"/>
      <c r="H218" s="328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89" t="inlineStr">
        <is>
          <t>Sash Stop</t>
        </is>
      </c>
      <c r="I219" s="161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H220" s="328" t="inlineStr">
        <is>
          <t>= FAME HIGHT - 92.00</t>
        </is>
      </c>
      <c r="I220" s="328" t="n"/>
      <c r="J220" s="328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542" t="inlineStr">
        <is>
          <t>ความสูง (วงกบ) - 92.00</t>
        </is>
      </c>
    </row>
    <row r="222" ht="15.6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H222" s="661">
        <f>$I$148</f>
        <v/>
      </c>
      <c r="I222" s="657">
        <f>$J$148+$J$149</f>
        <v/>
      </c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I223" s="328" t="n"/>
      <c r="J223" s="328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J225" s="109" t="n"/>
    </row>
    <row r="226" ht="15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J226" s="109" t="n"/>
    </row>
    <row r="227" ht="15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J227" s="109" t="n"/>
    </row>
    <row r="228" ht="15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109" t="n"/>
      <c r="J228" s="109" t="n"/>
    </row>
    <row r="229" ht="15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109" t="n"/>
      <c r="J229" s="109" t="n"/>
    </row>
    <row r="230" ht="15" customFormat="1" customHeight="1" s="278">
      <c r="A230" s="532" t="n"/>
      <c r="B230" s="532" t="n"/>
      <c r="C230" s="542" t="n"/>
      <c r="D230" s="161" t="n"/>
      <c r="E230" s="109" t="n"/>
      <c r="F230" s="161" t="n"/>
      <c r="H230" s="109" t="n"/>
      <c r="I230" s="109" t="n"/>
      <c r="J230" s="109" t="n"/>
    </row>
    <row r="231" ht="15.9" customFormat="1" customHeight="1" s="278">
      <c r="A231" s="63" t="n"/>
      <c r="B231" s="63" t="n"/>
      <c r="D231" s="161" t="n"/>
      <c r="E231" s="109" t="n"/>
      <c r="F231" s="161" t="n"/>
      <c r="I231" s="109" t="n"/>
      <c r="J231" s="109" t="n"/>
    </row>
    <row r="232" ht="15.9" customFormat="1" customHeight="1" s="278">
      <c r="A232" s="109" t="n"/>
      <c r="B232" s="109" t="n"/>
      <c r="D232" s="161" t="n"/>
      <c r="E232" s="109" t="n"/>
      <c r="F232" s="161" t="n"/>
      <c r="I232" s="109" t="n"/>
      <c r="J232" s="109" t="n"/>
    </row>
    <row r="233" ht="15.9" customFormat="1" customHeight="1" s="278">
      <c r="A233" s="72" t="n"/>
      <c r="B233" s="278" t="n"/>
      <c r="D233" s="161" t="n"/>
      <c r="E233" s="109" t="n"/>
      <c r="F233" s="109" t="n"/>
      <c r="I233" s="32" t="n"/>
      <c r="J233" s="40" t="n"/>
    </row>
    <row r="234" ht="15.9" customFormat="1" customHeight="1" s="278">
      <c r="A234" s="44" t="n"/>
      <c r="B234" s="44" t="n"/>
      <c r="C234" s="89" t="inlineStr">
        <is>
          <t xml:space="preserve">                          Door Stop Head</t>
        </is>
      </c>
      <c r="D234" s="84" t="n"/>
      <c r="E234" s="44" t="n"/>
      <c r="F234" s="44" t="n"/>
      <c r="G234" s="109" t="n"/>
      <c r="H234" s="109" t="n"/>
      <c r="I234" s="328" t="n"/>
      <c r="J234" s="117" t="n"/>
    </row>
    <row r="235" ht="15.9" customFormat="1" customHeight="1" s="278">
      <c r="A235" s="40" t="n"/>
      <c r="B235" s="40" t="n"/>
      <c r="C235" s="328" t="inlineStr">
        <is>
          <t xml:space="preserve">                          = Frame Width -86</t>
        </is>
      </c>
      <c r="D235" s="85" t="n"/>
      <c r="E235" s="40" t="n"/>
      <c r="F235" s="32" t="n"/>
      <c r="G235" s="109" t="n"/>
      <c r="H235" s="109" t="n"/>
      <c r="I235" s="328" t="n"/>
      <c r="J235" s="117" t="n"/>
    </row>
    <row r="236" ht="15.9" customFormat="1" customHeight="1" s="278">
      <c r="A236" s="109" t="n"/>
      <c r="B236" s="278" t="n"/>
      <c r="C236" s="542" t="inlineStr">
        <is>
          <t xml:space="preserve">                          ความกว้างวงกบ - 86</t>
        </is>
      </c>
      <c r="D236" s="161" t="n"/>
      <c r="E236" s="109" t="n"/>
      <c r="F236" s="161" t="n"/>
      <c r="G236" s="109" t="n"/>
      <c r="H236" s="109" t="n"/>
      <c r="I236" s="328" t="n"/>
      <c r="J236" s="117" t="n"/>
    </row>
    <row r="237" ht="15.9" customFormat="1" customHeight="1" s="278">
      <c r="A237" s="109" t="n"/>
      <c r="B237" s="278" t="n"/>
      <c r="C237" s="656">
        <f>$I$134</f>
        <v/>
      </c>
      <c r="D237" s="161" t="n"/>
      <c r="E237" s="109" t="n"/>
      <c r="F237" s="161" t="n"/>
      <c r="G237" s="109" t="n"/>
      <c r="H237" s="109" t="n"/>
      <c r="I237" s="328" t="n"/>
      <c r="J237" s="117" t="n"/>
    </row>
    <row r="238" ht="15.9" customFormat="1" customHeight="1" s="278">
      <c r="A238" s="109" t="n"/>
      <c r="B238" s="278" t="n"/>
      <c r="C238" s="657">
        <f>$J$134</f>
        <v/>
      </c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C239" s="44" t="n"/>
      <c r="D239" s="161" t="n"/>
      <c r="E239" s="109" t="n"/>
      <c r="F239" s="161" t="n"/>
      <c r="G239" s="109" t="n"/>
      <c r="H239" s="107" t="n"/>
      <c r="J239" s="109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109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36" t="n"/>
      <c r="I243" s="89" t="n"/>
      <c r="J243" s="118" t="n"/>
    </row>
    <row r="244" ht="15.9" customFormat="1" customHeight="1" s="278">
      <c r="A244" s="109" t="n"/>
      <c r="B244" s="278" t="n"/>
      <c r="D244" s="161" t="n"/>
      <c r="E244" s="109" t="n"/>
      <c r="F244" s="161" t="n"/>
      <c r="G244" s="109" t="n"/>
      <c r="H244" s="109" t="n"/>
      <c r="I244" s="328" t="n"/>
      <c r="J244" s="117" t="n"/>
    </row>
    <row r="245" ht="15.9" customFormat="1" customHeight="1" s="278">
      <c r="A245" s="109" t="n"/>
      <c r="B245" s="278" t="n"/>
      <c r="C245" s="89" t="inlineStr">
        <is>
          <t xml:space="preserve">                          Sill</t>
        </is>
      </c>
      <c r="D245" s="161" t="n"/>
      <c r="E245" s="109" t="n"/>
      <c r="F245" s="161" t="n"/>
      <c r="G245" s="109" t="n"/>
      <c r="H245" s="109" t="n"/>
      <c r="I245" s="328" t="n"/>
      <c r="J245" s="117" t="n"/>
    </row>
    <row r="246" ht="15.9" customFormat="1" customHeight="1" s="278">
      <c r="A246" s="109" t="n"/>
      <c r="B246" s="278" t="n"/>
      <c r="C246" s="328" t="inlineStr">
        <is>
          <t xml:space="preserve">                          = Frame Width -60.00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542" t="inlineStr">
        <is>
          <t xml:space="preserve">                          ความกว้าง(วงกบ) - 60.00</t>
        </is>
      </c>
      <c r="D247" s="161" t="n"/>
      <c r="E247" s="109" t="n"/>
      <c r="F247" s="161" t="n"/>
      <c r="G247" s="109" t="n"/>
      <c r="H247" s="109" t="n"/>
      <c r="I247" s="501" t="n"/>
      <c r="J247" s="501" t="n"/>
    </row>
    <row r="248" ht="15.9" customFormat="1" customHeight="1" s="278">
      <c r="A248" s="109" t="n"/>
      <c r="B248" s="278" t="n"/>
      <c r="C248" s="656">
        <f>$I$135</f>
        <v/>
      </c>
      <c r="D248" s="161" t="n"/>
      <c r="E248" s="109" t="n"/>
      <c r="F248" s="161" t="n"/>
      <c r="G248" s="109" t="n"/>
      <c r="H248" s="109" t="n"/>
      <c r="I248" s="109" t="n"/>
      <c r="J248" s="501" t="n"/>
    </row>
    <row r="249" ht="15.9" customFormat="1" customHeight="1" s="278">
      <c r="A249" s="109" t="n"/>
      <c r="B249" s="278" t="n"/>
      <c r="C249" s="657">
        <f>$J$135</f>
        <v/>
      </c>
      <c r="D249" s="161" t="n"/>
      <c r="E249" s="109" t="n"/>
      <c r="F249" s="161" t="n"/>
      <c r="G249" s="109" t="n"/>
      <c r="H249" s="109" t="n"/>
      <c r="I249" s="501" t="n"/>
      <c r="J249" s="501" t="n"/>
    </row>
    <row r="250" ht="15.9" customFormat="1" customHeight="1" s="278">
      <c r="A250" s="109" t="n"/>
      <c r="B250" s="278" t="n"/>
      <c r="C250" s="161" t="n"/>
      <c r="D250" s="161" t="n"/>
      <c r="E250" s="109" t="n"/>
      <c r="F250" s="161" t="n"/>
      <c r="G250" s="109" t="n"/>
      <c r="H250" s="109" t="n"/>
      <c r="I250" s="501" t="n"/>
      <c r="J250" s="501" t="n"/>
    </row>
    <row r="251" ht="15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I251" s="501" t="n"/>
      <c r="J251" s="501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I252" s="44" t="n"/>
      <c r="J252" s="11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4" t="n"/>
      <c r="H253" s="109" t="n"/>
      <c r="I253" s="44" t="n"/>
      <c r="J253" s="119" t="n"/>
    </row>
    <row r="254" ht="15.9" customFormat="1" customHeight="1" s="278">
      <c r="A254" s="109" t="n"/>
      <c r="B254" s="278" t="n"/>
      <c r="C254" s="278" t="n"/>
      <c r="D254" s="161" t="n"/>
      <c r="E254" s="109" t="n"/>
      <c r="F254" s="109" t="n"/>
      <c r="G254" s="40" t="n"/>
      <c r="H254" s="109" t="n"/>
      <c r="I254" s="32" t="n"/>
      <c r="J254" s="40" t="n"/>
    </row>
    <row r="255" ht="15.9" customFormat="1" customHeight="1" s="278">
      <c r="A255" s="109" t="n"/>
      <c r="B255" s="278" t="n"/>
      <c r="D255" s="161" t="n"/>
      <c r="E255" s="109" t="n"/>
      <c r="F255" s="109" t="n"/>
      <c r="G255" s="109" t="n"/>
      <c r="H255" s="109" t="n"/>
      <c r="J255" s="109" t="n"/>
    </row>
    <row r="256" ht="15.9" customFormat="1" customHeight="1" s="278">
      <c r="A256" s="44" t="n"/>
      <c r="B256" s="44" t="n"/>
      <c r="D256" s="84" t="n"/>
      <c r="E256" s="44" t="n"/>
      <c r="F256" s="44" t="n"/>
      <c r="G256" s="109" t="n"/>
      <c r="H256" s="109" t="n"/>
      <c r="J256" s="109" t="n"/>
    </row>
    <row r="257" ht="15.9" customFormat="1" customHeight="1" s="278">
      <c r="A257" s="40" t="n"/>
      <c r="B257" s="40" t="n"/>
      <c r="C257" s="89" t="inlineStr">
        <is>
          <t xml:space="preserve">                          Door Stop Sill</t>
        </is>
      </c>
      <c r="D257" s="85" t="n"/>
      <c r="E257" s="40" t="n"/>
      <c r="F257" s="32" t="n"/>
      <c r="G257" s="109" t="n"/>
      <c r="J257" s="109" t="n"/>
    </row>
    <row r="258" ht="15.9" customFormat="1" customHeight="1" s="278">
      <c r="A258" s="27" t="n"/>
      <c r="B258" s="278" t="n"/>
      <c r="C258" s="328" t="inlineStr">
        <is>
          <t xml:space="preserve">                          = Frame Width -60.00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542" t="inlineStr">
        <is>
          <t xml:space="preserve">                          ความกว้าง(วงกบ) - 60.00</t>
        </is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6">
        <f>$I$136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657">
        <f>$J$136</f>
        <v/>
      </c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287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161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278" t="n"/>
      <c r="D267" s="161" t="n"/>
      <c r="E267" s="109" t="n"/>
      <c r="F267" s="109" t="n"/>
      <c r="G267" s="109" t="n"/>
      <c r="I267" s="501" t="n"/>
      <c r="J267" s="501" t="n"/>
    </row>
    <row r="268" ht="15.9" customFormat="1" customHeight="1" s="278">
      <c r="A268" s="27" t="n"/>
      <c r="B268" s="278" t="n"/>
      <c r="C268" s="89" t="inlineStr">
        <is>
          <t xml:space="preserve">                          JAMB</t>
        </is>
      </c>
      <c r="D268" s="161" t="n"/>
      <c r="E268" s="109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328" t="inlineStr">
        <is>
          <t xml:space="preserve">                                  = FAME HIGHT</t>
        </is>
      </c>
      <c r="D269" s="328" t="n"/>
      <c r="E269" s="328" t="n"/>
      <c r="F269" s="109" t="n"/>
      <c r="G269" s="109" t="n"/>
      <c r="H269" s="109" t="n"/>
      <c r="I269" s="501" t="n"/>
      <c r="J269" s="501" t="n"/>
      <c r="AF269" s="278" t="n">
        <v>6</v>
      </c>
    </row>
    <row r="270" ht="15.9" customFormat="1" customHeight="1" s="278">
      <c r="A270" s="27" t="n"/>
      <c r="B270" s="278" t="n"/>
      <c r="C270" s="542" t="inlineStr">
        <is>
          <t xml:space="preserve">                          ความสูง (วงกบ)</t>
        </is>
      </c>
      <c r="D270" s="542" t="n"/>
      <c r="E270" s="542" t="n"/>
      <c r="F270" s="109" t="n"/>
      <c r="G270" s="109" t="n"/>
      <c r="H270" s="109" t="n"/>
      <c r="I270" s="501" t="n"/>
      <c r="J270" s="501" t="n"/>
    </row>
    <row r="271" ht="15.9" customFormat="1" customHeight="1" s="278">
      <c r="A271" s="27" t="n"/>
      <c r="B271" s="278" t="n"/>
      <c r="C271" s="656">
        <f>$I$137</f>
        <v/>
      </c>
      <c r="D271" s="161" t="n"/>
      <c r="E271" s="109" t="n"/>
      <c r="F271" s="109" t="n"/>
      <c r="G271" s="278" t="n"/>
      <c r="H271" s="278" t="n"/>
      <c r="I271" s="501" t="n"/>
      <c r="J271" s="501" t="n"/>
    </row>
    <row r="272" ht="15.9" customFormat="1" customHeight="1" s="278">
      <c r="A272" s="27" t="n"/>
      <c r="B272" s="278" t="n"/>
      <c r="C272" s="657">
        <f>$J$137+$J$138</f>
        <v/>
      </c>
      <c r="D272" s="161" t="n"/>
      <c r="E272" s="109" t="n"/>
      <c r="F272" s="109" t="n"/>
      <c r="G272" s="109" t="n"/>
      <c r="H272" s="109" t="n"/>
      <c r="I272" s="501" t="n"/>
      <c r="J272" s="501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I273" s="501" t="n"/>
      <c r="J273" s="501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B275" s="278" t="n"/>
      <c r="D275" s="89" t="n"/>
      <c r="E275" s="89" t="n"/>
      <c r="F275" s="109" t="n"/>
      <c r="G275" s="109" t="n"/>
      <c r="H275" s="109" t="n"/>
      <c r="J275" s="109" t="n"/>
    </row>
    <row r="276" ht="15.9" customFormat="1" customHeight="1" s="278">
      <c r="A276" s="27" t="n"/>
      <c r="B276" s="278" t="n"/>
      <c r="D276" s="89" t="n"/>
      <c r="E276" s="89" t="n"/>
      <c r="F276" s="109" t="n"/>
      <c r="G276" s="109" t="n"/>
      <c r="H276" s="109" t="n"/>
      <c r="J276" s="109" t="n"/>
    </row>
    <row r="277" ht="15.9" customFormat="1" customHeight="1" s="278">
      <c r="A277" s="27" t="n"/>
      <c r="D277" s="328" t="n"/>
      <c r="E277" s="328" t="n"/>
      <c r="F277" s="109" t="n"/>
      <c r="G277" s="109" t="n"/>
      <c r="H277" s="109" t="n"/>
      <c r="J277" s="109" t="n"/>
    </row>
    <row r="278" ht="15.9" customFormat="1" customHeight="1" s="278">
      <c r="A278" s="27" t="n"/>
      <c r="B278" s="278" t="n"/>
      <c r="D278" s="328" t="n"/>
      <c r="E278" s="328" t="n"/>
      <c r="F278" s="109" t="n"/>
      <c r="G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J279" s="109" t="n"/>
    </row>
    <row r="280" ht="15.9" customFormat="1" customHeight="1" s="278">
      <c r="A280" s="27" t="n"/>
      <c r="B280" s="278" t="n"/>
      <c r="C280" s="89" t="inlineStr">
        <is>
          <t xml:space="preserve">                          Door Stop Jamb</t>
        </is>
      </c>
      <c r="D280" s="162" t="n"/>
      <c r="E280" s="501" t="n"/>
      <c r="F280" s="109" t="n"/>
      <c r="G280" s="109" t="n"/>
      <c r="J280" s="109" t="n"/>
    </row>
    <row r="281" ht="15.9" customFormat="1" customHeight="1" s="278">
      <c r="A281" s="27" t="n"/>
      <c r="B281" s="278" t="n"/>
      <c r="C281" s="328" t="inlineStr">
        <is>
          <t xml:space="preserve">                          = FAME HIGHT - 96</t>
        </is>
      </c>
      <c r="D281" s="328" t="n"/>
      <c r="E281" s="328" t="n"/>
      <c r="F281" s="109" t="n"/>
      <c r="G281" s="109" t="n"/>
      <c r="J281" s="109" t="n"/>
    </row>
    <row r="282" ht="15.9" customFormat="1" customHeight="1" s="278">
      <c r="A282" s="27" t="n"/>
      <c r="B282" s="278" t="n"/>
      <c r="C282" s="542" t="inlineStr">
        <is>
          <t xml:space="preserve">                          ความสูง (วงกบ) - 96</t>
        </is>
      </c>
      <c r="D282" s="542" t="n"/>
      <c r="E282" s="542" t="n"/>
      <c r="F282" s="109" t="n"/>
      <c r="G282" s="109" t="n"/>
      <c r="I282" s="501" t="n"/>
      <c r="J282" s="501" t="n"/>
    </row>
    <row r="283" ht="15.9" customFormat="1" customHeight="1" s="278">
      <c r="A283" s="27" t="n"/>
      <c r="B283" s="278" t="n"/>
      <c r="C283" s="656">
        <f>$I$139</f>
        <v/>
      </c>
      <c r="F283" s="109" t="n"/>
      <c r="G283" s="109" t="n"/>
      <c r="I283" s="501" t="n"/>
      <c r="J283" s="501" t="n"/>
    </row>
    <row r="284" ht="15.9" customFormat="1" customHeight="1" s="278">
      <c r="A284" s="27" t="n"/>
      <c r="B284" s="278" t="n"/>
      <c r="C284" s="657">
        <f>$J$139+$J$140</f>
        <v/>
      </c>
      <c r="F284" s="109" t="n"/>
      <c r="G284" s="109" t="n"/>
      <c r="I284" s="501" t="n"/>
      <c r="J284" s="501" t="n"/>
    </row>
    <row r="285" ht="15.9" customFormat="1" customHeight="1" s="278">
      <c r="A285" s="27" t="n"/>
      <c r="B285" s="278" t="n"/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C287" s="278" t="n"/>
      <c r="D287" s="161" t="n"/>
      <c r="E287" s="109" t="n"/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F289" s="109" t="n"/>
      <c r="G289" s="109" t="n"/>
      <c r="H289" s="109" t="n"/>
      <c r="I289" s="109" t="n"/>
      <c r="J289" s="501" t="n"/>
    </row>
    <row r="290" ht="15.9" customFormat="1" customHeight="1" s="278">
      <c r="A290" s="27" t="n"/>
      <c r="B290" s="278" t="n"/>
      <c r="C290" s="89" t="inlineStr">
        <is>
          <t xml:space="preserve">                          Sash</t>
        </is>
      </c>
      <c r="F290" s="109" t="n"/>
      <c r="G290" s="109" t="n"/>
      <c r="H290" s="109" t="n"/>
      <c r="J290" s="109" t="n"/>
    </row>
    <row r="291" ht="15.9" customFormat="1" customHeight="1" s="278">
      <c r="A291" s="27" t="n"/>
      <c r="B291" s="278" t="n"/>
      <c r="C291" s="94" t="inlineStr">
        <is>
          <t xml:space="preserve">                          = ((Frame Width - 182-(113.25 × 2))/3</t>
        </is>
      </c>
      <c r="D291" s="161" t="n"/>
      <c r="E291" s="109" t="n"/>
      <c r="F291" s="109" t="n"/>
      <c r="G291" s="109" t="n"/>
      <c r="H291" s="109" t="n"/>
      <c r="J291" s="109" t="n"/>
    </row>
    <row r="292" ht="15.9" customFormat="1" customHeight="1" s="278">
      <c r="A292" s="27" t="n"/>
      <c r="B292" s="278" t="n"/>
      <c r="C292" s="542" t="inlineStr">
        <is>
          <t xml:space="preserve">                          ((ความกว้าง (วงกบ) - 182-(113.25 × 2))/3</t>
        </is>
      </c>
      <c r="D292" s="161" t="n"/>
      <c r="E292" s="109" t="n"/>
      <c r="F292" s="109" t="n"/>
      <c r="G292" s="109" t="n"/>
      <c r="H292" s="109" t="n"/>
      <c r="J292" s="109" t="n"/>
    </row>
    <row r="293" ht="15.9" customFormat="1" customHeight="1" s="278">
      <c r="A293" s="27" t="n"/>
      <c r="B293" s="278" t="n"/>
      <c r="C293" s="328" t="inlineStr">
        <is>
          <t xml:space="preserve">                          = FAME HIGHT - 92.00</t>
        </is>
      </c>
      <c r="D293" s="328" t="n"/>
      <c r="E293" s="328" t="n"/>
      <c r="F293" s="109" t="n"/>
      <c r="G293" s="109" t="n"/>
      <c r="I293" s="162" t="n"/>
      <c r="J293" s="501" t="n"/>
    </row>
    <row r="294" ht="15.9" customFormat="1" customHeight="1" s="278">
      <c r="A294" s="27" t="n"/>
      <c r="B294" s="278" t="n"/>
      <c r="C294" s="542" t="inlineStr">
        <is>
          <t xml:space="preserve">                          ความสูง (วงกบ) - 92.00</t>
        </is>
      </c>
      <c r="D294" s="542" t="n"/>
      <c r="E294" s="542" t="n"/>
      <c r="F294" s="109" t="n"/>
      <c r="G294" s="109" t="n"/>
      <c r="I294" s="109" t="n"/>
      <c r="J294" s="501" t="n"/>
    </row>
    <row r="295" ht="15.9" customFormat="1" customHeight="1" s="278">
      <c r="A295" s="27" t="n"/>
      <c r="B295" s="278" t="n"/>
      <c r="C295" s="656">
        <f>$I$141</f>
        <v/>
      </c>
      <c r="F295" s="109" t="n"/>
      <c r="G295" s="109" t="n"/>
      <c r="I295" s="501" t="n"/>
      <c r="J295" s="501" t="n"/>
    </row>
    <row r="296" ht="15.9" customFormat="1" customHeight="1" s="278">
      <c r="A296" s="27" t="n"/>
      <c r="B296" s="278" t="n"/>
      <c r="C296" s="657">
        <f>$J$141+$J$142</f>
        <v/>
      </c>
      <c r="D296" s="161" t="n"/>
      <c r="E296" s="109" t="n"/>
      <c r="F296" s="109" t="n"/>
      <c r="G296" s="109" t="n"/>
      <c r="H296" s="161" t="n"/>
      <c r="I296" s="501" t="n"/>
      <c r="J296" s="501" t="n"/>
    </row>
    <row r="297" ht="15.9" customFormat="1" customHeight="1" s="278">
      <c r="A297" s="27" t="n"/>
      <c r="B297" s="278" t="n"/>
      <c r="C297" s="656">
        <f>$I$143</f>
        <v/>
      </c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3">
      <c r="A298" s="27" t="n"/>
      <c r="B298" s="278" t="n"/>
      <c r="C298" s="657">
        <f>$J$143+$J$144+$J$145</f>
        <v/>
      </c>
      <c r="D298" s="161" t="n"/>
      <c r="E298" s="109" t="n"/>
      <c r="F298" s="109" t="n"/>
      <c r="G298" s="109" t="n"/>
      <c r="H298" s="109" t="n"/>
      <c r="I298" s="109" t="n"/>
      <c r="J298" s="109" t="n"/>
    </row>
    <row r="299" ht="15.9" customFormat="1" customHeight="1" s="23">
      <c r="A299" s="27" t="n"/>
      <c r="B299" s="278" t="n"/>
      <c r="C299" s="278" t="n"/>
      <c r="D299" s="161" t="n"/>
      <c r="E299" s="109" t="n"/>
      <c r="F299" s="109" t="n"/>
      <c r="G299" s="109" t="n"/>
      <c r="H299" s="109" t="n"/>
      <c r="I299" s="109" t="n"/>
      <c r="J299" s="109" t="n"/>
    </row>
    <row r="300" ht="15.9" customFormat="1" customHeight="1" s="23">
      <c r="A300" s="27" t="n"/>
      <c r="B300" s="278" t="n"/>
      <c r="C300" s="278" t="n"/>
      <c r="D300" s="161" t="n"/>
      <c r="E300" s="109" t="n"/>
      <c r="F300" s="109" t="n"/>
      <c r="G300" s="109" t="n"/>
      <c r="H300" s="109" t="n"/>
      <c r="I300" s="109" t="n"/>
      <c r="J300" s="109" t="n"/>
    </row>
    <row r="301" ht="15.9" customFormat="1" customHeight="1" s="278">
      <c r="A301" s="27" t="n"/>
      <c r="B301" s="278" t="n"/>
      <c r="C301" s="278" t="n"/>
      <c r="D301" s="161" t="n"/>
      <c r="E301" s="109" t="n"/>
      <c r="F301" s="109" t="n"/>
      <c r="G301" s="109" t="n"/>
      <c r="H301" s="109" t="n"/>
      <c r="I301" s="44" t="n"/>
      <c r="J301" s="119" t="n"/>
    </row>
    <row r="302" ht="15.9" customFormat="1" customHeight="1" s="278">
      <c r="A302" s="27" t="n"/>
      <c r="B302" s="278" t="n"/>
      <c r="C302" s="23" t="n"/>
      <c r="D302" s="161" t="n"/>
      <c r="E302" s="109" t="n"/>
      <c r="F302" s="109" t="n"/>
      <c r="G302" s="109" t="n"/>
      <c r="H302" s="109" t="n"/>
      <c r="I302" s="32" t="n"/>
      <c r="J302" s="40" t="n"/>
    </row>
    <row r="303" ht="15.9" customFormat="1" customHeight="1" s="278">
      <c r="A303" s="27" t="n"/>
      <c r="B303" s="278" t="n"/>
      <c r="C303" s="89" t="inlineStr">
        <is>
          <t xml:space="preserve">                          Glazing Bead</t>
        </is>
      </c>
      <c r="D303" s="161" t="n"/>
      <c r="E303" s="109" t="n"/>
      <c r="F303" s="109" t="n"/>
      <c r="G303" s="109" t="n"/>
      <c r="H303" s="109" t="n"/>
      <c r="I303" s="501" t="n"/>
      <c r="J303" s="501" t="n"/>
    </row>
    <row r="304" ht="15.9" customFormat="1" customHeight="1" s="278">
      <c r="A304" s="27" t="n"/>
      <c r="B304" s="278" t="n"/>
      <c r="C304" s="94" t="inlineStr">
        <is>
          <t xml:space="preserve">                          = ((Frame Width - 182-(113.25 × 2))/3</t>
        </is>
      </c>
      <c r="D304" s="161" t="n"/>
      <c r="E304" s="109" t="n"/>
      <c r="F304" s="109" t="n"/>
      <c r="G304" s="44" t="n"/>
      <c r="H304" s="44" t="n"/>
      <c r="I304" s="501" t="n"/>
      <c r="J304" s="501" t="n"/>
    </row>
    <row r="305" ht="15.9" customFormat="1" customHeight="1" s="278">
      <c r="A305" s="27" t="n"/>
      <c r="B305" s="278" t="n"/>
      <c r="C305" s="542" t="inlineStr">
        <is>
          <t xml:space="preserve">                          ((ความกว้าง (วงกบ) - 182-(113.25 × 2))/3</t>
        </is>
      </c>
      <c r="D305" s="328" t="n"/>
      <c r="E305" s="328" t="n"/>
      <c r="F305" s="109" t="n"/>
      <c r="G305" s="40" t="n"/>
      <c r="H305" s="32" t="n"/>
      <c r="I305" s="109" t="n"/>
      <c r="J305" s="501" t="n"/>
    </row>
    <row r="306" ht="15.9" customFormat="1" customHeight="1" s="278">
      <c r="A306" s="101" t="n"/>
      <c r="B306" s="278" t="n"/>
      <c r="C306" s="328" t="inlineStr">
        <is>
          <t xml:space="preserve">                          = FAME HIGHT - 242.00</t>
        </is>
      </c>
      <c r="D306" s="542" t="n"/>
      <c r="E306" s="542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44" t="n"/>
      <c r="B307" s="44" t="n"/>
      <c r="C307" s="542" t="inlineStr">
        <is>
          <t xml:space="preserve">                          ความสูง (วงกบ) - 242.00</t>
        </is>
      </c>
      <c r="D307" s="86" t="n"/>
      <c r="E307" s="79" t="n"/>
      <c r="F307" s="44" t="n"/>
      <c r="G307" s="109" t="n"/>
      <c r="H307" s="109" t="n"/>
      <c r="I307" s="109" t="n"/>
      <c r="J307" s="501" t="n"/>
    </row>
    <row r="308" ht="15.9" customFormat="1" customHeight="1" s="278">
      <c r="A308" s="40" t="n"/>
      <c r="B308" s="40" t="n"/>
      <c r="C308" s="656">
        <f>$I$146</f>
        <v/>
      </c>
      <c r="D308" s="87" t="n"/>
      <c r="E308" s="80" t="n"/>
      <c r="F308" s="32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$J$146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$I$147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$J$147</f>
        <v/>
      </c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89" t="n"/>
      <c r="D312" s="161" t="n"/>
      <c r="E312" s="109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C313" s="328" t="n"/>
      <c r="D313" s="328" t="n"/>
      <c r="E313" s="328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406" t="n"/>
      <c r="C314" s="406" t="n"/>
      <c r="D314" s="83" t="n"/>
      <c r="E314" s="27" t="n"/>
      <c r="F314" s="27" t="n"/>
      <c r="G314" s="27" t="n"/>
      <c r="H314" s="27" t="n"/>
      <c r="I314" s="27" t="n"/>
      <c r="J314" s="99">
        <f>LEFT($J$111,13)&amp;"-03"</f>
        <v/>
      </c>
    </row>
    <row r="315" ht="12.75" customHeight="1" s="344">
      <c r="A315" s="109" t="n"/>
      <c r="B315" s="278" t="n"/>
      <c r="C315" s="278" t="n"/>
      <c r="D315" s="161" t="n"/>
      <c r="E315" s="109" t="n"/>
      <c r="F315" s="109" t="n"/>
      <c r="G315" s="109" t="n"/>
      <c r="H315" s="109" t="n"/>
      <c r="I315" s="179" t="n"/>
      <c r="J315" s="179" t="n"/>
    </row>
    <row r="316" ht="30" customHeight="1" s="344">
      <c r="C316" s="5" t="n"/>
      <c r="D316" s="95" t="n"/>
      <c r="E316" s="95" t="n"/>
      <c r="F316" s="95" t="n"/>
      <c r="G316" s="95" t="n"/>
      <c r="H316" s="95" t="n"/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B318" s="72" t="n"/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Height="1" s="344" thickBot="1"/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</row>
    <row r="321" ht="15" customFormat="1" customHeight="1" s="278">
      <c r="A321" s="63" t="n"/>
      <c r="B321" s="72" t="n"/>
      <c r="C321" s="278" t="n"/>
      <c r="D321" s="161" t="n"/>
      <c r="E321" s="35" t="n"/>
      <c r="F321" s="160" t="n"/>
      <c r="G321" s="160" t="n"/>
      <c r="H321" s="160" t="n"/>
      <c r="I321" s="160" t="n"/>
      <c r="J321" s="532" t="n"/>
    </row>
    <row r="322" ht="15" customFormat="1" customHeight="1" s="278">
      <c r="A322" s="63" t="n"/>
      <c r="B322" s="72" t="n"/>
      <c r="C322" s="278" t="n"/>
      <c r="D322" s="161" t="n"/>
      <c r="E322" s="35" t="n"/>
      <c r="F322" s="160" t="n"/>
      <c r="G322" s="160" t="n"/>
      <c r="H322" s="160" t="n"/>
      <c r="I322" s="160" t="n"/>
      <c r="J322" s="532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94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35" t="n"/>
      <c r="F324" s="161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109" t="n"/>
      <c r="J329" s="109" t="n"/>
    </row>
    <row r="330" ht="15" customFormat="1" customHeight="1" s="278">
      <c r="A330" s="109" t="n"/>
      <c r="B330" s="278" t="n"/>
      <c r="C330" s="93" t="n"/>
      <c r="D330" s="161" t="n"/>
      <c r="E330" s="109" t="n"/>
      <c r="F330" s="505" t="n"/>
      <c r="H330" s="507" t="n"/>
      <c r="I330" s="93" t="n"/>
      <c r="J330" s="109" t="n"/>
    </row>
    <row r="331" ht="15" customFormat="1" customHeight="1" s="278">
      <c r="A331" s="532" t="n"/>
      <c r="B331" s="532" t="n"/>
      <c r="C331" s="161" t="n"/>
      <c r="D331" s="161" t="n"/>
      <c r="E331" s="109" t="n"/>
      <c r="F331" s="507" t="n"/>
      <c r="G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109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72" t="n"/>
      <c r="C335" s="43" t="n"/>
      <c r="D335" s="161" t="n"/>
      <c r="E335" s="109" t="n"/>
      <c r="F335" s="109" t="n"/>
      <c r="G335" s="109" t="n"/>
      <c r="H335" s="109" t="n"/>
      <c r="I335" s="109" t="n"/>
      <c r="J335" s="109" t="n"/>
    </row>
    <row r="336" ht="15.9" customFormat="1" customHeight="1" s="278">
      <c r="A336" s="44" t="n"/>
      <c r="C336" s="44" t="n"/>
      <c r="D336" s="84" t="n"/>
      <c r="E336" s="44" t="n"/>
      <c r="F336" s="44" t="n"/>
      <c r="G336" s="44" t="n"/>
      <c r="H336" s="44" t="n"/>
      <c r="I336" s="44" t="n"/>
      <c r="J336" s="119" t="n"/>
    </row>
    <row r="337" ht="15.9" customFormat="1" customHeight="1" s="278">
      <c r="A337" s="40" t="n"/>
      <c r="C337" s="161" t="n"/>
      <c r="D337" s="85" t="n"/>
      <c r="E337" s="40" t="n"/>
      <c r="F337" s="32" t="n"/>
      <c r="G337" s="40" t="n"/>
      <c r="H337" s="32" t="n"/>
      <c r="I337" s="32" t="n"/>
      <c r="J337" s="40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2" t="n"/>
      <c r="J340" s="162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109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44" t="n"/>
      <c r="C355" s="44" t="n"/>
      <c r="D355" s="84" t="n"/>
      <c r="E355" s="44" t="n"/>
      <c r="F355" s="44" t="n"/>
      <c r="G355" s="44" t="n"/>
      <c r="H355" s="44" t="n"/>
      <c r="I355" s="44" t="n"/>
      <c r="J355" s="119" t="n"/>
    </row>
    <row r="356" ht="15.9" customFormat="1" customHeight="1" s="278">
      <c r="A356" s="40" t="n"/>
      <c r="B356" s="40" t="n"/>
      <c r="C356" s="44" t="n"/>
      <c r="D356" s="85" t="n"/>
      <c r="E356" s="40" t="n"/>
      <c r="F356" s="32" t="n"/>
      <c r="G356" s="40" t="n"/>
      <c r="H356" s="32" t="n"/>
      <c r="I356" s="32" t="n"/>
      <c r="J356" s="40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501" t="n"/>
      <c r="J357" s="501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3" t="n"/>
      <c r="J358" s="163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161" t="n"/>
      <c r="J359" s="16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501" t="n"/>
      <c r="J375" s="501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3" t="n"/>
      <c r="J376" s="163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161" t="n"/>
      <c r="J377" s="16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501" t="n"/>
      <c r="J378" s="501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302" t="n"/>
      <c r="J389" s="302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161" t="n"/>
      <c r="J390" s="16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501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3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C423" s="5" t="n"/>
      <c r="D423" s="95" t="n"/>
      <c r="E423" s="95" t="n"/>
      <c r="F423" s="95" t="n"/>
      <c r="G423" s="95" t="n"/>
      <c r="H423" s="95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B425" s="72" t="n"/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8" t="n"/>
      <c r="C426" s="78" t="n"/>
      <c r="D426" s="82" t="n"/>
      <c r="E426" s="78" t="n"/>
      <c r="F426" s="78" t="n"/>
      <c r="G426" s="78" t="n"/>
      <c r="H426" s="7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</row>
    <row r="428" ht="15" customFormat="1" customHeight="1" s="278">
      <c r="A428" s="63" t="n"/>
      <c r="B428" s="72" t="n"/>
      <c r="C428" s="278" t="n"/>
      <c r="D428" s="161" t="n"/>
      <c r="E428" s="35" t="n"/>
      <c r="F428" s="72" t="n"/>
      <c r="H428" s="44" t="n"/>
      <c r="I428" s="44" t="n"/>
      <c r="J428" s="119" t="n"/>
    </row>
    <row r="429" ht="15" customFormat="1" customHeight="1" s="278">
      <c r="A429" s="109" t="n"/>
      <c r="B429" s="278" t="n"/>
      <c r="C429" s="278" t="n"/>
      <c r="D429" s="161" t="n"/>
      <c r="E429" s="35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109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3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93" t="n"/>
      <c r="D434" s="161" t="n"/>
      <c r="E434" s="109" t="n"/>
      <c r="F434" s="69" t="n"/>
      <c r="H434" s="44" t="n"/>
      <c r="I434" s="44" t="n"/>
      <c r="J434" s="119" t="n"/>
    </row>
    <row r="435" ht="15" customFormat="1" customHeight="1" s="278">
      <c r="A435" s="72" t="n"/>
      <c r="B435" s="72" t="n"/>
      <c r="C435" s="163" t="n"/>
      <c r="D435" s="161" t="n"/>
      <c r="E435" s="109" t="n"/>
      <c r="F435" s="324" t="n"/>
      <c r="H435" s="44" t="n"/>
      <c r="I435" s="44" t="n"/>
      <c r="J435" s="119" t="n"/>
    </row>
    <row r="436" ht="15" customFormat="1" customHeight="1" s="278">
      <c r="A436" s="532" t="n"/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C438" s="93" t="n"/>
      <c r="D438" s="161" t="n"/>
      <c r="E438" s="109" t="n"/>
      <c r="F438" s="324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161" t="n"/>
      <c r="D439" s="161" t="n"/>
      <c r="E439" s="109" t="n"/>
      <c r="F439" s="37" t="n"/>
      <c r="H439" s="44" t="n"/>
      <c r="I439" s="44" t="n"/>
      <c r="J439" s="119" t="n"/>
    </row>
    <row r="440" ht="15.9" customFormat="1" customHeight="1" s="278">
      <c r="A440" s="72" t="n"/>
      <c r="B440" s="278" t="n"/>
      <c r="C440" s="43" t="n"/>
      <c r="D440" s="161" t="n"/>
      <c r="E440" s="109" t="n"/>
      <c r="F440" s="109" t="n"/>
      <c r="H440" s="44" t="n"/>
      <c r="I440" s="44" t="n"/>
      <c r="J440" s="119" t="n"/>
    </row>
    <row r="441" ht="15.9" customFormat="1" customHeight="1" s="278">
      <c r="A441" s="44" t="n"/>
      <c r="C441" s="44" t="n"/>
      <c r="D441" s="84" t="n"/>
      <c r="E441" s="44" t="n"/>
      <c r="F441" s="44" t="n"/>
      <c r="H441" s="44" t="n"/>
      <c r="I441" s="44" t="n"/>
      <c r="J441" s="119" t="n"/>
    </row>
    <row r="442" ht="15.9" customFormat="1" customHeight="1" s="278">
      <c r="A442" s="40" t="n"/>
      <c r="C442" s="161" t="n"/>
      <c r="D442" s="85" t="n"/>
      <c r="E442" s="40" t="n"/>
      <c r="F442" s="32" t="n"/>
      <c r="H442" s="44" t="n"/>
      <c r="I442" s="44" t="n"/>
      <c r="J442" s="119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44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1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3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109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7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.9" customFormat="1" customHeight="1" s="23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109" t="n"/>
      <c r="J475" s="109" t="n"/>
    </row>
    <row r="476" ht="15.9" customFormat="1" customHeight="1" s="278">
      <c r="A476" s="44" t="n"/>
      <c r="B476" s="44" t="n"/>
      <c r="C476" s="44" t="n"/>
      <c r="D476" s="84" t="n"/>
      <c r="E476" s="44" t="n"/>
      <c r="F476" s="44" t="n"/>
      <c r="G476" s="44" t="n"/>
      <c r="H476" s="44" t="n"/>
      <c r="I476" s="44" t="n"/>
      <c r="J476" s="119" t="n"/>
    </row>
    <row r="477" ht="15.9" customFormat="1" customHeight="1" s="278">
      <c r="A477" s="40" t="n"/>
      <c r="B477" s="40" t="n"/>
      <c r="C477" s="44" t="n"/>
      <c r="D477" s="85" t="n"/>
      <c r="E477" s="40" t="n"/>
      <c r="F477" s="32" t="n"/>
      <c r="G477" s="40" t="n"/>
      <c r="H477" s="32" t="n"/>
      <c r="I477" s="32" t="n"/>
      <c r="J477" s="40" t="n"/>
    </row>
    <row r="478" ht="15.9" customFormat="1" customHeight="1" s="278">
      <c r="A478" s="27" t="n"/>
      <c r="B478" s="278" t="n"/>
      <c r="C478" s="93" t="n"/>
      <c r="D478" s="161" t="n"/>
      <c r="E478" s="109" t="n"/>
      <c r="F478" s="109" t="n"/>
      <c r="G478" s="109" t="n"/>
      <c r="H478" s="93" t="n"/>
      <c r="I478" s="501" t="n"/>
      <c r="J478" s="501" t="n"/>
    </row>
    <row r="479" ht="15.9" customFormat="1" customHeight="1" s="278">
      <c r="A479" s="27" t="n"/>
      <c r="B479" s="278" t="n"/>
      <c r="C479" s="163" t="n"/>
      <c r="D479" s="161" t="n"/>
      <c r="E479" s="109" t="n"/>
      <c r="F479" s="109" t="n"/>
      <c r="G479" s="109" t="n"/>
      <c r="H479" s="287" t="n"/>
      <c r="I479" s="287" t="n"/>
      <c r="J479" s="302" t="n"/>
    </row>
    <row r="480" ht="15.9" customFormat="1" customHeight="1" s="278">
      <c r="A480" s="27" t="n"/>
      <c r="B480" s="278" t="n"/>
      <c r="C480" s="161" t="n"/>
      <c r="D480" s="161" t="n"/>
      <c r="E480" s="109" t="n"/>
      <c r="F480" s="109" t="n"/>
      <c r="G480" s="109" t="n"/>
      <c r="H480" s="278" t="n"/>
      <c r="I480" s="278" t="n"/>
      <c r="J480" s="109" t="n"/>
    </row>
    <row r="481" ht="15.9" customFormat="1" customHeight="1" s="278">
      <c r="A481" s="27" t="n"/>
      <c r="B481" s="278" t="n"/>
      <c r="C481" s="278" t="n"/>
      <c r="D481" s="161" t="n"/>
      <c r="E481" s="109" t="n"/>
      <c r="F481" s="109" t="n"/>
      <c r="G481" s="109" t="n"/>
      <c r="H481" s="109" t="n"/>
      <c r="I481" s="501" t="n"/>
      <c r="J481" s="501" t="n"/>
    </row>
    <row r="482" ht="15.9" customFormat="1" customHeight="1" s="278">
      <c r="A482" s="27" t="n"/>
      <c r="B482" s="278" t="n"/>
      <c r="C482" s="278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287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D492" s="161" t="n"/>
      <c r="E492" s="109" t="n"/>
      <c r="F492" s="109" t="n"/>
      <c r="G492" s="278" t="n"/>
      <c r="H492" s="278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93" t="n"/>
      <c r="I496" s="501" t="n"/>
      <c r="J496" s="501" t="n"/>
    </row>
    <row r="497" ht="15.9" customFormat="1" customHeight="1" s="278">
      <c r="A497" s="27" t="n"/>
      <c r="B497" s="278" t="n"/>
      <c r="C497" s="63" t="n"/>
      <c r="D497" s="161" t="n"/>
      <c r="E497" s="109" t="n"/>
      <c r="F497" s="109" t="n"/>
      <c r="G497" s="109" t="n"/>
      <c r="H497" s="287" t="n"/>
      <c r="I497" s="287" t="n"/>
      <c r="J497" s="302" t="n"/>
    </row>
    <row r="498" ht="15.9" customFormat="1" customHeight="1" s="278">
      <c r="A498" s="27" t="n"/>
      <c r="B498" s="278" t="n"/>
      <c r="C498" s="287" t="n"/>
      <c r="D498" s="161" t="n"/>
      <c r="E498" s="109" t="n"/>
      <c r="F498" s="109" t="n"/>
      <c r="G498" s="109" t="n"/>
      <c r="H498" s="278" t="n"/>
      <c r="I498" s="278" t="n"/>
      <c r="J498" s="109" t="n"/>
    </row>
    <row r="499" ht="15.9" customFormat="1" customHeight="1" s="278">
      <c r="A499" s="27" t="n"/>
      <c r="B499" s="278" t="n"/>
      <c r="C499" s="161" t="n"/>
      <c r="D499" s="161" t="n"/>
      <c r="E499" s="109" t="n"/>
      <c r="F499" s="109" t="n"/>
      <c r="G499" s="109" t="n"/>
      <c r="H499" s="93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287" t="n"/>
      <c r="I500" s="287" t="n"/>
      <c r="J500" s="302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278" t="n"/>
      <c r="I501" s="278" t="n"/>
      <c r="J501" s="109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43" t="n"/>
      <c r="J515" s="107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A517" s="44" t="n"/>
      <c r="B517" s="44" t="n"/>
      <c r="C517" s="44" t="n"/>
      <c r="D517" s="84" t="n"/>
      <c r="E517" s="44" t="n"/>
      <c r="F517" s="44" t="n"/>
      <c r="G517" s="44" t="n"/>
      <c r="H517" s="44" t="n"/>
      <c r="I517" s="44" t="n"/>
      <c r="J517" s="119" t="n"/>
    </row>
    <row r="518" ht="15.9" customFormat="1" customHeight="1" s="278"/>
    <row r="519" ht="15.9" customFormat="1" customHeight="1" s="278" thickBot="1"/>
    <row r="520" ht="24.9" customFormat="1" customHeight="1" s="278" thickBot="1">
      <c r="A520" s="633" t="inlineStr">
        <is>
          <t>GLASS</t>
        </is>
      </c>
      <c r="B520" s="634" t="n"/>
      <c r="C520" s="634" t="n"/>
      <c r="D520" s="634" t="n"/>
      <c r="E520" s="634" t="n"/>
      <c r="F520" s="634" t="n"/>
      <c r="G520" s="634" t="n"/>
      <c r="H520" s="634" t="n"/>
      <c r="I520" s="634" t="n"/>
      <c r="J520" s="635" t="n"/>
    </row>
    <row r="521" ht="35.1" customFormat="1" customHeight="1" s="278" thickBot="1">
      <c r="A521" s="102" t="inlineStr">
        <is>
          <t>ITEM</t>
        </is>
      </c>
      <c r="B521" s="103" t="inlineStr">
        <is>
          <t>DESCRIPTION</t>
        </is>
      </c>
      <c r="C521" s="103" t="inlineStr">
        <is>
          <t>DESCRIPTION</t>
        </is>
      </c>
      <c r="D521" s="104" t="inlineStr">
        <is>
          <t>HEIGHT</t>
        </is>
      </c>
      <c r="E521" s="103" t="inlineStr">
        <is>
          <t>KG/m</t>
        </is>
      </c>
      <c r="F521" s="579" t="inlineStr">
        <is>
          <t>FORMULA</t>
        </is>
      </c>
      <c r="G521" s="305" t="n"/>
      <c r="H521" s="104" t="inlineStr">
        <is>
          <t>FORMULA</t>
        </is>
      </c>
      <c r="I521" s="104" t="inlineStr">
        <is>
          <t>WIDTH</t>
        </is>
      </c>
      <c r="J521" s="115" t="inlineStr">
        <is>
          <t>QTY</t>
        </is>
      </c>
      <c r="N521" s="249" t="inlineStr">
        <is>
          <t>DESCRIPTION</t>
        </is>
      </c>
      <c r="O521" s="249" t="inlineStr">
        <is>
          <t>DESCRIPTION</t>
        </is>
      </c>
      <c r="Q521" s="300" t="n"/>
      <c r="R521" s="301" t="n"/>
      <c r="S521" s="300" t="n"/>
      <c r="T521" s="301" t="n"/>
      <c r="U521" s="301" t="n"/>
    </row>
    <row r="522" ht="15.9" customFormat="1" customHeight="1" s="278">
      <c r="A522" s="186">
        <f>IF(C522="","",1)</f>
        <v/>
      </c>
      <c r="B522" s="138">
        <f>IF($D$127=5,N522,IF($D$127=6,N523,IF($D$127=8,N524,IF($D$127=10,N525,IF($D$127=12,N526,IF($D$127=14,N527,IF($D$127=18,N528,IF($D$127=20,N529,IF($D$127=22,N530,)))))))))</f>
        <v/>
      </c>
      <c r="C522" s="138">
        <f>IF($D$127=5,O522,IF($D$127=6,O523,IF($D$127=8,O524,IF($D$127=10,O525,IF($D$127=12,O526,IF($D$127=14,O527,IF($D$127=18,O528,IF($D$127=20,O529,IF($D$127=22,O530,)))))))))</f>
        <v/>
      </c>
      <c r="D522" s="124">
        <f>$J$123-215</f>
        <v/>
      </c>
      <c r="E522" s="186" t="inlineStr">
        <is>
          <t>-</t>
        </is>
      </c>
      <c r="F522" s="658" t="inlineStr">
        <is>
          <t>Height - 215</t>
        </is>
      </c>
      <c r="G522" s="659" t="n"/>
      <c r="H522" s="186" t="inlineStr">
        <is>
          <t>((W-182-(113.25 × 2)/3)-13</t>
        </is>
      </c>
      <c r="I522" s="124">
        <f>(($J$126-182-(113.25*2))/3)-13</f>
        <v/>
      </c>
      <c r="J522" s="151">
        <f>$J$120*3</f>
        <v/>
      </c>
      <c r="M522" s="278">
        <f>ROW()</f>
        <v/>
      </c>
      <c r="N522" s="415" t="inlineStr">
        <is>
          <t>กระจก 5 mm (สูง) (กว้าง)</t>
        </is>
      </c>
      <c r="O522" s="415" t="inlineStr">
        <is>
          <t>GLASS thk.5 mm (H) (W)</t>
        </is>
      </c>
      <c r="Q522" s="109" t="n"/>
      <c r="R522" s="302" t="n"/>
      <c r="S522" s="442" t="n"/>
      <c r="T522" s="109" t="n"/>
      <c r="U522" s="303" t="n"/>
    </row>
    <row r="523" ht="15.9" customFormat="1" customHeight="1" s="278">
      <c r="A523" s="242" t="n"/>
      <c r="B523" s="295" t="n"/>
      <c r="C523" s="295" t="n"/>
      <c r="D523" s="357" t="n"/>
      <c r="E523" s="242" t="n"/>
      <c r="F523" s="337" t="n"/>
      <c r="G523" s="338" t="n"/>
      <c r="H523" s="242" t="n"/>
      <c r="I523" s="298" t="n"/>
      <c r="J523" s="299" t="n"/>
      <c r="M523" s="278">
        <f>ROW()</f>
        <v/>
      </c>
      <c r="N523" s="415" t="inlineStr">
        <is>
          <t>กระจก 6 mm (สูง) (กว้าง)</t>
        </is>
      </c>
      <c r="O523" s="415" t="inlineStr">
        <is>
          <t>GLASS thk.6 mm (H) (W)</t>
        </is>
      </c>
      <c r="Q523" s="109" t="n"/>
      <c r="R523" s="302" t="n"/>
      <c r="S523" s="442" t="n"/>
      <c r="T523" s="109" t="n"/>
      <c r="U523" s="303" t="n"/>
    </row>
    <row r="524" ht="15.9" customFormat="1" customHeight="1" s="278">
      <c r="A524" s="152" t="n"/>
      <c r="B524" s="140" t="n"/>
      <c r="C524" s="295" t="n"/>
      <c r="D524" s="296" t="inlineStr">
        <is>
          <t xml:space="preserve"> </t>
        </is>
      </c>
      <c r="E524" s="242" t="n"/>
      <c r="F524" s="251" t="n"/>
      <c r="G524" s="297" t="n"/>
      <c r="H524" s="295" t="n"/>
      <c r="I524" s="298" t="n"/>
      <c r="J524" s="153" t="n"/>
      <c r="M524" s="278">
        <f>ROW()</f>
        <v/>
      </c>
      <c r="N524" s="415" t="inlineStr">
        <is>
          <t>กระจก 8 mm (สูง) (กว้าง)</t>
        </is>
      </c>
      <c r="O524" s="415" t="inlineStr">
        <is>
          <t>GLASS thk.8 mm (H) (W)</t>
        </is>
      </c>
      <c r="Q524" s="109" t="n"/>
      <c r="R524" s="302" t="n"/>
      <c r="S524" s="442" t="n"/>
      <c r="T524" s="109" t="n"/>
      <c r="U524" s="303" t="n"/>
    </row>
    <row r="525" ht="15.9" customFormat="1" customHeight="1" s="278">
      <c r="A525" s="152" t="n"/>
      <c r="B525" s="140" t="n"/>
      <c r="C525" s="140" t="n"/>
      <c r="D525" s="139" t="n"/>
      <c r="E525" s="143" t="n"/>
      <c r="F525" s="155" t="n"/>
      <c r="G525" s="156" t="n"/>
      <c r="H525" s="143" t="n"/>
      <c r="I525" s="130" t="n"/>
      <c r="J525" s="153" t="n"/>
      <c r="M525" s="278">
        <f>ROW()</f>
        <v/>
      </c>
      <c r="N525" s="415" t="inlineStr">
        <is>
          <t>กระจก 10 mm (สูง) (กว้าง)</t>
        </is>
      </c>
      <c r="O525" s="415" t="inlineStr">
        <is>
          <t>GLASS thk.10 mm (H) (W)</t>
        </is>
      </c>
    </row>
    <row r="526" ht="15.9" customFormat="1" customHeight="1" s="278">
      <c r="A526" s="240">
        <f>IF(B526="","",+A524+1)</f>
        <v/>
      </c>
      <c r="B526" s="142" t="n"/>
      <c r="C526" s="142" t="n"/>
      <c r="D526" s="141" t="n"/>
      <c r="E526" s="240" t="n"/>
      <c r="F526" s="158" t="n"/>
      <c r="G526" s="159" t="n"/>
      <c r="H526" s="240" t="n"/>
      <c r="I526" s="145" t="n"/>
      <c r="J526" s="136" t="n"/>
      <c r="M526" s="278">
        <f>ROW()</f>
        <v/>
      </c>
      <c r="N526" s="415" t="inlineStr">
        <is>
          <t>กระจก 12 mm (สูง) (กว้าง)</t>
        </is>
      </c>
      <c r="O526" s="415" t="inlineStr">
        <is>
          <t>GLASS thk.12 mm (H) (W)</t>
        </is>
      </c>
    </row>
    <row r="527">
      <c r="D527" s="345" t="n"/>
      <c r="J527" s="99">
        <f>LEFT($J$111,13)&amp;"-05"</f>
        <v/>
      </c>
      <c r="M527" s="278">
        <f>ROW()</f>
        <v/>
      </c>
      <c r="N527" s="415" t="inlineStr">
        <is>
          <t>กระจก 14 mm (สูง) (กว้าง)</t>
        </is>
      </c>
      <c r="O527" s="415" t="inlineStr">
        <is>
          <t>GLASS thk.14 mm (H) (W)</t>
        </is>
      </c>
    </row>
    <row r="528">
      <c r="M528" s="278">
        <f>ROW()</f>
        <v/>
      </c>
      <c r="N528" s="415" t="inlineStr">
        <is>
          <t>กระจก 18 mm (สูง) (กว้าง)</t>
        </is>
      </c>
      <c r="O528" s="415" t="inlineStr">
        <is>
          <t>GLASS thk.18 mm (H) (W)</t>
        </is>
      </c>
    </row>
    <row r="529">
      <c r="M529" s="278">
        <f>ROW()</f>
        <v/>
      </c>
      <c r="N529" s="415" t="inlineStr">
        <is>
          <t>กระจก 20 mm (สูง) (กว้าง)</t>
        </is>
      </c>
      <c r="O529" s="415" t="inlineStr">
        <is>
          <t>GLASS thk.20 mm (H) (W)</t>
        </is>
      </c>
    </row>
    <row r="530">
      <c r="M530" s="278">
        <f>ROW()</f>
        <v/>
      </c>
      <c r="N530" s="415" t="inlineStr">
        <is>
          <t>กระจก 22 mm (สูง) (กว้าง)</t>
        </is>
      </c>
      <c r="O530" s="415" t="inlineStr">
        <is>
          <t>GLASS thk.22 mm (H) (W)</t>
        </is>
      </c>
    </row>
  </sheetData>
  <mergeCells count="46">
    <mergeCell ref="I158:J158"/>
    <mergeCell ref="D127:G127"/>
    <mergeCell ref="D174:D175"/>
    <mergeCell ref="A131:J131"/>
    <mergeCell ref="D121:G121"/>
    <mergeCell ref="I160:J160"/>
    <mergeCell ref="I170:J171"/>
    <mergeCell ref="F522:G522"/>
    <mergeCell ref="D163:D164"/>
    <mergeCell ref="D129:G129"/>
    <mergeCell ref="D123:G123"/>
    <mergeCell ref="I175:J175"/>
    <mergeCell ref="A117:J117"/>
    <mergeCell ref="J123:J124"/>
    <mergeCell ref="H163:H164"/>
    <mergeCell ref="D167:D171"/>
    <mergeCell ref="A320:J320"/>
    <mergeCell ref="A176:J176"/>
    <mergeCell ref="H120:I121"/>
    <mergeCell ref="I159:J159"/>
    <mergeCell ref="I166:J169"/>
    <mergeCell ref="D119:G119"/>
    <mergeCell ref="F330:G330"/>
    <mergeCell ref="I165:J165"/>
    <mergeCell ref="I162:J162"/>
    <mergeCell ref="H126:I127"/>
    <mergeCell ref="A520:J520"/>
    <mergeCell ref="A6:J6"/>
    <mergeCell ref="I161:J161"/>
    <mergeCell ref="D165:D166"/>
    <mergeCell ref="H174:H175"/>
    <mergeCell ref="A427:J427"/>
    <mergeCell ref="F333:G333"/>
    <mergeCell ref="J120:J121"/>
    <mergeCell ref="A125:B125"/>
    <mergeCell ref="H167:H171"/>
    <mergeCell ref="H221:J221"/>
    <mergeCell ref="J126:J127"/>
    <mergeCell ref="I172:J172"/>
    <mergeCell ref="I163:J164"/>
    <mergeCell ref="H165:H166"/>
    <mergeCell ref="D172:D173"/>
    <mergeCell ref="D125:G125"/>
    <mergeCell ref="H123:I124"/>
    <mergeCell ref="A213:J213"/>
    <mergeCell ref="H172:H173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4">
    <tabColor theme="5" tint="-0.249977111117893"/>
    <outlinePr summaryBelow="1" summaryRight="1"/>
    <pageSetUpPr/>
  </sheetPr>
  <dimension ref="A2:AJ529"/>
  <sheetViews>
    <sheetView showGridLines="0" view="pageBreakPreview" topLeftCell="A124" zoomScale="75" zoomScaleNormal="75" zoomScaleSheetLayoutView="75" workbookViewId="0">
      <selection activeCell="C125" sqref="C12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9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8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1.332031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240-3 Panel (L)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FG-240-3PL-01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Mini Mockup KC</t>
        </is>
      </c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600</v>
      </c>
      <c r="N123" s="248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800</v>
      </c>
      <c r="K126" s="507" t="n"/>
      <c r="L126" s="507" t="n"/>
      <c r="N126" s="248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8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6</v>
      </c>
      <c r="U133" s="283" t="inlineStr">
        <is>
          <t>(W-182-(113.25 × 2))/3</t>
        </is>
      </c>
      <c r="V133" s="307">
        <f>($J$126-182-(113.25*2))/3</f>
        <v/>
      </c>
      <c r="W133" s="286">
        <f>$J$119*T133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6</v>
      </c>
      <c r="U134" s="143" t="inlineStr">
        <is>
          <t>(W-182-(113.25 × 2))/3</t>
        </is>
      </c>
      <c r="V134" s="307">
        <f>($J$126-182-(113.25*2))/3</f>
        <v/>
      </c>
      <c r="W134" s="131">
        <f>$J$119*T134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6</v>
      </c>
      <c r="U135" s="240" t="inlineStr">
        <is>
          <t>(W-182-(113.25 × 2))/3</t>
        </is>
      </c>
      <c r="V135" s="307">
        <f>($J$126-182-(113.25*2))/3</f>
        <v/>
      </c>
      <c r="W135" s="293">
        <f>$J$119*T135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6</v>
      </c>
      <c r="U136" s="283" t="inlineStr">
        <is>
          <t>H-242</t>
        </is>
      </c>
      <c r="V136" s="288">
        <f>$J$123-242</f>
        <v/>
      </c>
      <c r="W136" s="286">
        <f>$J$119*T136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6</v>
      </c>
      <c r="U137" s="143" t="inlineStr">
        <is>
          <t>H-242</t>
        </is>
      </c>
      <c r="V137" s="130">
        <f>$J$123-242</f>
        <v/>
      </c>
      <c r="W137" s="131">
        <f>$J$119*T137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B24005-004R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6</v>
      </c>
      <c r="U138" s="240" t="inlineStr">
        <is>
          <t>H-242</t>
        </is>
      </c>
      <c r="V138" s="136">
        <f>$J$123-242</f>
        <v/>
      </c>
      <c r="W138" s="293">
        <f>$J$119*T138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3</v>
      </c>
      <c r="H141" s="143" t="inlineStr">
        <is>
          <t>45° (W-60-(3+1)×4)/3</t>
        </is>
      </c>
      <c r="I141" s="178">
        <f>($J$126-60-(3+1)*4)/3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3</v>
      </c>
      <c r="H142" s="143" t="inlineStr">
        <is>
          <t>45° (W-60-(3+1)×4)/3</t>
        </is>
      </c>
      <c r="I142" s="178">
        <f>($J$126-60-(3+1)*4)/3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4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44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44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</row>
    <row r="154" ht="18" customFormat="1" customHeight="1" s="278">
      <c r="A154" s="143">
        <f>IF(B154="","",+A153+1)</f>
        <v/>
      </c>
      <c r="B154" s="140" t="n"/>
      <c r="C154" s="140" t="n"/>
      <c r="D154" s="139" t="n"/>
      <c r="E154" s="143" t="n"/>
      <c r="F154" s="139" t="n"/>
      <c r="G154" s="143" t="n"/>
      <c r="H154" s="143" t="n"/>
      <c r="I154" s="144" t="n"/>
      <c r="J154" s="131">
        <f>$J$120*G154</f>
        <v/>
      </c>
      <c r="N154" s="287" t="n"/>
    </row>
    <row r="155" ht="18" customFormat="1" customHeight="1" s="278">
      <c r="A155" s="143">
        <f>IF(B155="","",+A154+1)</f>
        <v/>
      </c>
      <c r="B155" s="140" t="n"/>
      <c r="C155" s="140" t="n"/>
      <c r="D155" s="139" t="n"/>
      <c r="E155" s="143" t="n"/>
      <c r="F155" s="139" t="n"/>
      <c r="G155" s="143" t="n"/>
      <c r="H155" s="143" t="n"/>
      <c r="I155" s="144" t="n"/>
      <c r="J155" s="131">
        <f>$J$120*G155</f>
        <v/>
      </c>
      <c r="N155" s="287" t="n"/>
    </row>
    <row r="156" ht="18" customFormat="1" customHeight="1" s="278">
      <c r="A156" s="143">
        <f>IF(B156="","",+A155+1)</f>
        <v/>
      </c>
      <c r="B156" s="140" t="n"/>
      <c r="C156" s="140" t="n"/>
      <c r="D156" s="139" t="n"/>
      <c r="E156" s="143" t="n"/>
      <c r="F156" s="139" t="n"/>
      <c r="G156" s="143" t="n"/>
      <c r="H156" s="143" t="n"/>
      <c r="I156" s="144" t="n"/>
      <c r="J156" s="131">
        <f>$J$120*G156</f>
        <v/>
      </c>
      <c r="N156" s="287" t="n"/>
    </row>
    <row r="157" ht="18" customFormat="1" customHeight="1" s="278" thickBot="1">
      <c r="A157" s="143">
        <f>IF(B157="","",+A156+1)</f>
        <v/>
      </c>
      <c r="B157" s="207" t="n"/>
      <c r="C157" s="207" t="n"/>
      <c r="D157" s="208" t="n"/>
      <c r="E157" s="209" t="n"/>
      <c r="F157" s="208" t="n"/>
      <c r="G157" s="209" t="n"/>
      <c r="H157" s="209" t="n"/>
      <c r="I157" s="171" t="n"/>
      <c r="J157" s="172">
        <f>$J$120*G157</f>
        <v/>
      </c>
    </row>
    <row r="158" outlineLevel="1" ht="27" customFormat="1" customHeight="1" s="278" thickBot="1">
      <c r="A158" s="169" t="inlineStr">
        <is>
          <t>ITEM</t>
        </is>
      </c>
      <c r="B158" s="169" t="inlineStr">
        <is>
          <t>THAI</t>
        </is>
      </c>
      <c r="C158" s="169" t="inlineStr">
        <is>
          <t>DESCRIPTION</t>
        </is>
      </c>
      <c r="D158" s="169" t="inlineStr">
        <is>
          <t>DIE NO.</t>
        </is>
      </c>
      <c r="E158" s="169" t="inlineStr">
        <is>
          <t>KG/m</t>
        </is>
      </c>
      <c r="F158" s="177" t="inlineStr">
        <is>
          <t>TOTAL
LENGTH/SET(mm)</t>
        </is>
      </c>
      <c r="G158" s="169" t="inlineStr">
        <is>
          <t>LENGTH/SET(m)</t>
        </is>
      </c>
      <c r="H158" s="170" t="inlineStr">
        <is>
          <t>TAKE OFF/6.4M</t>
        </is>
      </c>
      <c r="I158" s="540" t="n"/>
    </row>
    <row r="159" outlineLevel="1" ht="15" customFormat="1" customHeight="1" s="278">
      <c r="A159" s="21">
        <f>IF(B159="","",1)</f>
        <v/>
      </c>
      <c r="B159" s="173">
        <f>B133</f>
        <v/>
      </c>
      <c r="C159" s="173">
        <f>C133</f>
        <v/>
      </c>
      <c r="D159" s="577">
        <f>VLOOKUP(C159,$C$133:$H$157,2,0)</f>
        <v/>
      </c>
      <c r="E159" s="175">
        <f>VLOOKUP(C159,$C$133:$H$157,3,0)</f>
        <v/>
      </c>
      <c r="F159" s="175">
        <f>VLOOKUP(C159,$C$133:$J$157,7,0)</f>
        <v/>
      </c>
      <c r="G159" s="175">
        <f>VLOOKUP(C159,$C$133:$J$157,8,0)</f>
        <v/>
      </c>
      <c r="H159" s="176">
        <f>ROUNDUP((F159*G159)/6400,0)</f>
        <v/>
      </c>
      <c r="I159" s="500" t="n"/>
    </row>
    <row r="160" outlineLevel="1" ht="15" customFormat="1" customHeight="1" s="278">
      <c r="A160" s="213">
        <f>IF(B160="","",+A159+1)</f>
        <v/>
      </c>
      <c r="B160" s="173">
        <f>B134</f>
        <v/>
      </c>
      <c r="C160" s="173">
        <f>C134</f>
        <v/>
      </c>
      <c r="D160" s="577">
        <f>VLOOKUP(C160,$C$133:$H$157,2,0)</f>
        <v/>
      </c>
      <c r="E160" s="175">
        <f>VLOOKUP(C160,$C$133:$H$157,3,0)</f>
        <v/>
      </c>
      <c r="F160" s="175">
        <f>VLOOKUP(C160,$C$133:$I$157,7,0)</f>
        <v/>
      </c>
      <c r="G160" s="175">
        <f>VLOOKUP(C160,$C$133:$J$157,8,0)</f>
        <v/>
      </c>
      <c r="H160" s="176">
        <f>ROUNDUP((F160*G160)/6400,0)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B135</f>
        <v/>
      </c>
      <c r="C161" s="173">
        <f>C135</f>
        <v/>
      </c>
      <c r="D161" s="577">
        <f>VLOOKUP(C161,$C$133:$H$157,2,0)</f>
        <v/>
      </c>
      <c r="E161" s="175">
        <f>VLOOKUP(C161,$C$133:$H$157,3,0)</f>
        <v/>
      </c>
      <c r="F161" s="175">
        <f>VLOOKUP(C161,$C$133:$I$157,7,0)</f>
        <v/>
      </c>
      <c r="G161" s="175">
        <f>VLOOKUP(C161,$C$133:$J$157,8,0)</f>
        <v/>
      </c>
      <c r="H161" s="176">
        <f>ROUNDUP((F161*G161)/6400,0)</f>
        <v/>
      </c>
      <c r="I161" s="500" t="n"/>
    </row>
    <row r="162" outlineLevel="1" ht="15" customFormat="1" customHeight="1" s="278">
      <c r="A162" s="213">
        <f>IF(B162="","",+A161+1)</f>
        <v/>
      </c>
      <c r="B162" s="173">
        <f>B136</f>
        <v/>
      </c>
      <c r="C162" s="173">
        <f>C136</f>
        <v/>
      </c>
      <c r="D162" s="577">
        <f>VLOOKUP(C162,$C$133:$H$157,2,0)</f>
        <v/>
      </c>
      <c r="E162" s="175">
        <f>VLOOKUP(C162,$C$133:$H$157,3,0)</f>
        <v/>
      </c>
      <c r="F162" s="175">
        <f>VLOOKUP(C162,$C$133:$I$157,7,0)</f>
        <v/>
      </c>
      <c r="G162" s="175">
        <f>VLOOKUP(C162,$C$133:$J$157,8,0)</f>
        <v/>
      </c>
      <c r="H162" s="176">
        <f>ROUNDUP((F162*G162)/6400,0)</f>
        <v/>
      </c>
      <c r="I162" s="500" t="n"/>
    </row>
    <row r="163" outlineLevel="1" ht="15" customFormat="1" customHeight="1" s="278">
      <c r="A163" s="213">
        <f>IF(B163="","",+A162+1)</f>
        <v/>
      </c>
      <c r="B163" s="173">
        <f>B137</f>
        <v/>
      </c>
      <c r="C163" s="173">
        <f>C137</f>
        <v/>
      </c>
      <c r="D163" s="643">
        <f>VLOOKUP(C163,$C$133:$H$157,2,0)</f>
        <v/>
      </c>
      <c r="E163" s="175">
        <f>VLOOKUP(C163,$C$133:$H$157,3,0)</f>
        <v/>
      </c>
      <c r="F163" s="175">
        <f>VLOOKUP(C163,$C$133:$I$157,7,0)</f>
        <v/>
      </c>
      <c r="G163" s="175">
        <f>VLOOKUP(C163,$C$133:$J$157,8,0)</f>
        <v/>
      </c>
      <c r="H163" s="516">
        <f>ROUNDUP(((F163*G163)+(F164*G164))/6400,0)</f>
        <v/>
      </c>
      <c r="I163" s="506" t="n"/>
    </row>
    <row r="164" outlineLevel="1" ht="15" customFormat="1" customHeight="1" s="278">
      <c r="A164" s="213">
        <f>IF(B164="","",+A163+1)</f>
        <v/>
      </c>
      <c r="B164" s="173">
        <f>B138</f>
        <v/>
      </c>
      <c r="C164" s="173">
        <f>C138</f>
        <v/>
      </c>
      <c r="D164" s="625" t="n"/>
      <c r="E164" s="175">
        <f>VLOOKUP(C164,$C$133:$H$157,3,0)</f>
        <v/>
      </c>
      <c r="F164" s="175">
        <f>VLOOKUP(C164,$C$133:$I$157,7,0)</f>
        <v/>
      </c>
      <c r="G164" s="175">
        <f>VLOOKUP(C164,$C$133:$J$157,8,0)</f>
        <v/>
      </c>
      <c r="H164" s="644" t="n"/>
    </row>
    <row r="165" outlineLevel="1" ht="15" customFormat="1" customHeight="1" s="278">
      <c r="A165" s="213">
        <f>IF(B165="","",+A164+1)</f>
        <v/>
      </c>
      <c r="B165" s="173">
        <f>B139</f>
        <v/>
      </c>
      <c r="C165" s="173">
        <f>C139</f>
        <v/>
      </c>
      <c r="D165" s="643">
        <f>VLOOKUP(C165,$C$133:$H$157,2,0)</f>
        <v/>
      </c>
      <c r="E165" s="175">
        <f>VLOOKUP(C165,$C$133:$H$157,3,0)</f>
        <v/>
      </c>
      <c r="F165" s="175">
        <f>VLOOKUP(C165,$C$133:$I$157,7,0)</f>
        <v/>
      </c>
      <c r="G165" s="175">
        <f>VLOOKUP(C165,$C$133:$J$157,8,0)</f>
        <v/>
      </c>
      <c r="H165" s="516">
        <f>ROUNDUP(((F165*G165)+(F166*G166))/6400,0)</f>
        <v/>
      </c>
      <c r="I165" s="500" t="n"/>
    </row>
    <row r="166" outlineLevel="1" ht="15" customFormat="1" customHeight="1" s="278">
      <c r="A166" s="213">
        <f>IF(B166="","",+A165+1)</f>
        <v/>
      </c>
      <c r="B166" s="173">
        <f>B140</f>
        <v/>
      </c>
      <c r="C166" s="173">
        <f>C140</f>
        <v/>
      </c>
      <c r="D166" s="625" t="n"/>
      <c r="E166" s="175">
        <f>VLOOKUP(C166,$C$133:$H$157,3,0)</f>
        <v/>
      </c>
      <c r="F166" s="175">
        <f>VLOOKUP(C166,$C$133:$I$157,7,0)</f>
        <v/>
      </c>
      <c r="G166" s="175">
        <f>VLOOKUP(C166,$C$133:$J$157,8,0)</f>
        <v/>
      </c>
      <c r="H166" s="644" t="n"/>
      <c r="I166" s="533" t="n"/>
    </row>
    <row r="167" outlineLevel="1" ht="13.8" customFormat="1" customHeight="1" s="278">
      <c r="A167" s="213">
        <f>IF(B167="","",+A166+1)</f>
        <v/>
      </c>
      <c r="B167" s="173">
        <f>B141</f>
        <v/>
      </c>
      <c r="C167" s="173">
        <f>C141</f>
        <v/>
      </c>
      <c r="D167" s="643">
        <f>VLOOKUP(C167,$C$133:$H$157,2,0)</f>
        <v/>
      </c>
      <c r="E167" s="175">
        <f>VLOOKUP(C167,$C$133:$H$157,3,0)</f>
        <v/>
      </c>
      <c r="F167" s="175">
        <f>VLOOKUP(C167,$C$133:$I$157,7,0)</f>
        <v/>
      </c>
      <c r="G167" s="175">
        <f>VLOOKUP(C167,$C$133:$J$157,8,0)</f>
        <v/>
      </c>
      <c r="H167" s="516">
        <f>ROUNDUP(((F167*G167)+(F168*G168)+(F169*G169)+(F170*G170)+(F171*G171))/6400,0)</f>
        <v/>
      </c>
      <c r="I167" s="645" t="n"/>
    </row>
    <row r="168" outlineLevel="1" ht="13.8" customFormat="1" customHeight="1" s="278">
      <c r="A168" s="213">
        <f>IF(B168="","",+A167+1)</f>
        <v/>
      </c>
      <c r="B168" s="173">
        <f>B142</f>
        <v/>
      </c>
      <c r="C168" s="173">
        <f>C142</f>
        <v/>
      </c>
      <c r="D168" s="624" t="n"/>
      <c r="E168" s="175">
        <f>VLOOKUP(C168,$C$133:$H$157,3,0)</f>
        <v/>
      </c>
      <c r="F168" s="175">
        <f>VLOOKUP(C168,$C$133:$I$157,7,0)</f>
        <v/>
      </c>
      <c r="G168" s="175">
        <f>VLOOKUP(C168,$C$133:$J$157,8,0)</f>
        <v/>
      </c>
      <c r="H168" s="646" t="n"/>
      <c r="I168" s="645" t="n"/>
    </row>
    <row r="169" outlineLevel="1" ht="13.8" customFormat="1" customHeight="1" s="278">
      <c r="A169" s="213">
        <f>IF(B169="","",+A168+1)</f>
        <v/>
      </c>
      <c r="B169" s="173">
        <f>B143</f>
        <v/>
      </c>
      <c r="C169" s="173">
        <f>C143</f>
        <v/>
      </c>
      <c r="D169" s="624" t="n"/>
      <c r="E169" s="175">
        <f>VLOOKUP(C169,$C$133:$H$157,3,0)</f>
        <v/>
      </c>
      <c r="F169" s="175">
        <f>VLOOKUP(C169,$C$133:$I$157,7,0)</f>
        <v/>
      </c>
      <c r="G169" s="175">
        <f>VLOOKUP(C169,$C$133:$J$157,8,0)</f>
        <v/>
      </c>
      <c r="H169" s="646" t="n"/>
      <c r="I169" s="645" t="n"/>
    </row>
    <row r="170" outlineLevel="1" ht="13.8" customFormat="1" customHeight="1" s="278">
      <c r="A170" s="213">
        <f>IF(B170="","",+A169+1)</f>
        <v/>
      </c>
      <c r="B170" s="173">
        <f>B144</f>
        <v/>
      </c>
      <c r="C170" s="173">
        <f>C144</f>
        <v/>
      </c>
      <c r="D170" s="624" t="n"/>
      <c r="E170" s="175">
        <f>VLOOKUP(C170,$C$133:$H$157,3,0)</f>
        <v/>
      </c>
      <c r="F170" s="175">
        <f>VLOOKUP(C170,$C$133:$I$157,7,0)</f>
        <v/>
      </c>
      <c r="G170" s="175">
        <f>VLOOKUP(C170,$C$133:$J$157,8,0)</f>
        <v/>
      </c>
      <c r="H170" s="646" t="n"/>
      <c r="I170" s="533" t="n"/>
    </row>
    <row r="171" outlineLevel="1" ht="13.8" customFormat="1" customHeight="1" s="278">
      <c r="A171" s="213">
        <f>IF(B171="","",+A170+1)</f>
        <v/>
      </c>
      <c r="B171" s="173">
        <f>B145</f>
        <v/>
      </c>
      <c r="C171" s="173">
        <f>C145</f>
        <v/>
      </c>
      <c r="D171" s="625" t="n"/>
      <c r="E171" s="175">
        <f>VLOOKUP(C171,$C$133:$H$157,3,0)</f>
        <v/>
      </c>
      <c r="F171" s="175">
        <f>VLOOKUP(C171,$C$133:$I$157,7,0)</f>
        <v/>
      </c>
      <c r="G171" s="175">
        <f>VLOOKUP(C171,$C$133:$J$157,8,0)</f>
        <v/>
      </c>
      <c r="H171" s="644" t="n"/>
      <c r="I171" s="645" t="n"/>
    </row>
    <row r="172" outlineLevel="1" ht="13.8" customFormat="1" customHeight="1" s="278">
      <c r="A172" s="213">
        <f>IF(B172="","",+A171+1)</f>
        <v/>
      </c>
      <c r="B172" s="173">
        <f>B146</f>
        <v/>
      </c>
      <c r="C172" s="173">
        <f>C146</f>
        <v/>
      </c>
      <c r="D172" s="647">
        <f>VLOOKUP(C172,$C$133:$H$157,2,0)</f>
        <v/>
      </c>
      <c r="E172" s="175">
        <f>VLOOKUP(C172,$C$133:$H$157,3,0)</f>
        <v/>
      </c>
      <c r="F172" s="175">
        <f>VLOOKUP(C172,$C$133:$I$157,7,0)</f>
        <v/>
      </c>
      <c r="G172" s="175">
        <f>VLOOKUP(C172,$C$133:$J$157,8,0)</f>
        <v/>
      </c>
      <c r="H172" s="573">
        <f>ROUNDUP(((F172*G172)+(F173*G173))/6400,0)</f>
        <v/>
      </c>
      <c r="I172" s="500" t="n"/>
    </row>
    <row r="173" outlineLevel="1" ht="15" customFormat="1" customHeight="1" s="23" thickBot="1">
      <c r="A173" s="213">
        <f>IF(B173="","",+A172+1)</f>
        <v/>
      </c>
      <c r="B173" s="173">
        <f>B147</f>
        <v/>
      </c>
      <c r="C173" s="173">
        <f>C147</f>
        <v/>
      </c>
      <c r="D173" s="648" t="n"/>
      <c r="E173" s="175">
        <f>VLOOKUP(C173,$C$133:$H$157,3,0)</f>
        <v/>
      </c>
      <c r="F173" s="175">
        <f>VLOOKUP(C173,$C$133:$I$157,7,0)</f>
        <v/>
      </c>
      <c r="G173" s="175">
        <f>VLOOKUP(C173,$C$133:$J$157,8,0)</f>
        <v/>
      </c>
      <c r="H173" s="649" t="n"/>
      <c r="I173" s="500" t="n"/>
      <c r="K173" s="278" t="n"/>
      <c r="L173" s="278" t="n"/>
      <c r="M173" s="278" t="n"/>
      <c r="N173" s="278" t="n"/>
      <c r="O173" s="278" t="n"/>
      <c r="P173" s="278" t="n"/>
      <c r="Q173" s="278" t="n"/>
      <c r="R173" s="278" t="n"/>
      <c r="S173" s="278" t="n"/>
      <c r="T173" s="278" t="n"/>
      <c r="U173" s="278" t="n"/>
      <c r="V173" s="278" t="n"/>
      <c r="Y173" s="278" t="n"/>
      <c r="Z173" s="278" t="n"/>
      <c r="AA173" s="278" t="n"/>
      <c r="AB173" s="278" t="n"/>
      <c r="AC173" s="278" t="n"/>
      <c r="AD173" s="278" t="n"/>
      <c r="AE173" s="278" t="n"/>
      <c r="AF173" s="278" t="n"/>
      <c r="AG173" s="278" t="n"/>
      <c r="AH173" s="278" t="n"/>
      <c r="AI173" s="278" t="n"/>
      <c r="AJ173" s="278" t="n"/>
    </row>
    <row r="174" ht="24.9" customFormat="1" customHeight="1" s="278" thickBot="1">
      <c r="A174" s="642" t="inlineStr">
        <is>
          <t>PARTS LIST HARDWARE &amp; ACCESSORIES</t>
        </is>
      </c>
      <c r="B174" s="634" t="n"/>
      <c r="C174" s="634" t="n"/>
      <c r="D174" s="634" t="n"/>
      <c r="E174" s="634" t="n"/>
      <c r="F174" s="634" t="n"/>
      <c r="G174" s="634" t="n"/>
      <c r="H174" s="634" t="n"/>
      <c r="I174" s="634" t="n"/>
      <c r="J174" s="635" t="n"/>
    </row>
    <row r="175" ht="35.1" customFormat="1" customHeight="1" s="278" thickBot="1">
      <c r="A175" s="102" t="inlineStr">
        <is>
          <t>ITEM</t>
        </is>
      </c>
      <c r="B175" s="103" t="inlineStr">
        <is>
          <t>THAI</t>
        </is>
      </c>
      <c r="C175" s="103" t="inlineStr">
        <is>
          <t>DESCRIPTION</t>
        </is>
      </c>
      <c r="D175" s="103" t="inlineStr">
        <is>
          <t>PART NO.</t>
        </is>
      </c>
      <c r="E175" s="103" t="inlineStr">
        <is>
          <t>KG/m</t>
        </is>
      </c>
      <c r="F175" s="104" t="inlineStr">
        <is>
          <t>DRAWING</t>
        </is>
      </c>
      <c r="G175" s="103" t="inlineStr">
        <is>
          <t>PER</t>
        </is>
      </c>
      <c r="H175" s="104" t="inlineStr">
        <is>
          <t>QUANTITY</t>
        </is>
      </c>
      <c r="I175" s="104" t="inlineStr">
        <is>
          <t>Pack QTY</t>
        </is>
      </c>
      <c r="J175" s="115" t="inlineStr">
        <is>
          <t>TOTAL</t>
        </is>
      </c>
      <c r="N175" s="101" t="inlineStr">
        <is>
          <t>Glass size</t>
        </is>
      </c>
      <c r="O175" s="246" t="inlineStr">
        <is>
          <t>THAI</t>
        </is>
      </c>
      <c r="P175" s="246" t="inlineStr">
        <is>
          <t>DESCRIPTION</t>
        </is>
      </c>
      <c r="Q175" s="246" t="inlineStr">
        <is>
          <t>PART NO.</t>
        </is>
      </c>
      <c r="R175" s="246" t="inlineStr">
        <is>
          <t>KG/m</t>
        </is>
      </c>
      <c r="S175" s="246" t="inlineStr">
        <is>
          <t>DRAWING</t>
        </is>
      </c>
      <c r="T175" s="246" t="inlineStr">
        <is>
          <t>PER</t>
        </is>
      </c>
      <c r="U175" s="246" t="inlineStr">
        <is>
          <t>QUANTITY</t>
        </is>
      </c>
      <c r="V175" s="246" t="inlineStr">
        <is>
          <t>Pack QTY</t>
        </is>
      </c>
      <c r="W175" s="246" t="inlineStr">
        <is>
          <t>TOTAL</t>
        </is>
      </c>
    </row>
    <row r="176" ht="18" customFormat="1" customHeight="1" s="278">
      <c r="A176" s="200">
        <f>IF(B176="","",1)</f>
        <v/>
      </c>
      <c r="B176" s="140" t="inlineStr">
        <is>
          <t>ตัวรับกลอน</t>
        </is>
      </c>
      <c r="C176" s="140" t="inlineStr">
        <is>
          <t xml:space="preserve">FLUSH BOLT RECEIVER </t>
        </is>
      </c>
      <c r="D176" s="139" t="inlineStr">
        <is>
          <t>04-016</t>
        </is>
      </c>
      <c r="E176" s="143" t="n"/>
      <c r="F176" s="143" t="inlineStr">
        <is>
          <t>04-016</t>
        </is>
      </c>
      <c r="G176" s="143" t="inlineStr">
        <is>
          <t>PC</t>
        </is>
      </c>
      <c r="H176" s="143" t="n">
        <v>1</v>
      </c>
      <c r="I176" s="130" t="n"/>
      <c r="J176" s="131">
        <f>$J$120*H176</f>
        <v/>
      </c>
      <c r="N176" s="101" t="inlineStr">
        <is>
          <t>5,6,18</t>
        </is>
      </c>
      <c r="O176" s="280" t="inlineStr">
        <is>
          <t>5,6,18 mm ยางรองกระจก</t>
        </is>
      </c>
      <c r="P176" s="415" t="inlineStr">
        <is>
          <t>5,6,18 mm CAPTIVE WEDGE</t>
        </is>
      </c>
      <c r="Q176" s="280" t="inlineStr">
        <is>
          <t>02-022</t>
        </is>
      </c>
      <c r="R176" s="213" t="n"/>
      <c r="S176" s="213" t="inlineStr">
        <is>
          <t>02-022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หมอนรองกระจก</t>
        </is>
      </c>
      <c r="C177" s="140" t="inlineStr">
        <is>
          <t>SETTING BLOCK</t>
        </is>
      </c>
      <c r="D177" s="139" t="inlineStr">
        <is>
          <t>02-037</t>
        </is>
      </c>
      <c r="E177" s="143" t="n"/>
      <c r="F177" s="143" t="inlineStr">
        <is>
          <t>02-037</t>
        </is>
      </c>
      <c r="G177" s="143" t="inlineStr">
        <is>
          <t>PC</t>
        </is>
      </c>
      <c r="H177" s="143" t="n">
        <v>6</v>
      </c>
      <c r="I177" s="130" t="n"/>
      <c r="J177" s="131">
        <f>$J$120*H177</f>
        <v/>
      </c>
      <c r="N177" s="101" t="inlineStr">
        <is>
          <t>12,20</t>
        </is>
      </c>
      <c r="O177" s="280" t="inlineStr">
        <is>
          <t>12,20 mm ยางรองกระจก</t>
        </is>
      </c>
      <c r="P177" s="415" t="inlineStr">
        <is>
          <t>12,20 mm CAPTIVE WEDGE</t>
        </is>
      </c>
      <c r="Q177" s="280" t="inlineStr">
        <is>
          <t>02-032</t>
        </is>
      </c>
      <c r="R177" s="213" t="n"/>
      <c r="S177" s="213" t="inlineStr">
        <is>
          <t>02-032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ประเก็นเฟรมบน</t>
        </is>
      </c>
      <c r="C178" s="140" t="inlineStr">
        <is>
          <t>FRAME SEAL BI-FOLD HEAD (L/R)</t>
        </is>
      </c>
      <c r="D178" s="139" t="inlineStr">
        <is>
          <t>02-015</t>
        </is>
      </c>
      <c r="E178" s="143" t="n"/>
      <c r="F178" s="143" t="inlineStr">
        <is>
          <t>02-015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5,8,10,12,18</t>
        </is>
      </c>
      <c r="O178" s="415" t="inlineStr">
        <is>
          <t>5,8,10,12,18 mmยางอัดกระจก</t>
        </is>
      </c>
      <c r="P178" s="415" t="inlineStr">
        <is>
          <t>5,8,10,12,18 mm ROLL IN WEDGE</t>
        </is>
      </c>
      <c r="Q178" s="280" t="inlineStr">
        <is>
          <t>02-033</t>
        </is>
      </c>
      <c r="R178" s="213" t="n"/>
      <c r="S178" s="213" t="inlineStr">
        <is>
          <t>02-033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ประเก็นเฟรมล่าง</t>
        </is>
      </c>
      <c r="C179" s="140" t="inlineStr">
        <is>
          <t>FRAME SEAL BI-FOLD SILL (L/R)</t>
        </is>
      </c>
      <c r="D179" s="139" t="inlineStr">
        <is>
          <t>02-016</t>
        </is>
      </c>
      <c r="E179" s="143" t="n"/>
      <c r="F179" s="143" t="inlineStr">
        <is>
          <t>02-016</t>
        </is>
      </c>
      <c r="G179" s="143" t="inlineStr">
        <is>
          <t>PC</t>
        </is>
      </c>
      <c r="H179" s="143" t="n">
        <v>2</v>
      </c>
      <c r="I179" s="130" t="n"/>
      <c r="J179" s="131">
        <f>$J$120*H179</f>
        <v/>
      </c>
      <c r="N179" s="101" t="inlineStr">
        <is>
          <t>6,20</t>
        </is>
      </c>
      <c r="O179" s="415" t="inlineStr">
        <is>
          <t>6,20 mm ยางอัดกระจก</t>
        </is>
      </c>
      <c r="P179" s="415" t="inlineStr">
        <is>
          <t>6,20 mm ROLL IN WEDGE</t>
        </is>
      </c>
      <c r="Q179" s="280" t="inlineStr">
        <is>
          <t>02-034</t>
        </is>
      </c>
      <c r="R179" s="213" t="n"/>
      <c r="S179" s="213" t="inlineStr">
        <is>
          <t>02-034</t>
        </is>
      </c>
      <c r="T179" s="213" t="inlineStr">
        <is>
          <t>M</t>
        </is>
      </c>
      <c r="U179" s="650">
        <f>((($I$141*$G$141)+($I$142*$G$142)+($I$143*$G$143)+($I$144*$G$144)+($I$145*$G$145))/1000)*$J$120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38</t>
        </is>
      </c>
      <c r="C180" s="140" t="inlineStr">
        <is>
          <t>#8x38 mm. SS PH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24</v>
      </c>
      <c r="I180" s="130" t="n"/>
      <c r="J180" s="131">
        <f>$J$120*H180</f>
        <v/>
      </c>
      <c r="N180" s="101" t="inlineStr">
        <is>
          <t>8,14</t>
        </is>
      </c>
      <c r="O180" s="415" t="inlineStr">
        <is>
          <t>8,14 mm ยางอัดกระจก</t>
        </is>
      </c>
      <c r="P180" s="415" t="inlineStr">
        <is>
          <t>8,14 mm ROLL IN WEDGE</t>
        </is>
      </c>
      <c r="Q180" s="280" t="inlineStr">
        <is>
          <t>02-045</t>
        </is>
      </c>
      <c r="R180" s="213" t="n"/>
      <c r="S180" s="213" t="inlineStr">
        <is>
          <t>02-045</t>
        </is>
      </c>
      <c r="T180" s="213" t="inlineStr">
        <is>
          <t>M</t>
        </is>
      </c>
      <c r="U180" s="650">
        <f>((($I$141*$G$141)+($I$142*$G$142)+($I$143*$G$143)+($I$144*$G$144)+($I$145*$G$145))/1000)*$J$120</f>
        <v/>
      </c>
      <c r="V180" s="650" t="n">
        <v>100</v>
      </c>
      <c r="W180" s="651">
        <f>ROUNDUP((U180)/100,0)</f>
        <v/>
      </c>
    </row>
    <row r="181" ht="18" customFormat="1" customHeight="1" s="278">
      <c r="A181" s="201">
        <f>IF(B181="","",+A180+1)</f>
        <v/>
      </c>
      <c r="B181" s="140" t="inlineStr">
        <is>
          <t>สกรู × 12</t>
        </is>
      </c>
      <c r="C181" s="140" t="inlineStr">
        <is>
          <t>#8x12 mm. CSK SELF TAPPING SCREW</t>
        </is>
      </c>
      <c r="D181" s="139" t="n">
        <v>9</v>
      </c>
      <c r="E181" s="143" t="n"/>
      <c r="F181" s="143" t="n">
        <v>9</v>
      </c>
      <c r="G181" s="143" t="inlineStr">
        <is>
          <t>PC</t>
        </is>
      </c>
      <c r="H181" s="143" t="n">
        <v>48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ชุดล้อแขวนบานตายซ้าย</t>
        </is>
      </c>
      <c r="C182" s="140" t="inlineStr">
        <is>
          <t>Left Hand Pivot Set</t>
        </is>
      </c>
      <c r="D182" s="139" t="inlineStr">
        <is>
          <t>05-006</t>
        </is>
      </c>
      <c r="E182" s="143" t="n"/>
      <c r="F182" s="143" t="inlineStr">
        <is>
          <t>05-006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ชุดบานพับต่างระดับมีมือจับ</t>
        </is>
      </c>
      <c r="C184" s="140" t="inlineStr">
        <is>
          <t>offset Hinge Handle Set</t>
        </is>
      </c>
      <c r="D184" s="139" t="inlineStr">
        <is>
          <t>05-005</t>
        </is>
      </c>
      <c r="E184" s="143" t="n"/>
      <c r="F184" s="143" t="inlineStr">
        <is>
          <t>05-005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278" t="n"/>
      <c r="O185" s="278" t="n"/>
      <c r="P185" s="278" t="n"/>
      <c r="Q185" s="442" t="n"/>
      <c r="R185" s="442" t="n"/>
      <c r="S185" s="442" t="n"/>
      <c r="T185" s="109" t="n"/>
      <c r="U185" s="109" t="n"/>
      <c r="V185" s="109" t="n"/>
      <c r="W185" s="278" t="n"/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FRAME SEAL</t>
        </is>
      </c>
      <c r="O186" s="246" t="inlineStr">
        <is>
          <t>THAI</t>
        </is>
      </c>
      <c r="P186" s="246" t="inlineStr">
        <is>
          <t>DESCRIPTION</t>
        </is>
      </c>
      <c r="Q186" s="246" t="inlineStr">
        <is>
          <t>PART NO.</t>
        </is>
      </c>
      <c r="R186" s="246" t="inlineStr">
        <is>
          <t>KG/m</t>
        </is>
      </c>
      <c r="S186" s="246" t="inlineStr">
        <is>
          <t>DRAWING</t>
        </is>
      </c>
      <c r="T186" s="246" t="inlineStr">
        <is>
          <t>PER</t>
        </is>
      </c>
      <c r="U186" s="246" t="inlineStr">
        <is>
          <t>QUANTITY</t>
        </is>
      </c>
      <c r="V186" s="246" t="inlineStr">
        <is>
          <t>Pack QTY</t>
        </is>
      </c>
      <c r="W186" s="246" t="inlineStr">
        <is>
          <t>TOTAL</t>
        </is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2</v>
      </c>
      <c r="I187" s="144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ยางเฟรมกันน้ำ (ธรรมดา)</t>
        </is>
      </c>
      <c r="P187" s="415" t="inlineStr">
        <is>
          <t>FRAME SEAL (Standard)</t>
        </is>
      </c>
      <c r="Q187" s="280" t="inlineStr">
        <is>
          <t>02-026</t>
        </is>
      </c>
      <c r="R187" s="213" t="n"/>
      <c r="S187" s="213" t="inlineStr">
        <is>
          <t>02-026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300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44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ยางเฟรมกันน้ำ (กันเสียง)</t>
        </is>
      </c>
      <c r="P188" s="415" t="inlineStr">
        <is>
          <t>FRAME SEAL (Soumdproof)</t>
        </is>
      </c>
      <c r="Q188" s="280" t="inlineStr">
        <is>
          <t>02-025</t>
        </is>
      </c>
      <c r="R188" s="213" t="n"/>
      <c r="S188" s="213" t="inlineStr">
        <is>
          <t>02-025</t>
        </is>
      </c>
      <c r="T188" s="213" t="inlineStr">
        <is>
          <t>M</t>
        </is>
      </c>
      <c r="U188" s="650">
        <f>((($I$134*$G$134)+($I$136*$G$136)+($I$139*$G$139))/1000)*$J$120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39">
        <f>IF($D$129="Standard",$O$187,IF($D$129="Soumdproof",$O$188,))</f>
        <v/>
      </c>
      <c r="C189" s="139">
        <f>IF($D$129="Standard",$P$187,IF($D$129="Soumdproof",$P$188,))</f>
        <v/>
      </c>
      <c r="D189" s="139">
        <f>IF($D$129="Standard",$Q$187,IF($D$129="Soumdproof",$Q$188,))</f>
        <v/>
      </c>
      <c r="E189" s="143">
        <f>IF($D$129="Standard",R188,IF($D$129="Soumdproof",R189,))</f>
        <v/>
      </c>
      <c r="F189" s="143">
        <f>IF($D$129="Standard",$S$187,IF($D$129="Soumdproof",$S$188,))</f>
        <v/>
      </c>
      <c r="G189" s="143">
        <f>IF($D$129="Standard",$T$187,IF($D$129="Soumdproof",$T$188,))</f>
        <v/>
      </c>
      <c r="H189" s="652">
        <f>IF($D$129="Standard",$U$187,IF($D$129="Soumdproof",$U$188,))</f>
        <v/>
      </c>
      <c r="I189" s="653">
        <f>IF($D$129="Standard",$V$187,IF($D$129="Soumdproof",$V$188,))</f>
        <v/>
      </c>
      <c r="J189" s="655">
        <f>ROUNDUP((H189)/100,0)</f>
        <v/>
      </c>
      <c r="N189" s="101" t="inlineStr">
        <is>
          <t>ธรรมดา</t>
        </is>
      </c>
      <c r="O189" s="415" t="inlineStr">
        <is>
          <t>ยางแซชกันน้ำ (ธรรมดา)</t>
        </is>
      </c>
      <c r="P189" s="415" t="inlineStr">
        <is>
          <t>SASH SEAL FOAM (Standard)</t>
        </is>
      </c>
      <c r="Q189" s="280" t="inlineStr">
        <is>
          <t>02-031</t>
        </is>
      </c>
      <c r="R189" s="213" t="n"/>
      <c r="S189" s="213" t="inlineStr">
        <is>
          <t>02-031</t>
        </is>
      </c>
      <c r="T189" s="213" t="inlineStr">
        <is>
          <t>M</t>
        </is>
      </c>
      <c r="U189" s="650">
        <f>((($I$143*$G$143*2)+($I$144*$G$144*2)+($I$141*$G$141*2))/1000)*$J$120</f>
        <v/>
      </c>
      <c r="V189" s="650" t="n">
        <v>350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39">
        <f>IF($D$129="Standard",$O$189,IF($D$129="Soumdproof",$O$190,))</f>
        <v/>
      </c>
      <c r="C190" s="139">
        <f>IF($D$129="Standard",$P$189,IF($D$129="Soumdproof",$P$190,))</f>
        <v/>
      </c>
      <c r="D190" s="139">
        <f>IF($D$129="Standard",$Q$189,IF($D$129="Soumdproof",$Q$190,))</f>
        <v/>
      </c>
      <c r="E190" s="143">
        <f>IF($D$129="Standard",R190,IF($D$129="Soumdproof",R191,))</f>
        <v/>
      </c>
      <c r="F190" s="143">
        <f>IF($D$129="Standard",$S$189,IF($D$129="Soumdproof",$S$190,))</f>
        <v/>
      </c>
      <c r="G190" s="143">
        <f>IF($D$129="Standard",$T$189,IF($D$129="Soumdproof",$T$190,))</f>
        <v/>
      </c>
      <c r="H190" s="652">
        <f>IF($D$129="Standard",$U$189,IF($D$129="Soumdproof",$U$190,))</f>
        <v/>
      </c>
      <c r="I190" s="653">
        <f>IF($D$129="Standard",$V$189,IF($D$129="Soumdproof",$V$190,))</f>
        <v/>
      </c>
      <c r="J190" s="655">
        <f>ROUNDUP((H190)/100,0)</f>
        <v/>
      </c>
      <c r="N190" s="101" t="inlineStr">
        <is>
          <t>กันเสียง</t>
        </is>
      </c>
      <c r="O190" s="415" t="inlineStr">
        <is>
          <t>ยางแซชกันน้ำ (กันเสียง)</t>
        </is>
      </c>
      <c r="P190" s="415" t="inlineStr">
        <is>
          <t>SASH SEAL FOAM (Soumdproof)</t>
        </is>
      </c>
      <c r="Q190" s="280" t="inlineStr">
        <is>
          <t>02-035</t>
        </is>
      </c>
      <c r="R190" s="213" t="n"/>
      <c r="S190" s="213" t="inlineStr">
        <is>
          <t>02-035</t>
        </is>
      </c>
      <c r="T190" s="213" t="inlineStr">
        <is>
          <t>M</t>
        </is>
      </c>
      <c r="U190" s="650">
        <f>((($I$143*$G$143*2)+($I$144*$G$144*2)+($I$141*$G$141*2))/1000)*$J$120</f>
        <v/>
      </c>
      <c r="V190" s="650" t="n">
        <v>100</v>
      </c>
      <c r="W190" s="651">
        <f>ROUNDUP((U190)/V190,0)</f>
        <v/>
      </c>
    </row>
    <row r="191" ht="18" customFormat="1" customHeight="1" s="278">
      <c r="A191" s="201">
        <f>IF(B191="","",+A190+1)</f>
        <v/>
      </c>
      <c r="B191" s="296">
        <f>IF($D$127=5,$O$178,IF($D$127=6,$O$179,IF($D$127=8,$O$180,IF($D$127=10,$O$178,IF($D$127=12,$O$178,IF($D$127=14,$O$180,IF($D$127=18,$O$178,IF($D$127=20,$O$179,IF($D$127=22,"")))))))))</f>
        <v/>
      </c>
      <c r="C191" s="296">
        <f>IF($D$127=5,$P$178,IF($D$127=6,$P$179,IF($D$127=8,$P$180,IF($D$127=10,$P$178,IF($D$127=12,$P$178,IF($D$127=14,$P$180,IF($D$127=18,$P$178,IF($D$127=20,$P$179,IF($D$127=22,"")))))))))</f>
        <v/>
      </c>
      <c r="D191" s="296">
        <f>IF($D$127=5,$Q$178,IF($D$127=6,$Q$179,IF($D$127=8,$Q$180,IF($D$127=10,$Q$178,IF($D$127=12,$Q$178,IF($D$127=14,$Q$180,IF($D$127=18,$Q$178,IF($D$127=20,$Q$179,IF($D$127=22,"")))))))))</f>
        <v/>
      </c>
      <c r="E191" s="296">
        <f>IF($D$127=5,R179,IF($D$127=6,R180,IF($D$127=8,R181,IF($D$127=10,R179,IF($D$127=12,R179,IF($D$127=14,R181,IF($D$127=18,R179,IF($D$127=20,R180,IF($D$127=22,"",)))))))))</f>
        <v/>
      </c>
      <c r="F191" s="242">
        <f>IF($D$127=5,$S$178,IF($D$127=6,$S$179,IF($D$127=8,$S$180,IF($D$127=10,$S$178,IF($D$127=12,$S$178,IF($D$127=14,$S$180,IF($D$127=18,$S$178,IF($D$127=20,$S$179,IF($D$127=22,"")))))))))</f>
        <v/>
      </c>
      <c r="G191" s="242">
        <f>IF($D$127=5,$T$178,IF($D$127=6,$T$179,IF($D$127=8,$T$180,IF($D$127=10,$T$178,IF($D$127=12,$T$178,IF($D$127=14,$T$180,IF($D$127=18,$T$178,IF($D$127=20,$T$179,IF($D$127=22,"")))))))))</f>
        <v/>
      </c>
      <c r="H191" s="652">
        <f>IF($D$127=5,$U$178,IF($D$127=6,$U$179,IF($D$127=8,$U$180,IF($D$127=10,$U$178*2,IF($D$127=12,$U$178,IF($D$127=14,$U$180*2,IF($D$127=18,$U$178,IF($D$127=20,$U$179,IF($D$127=22,"")))))))))</f>
        <v/>
      </c>
      <c r="I191" s="653">
        <f>IF($D$127=5,$V$178,IF($D$127=6,$V$179,IF($D$127=8,$V$180,IF($D$127=10,$V$178,IF($D$127=12,$V$178,IF($D$127=14,$V$180,IF($D$127=18,$V$178,IF($D$127=20,$V$179,IF($D$127=22,"")))))))))</f>
        <v/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296">
        <f>IF($D$127=5,$O$176,IF($D$127=6,$O$176,IF($D$127=8,$O$178,IF($D$127=10,"",IF($D$127=12,$O$177,IF($D$127=14,"",IF($D$127=18,$O$176,IF($D$127=20,$O$177,IF($D$127=22,"",)))))))))</f>
        <v/>
      </c>
      <c r="C192" s="296">
        <f>IF($D$127=5,$P$176,IF($D$127=6,$P$176,IF($D$127=8,$P$178,IF($D$127=10,"",IF($D$127=12,$P$177,IF($D$127=14,"",IF($D$127=18,$P$176,IF($D$127=20,$P$177,IF($D$127=22,"",)))))))))</f>
        <v/>
      </c>
      <c r="D192" s="296">
        <f>IF($D$127=5,$Q$176,IF($D$127=6,$Q$176,IF($D$127=8,$Q$178,IF($D$127=10,"",IF($D$127=12,$Q$177,IF($D$127=14,"",IF($D$127=18,$Q$176,IF($D$127=20,$Q$177,IF($D$127=22,"",)))))))))</f>
        <v/>
      </c>
      <c r="E192" s="296">
        <f>IF($D$127=5,R177,IF($D$127=6,R177,IF($D$127=8,R179,IF($D$127=10,"",IF($D$127=12,R178,IF($D$127=14,"",IF($D$127=18,R177,IF($D$127=20,R178,IF($D$127=22,"",)))))))))</f>
        <v/>
      </c>
      <c r="F192" s="242">
        <f>IF($D$127=5,$S$176,IF($D$127=6,$S$176,IF($D$127=8,$S$178,IF($D$127=10,"",IF($D$127=12,$S$177,IF($D$127=14,"",IF($D$127=18,$S$176,IF($D$127=20,$S$177,IF($D$127=22,"",)))))))))</f>
        <v/>
      </c>
      <c r="G192" s="242">
        <f>IF($D$127=5,$T$176,IF($D$127=6,$T$176,IF($D$127=8,$T$178,IF($D$127=10,"",IF($D$127=12,$T$177,IF($D$127=14,"",IF($D$127=18,$T$176,IF($D$127=20,$T$177,IF($D$127=22,"",)))))))))</f>
        <v/>
      </c>
      <c r="H192" s="652">
        <f>IF($D$127=5,$U$176,IF($D$127=6,$U$176,IF($D$127=8,$U$178,IF($D$127=10,"",IF($D$127=12,$U$177,IF($D$127=14,"",IF($D$127=18,$U$176,IF($D$127=20,$U$177,IF($D$127=22,"")))))))))</f>
        <v/>
      </c>
      <c r="I192" s="653">
        <f>IF($D$127=5,$V$176,IF($D$127=6,$V$176,IF($D$127=8,$V$178,IF($D$127=10,"",IF($D$127=12,$V$177,IF($D$127=14,"",IF($D$127=18,$V$176,IF($D$127=20,$V$177,IF($D$127=22,"",)))))))))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44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Height="1" s="344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  <c r="Y196" s="278" t="n"/>
      <c r="Z196" s="278" t="n"/>
      <c r="AA196" s="278" t="n"/>
      <c r="AB196" s="278" t="n"/>
      <c r="AC196" s="278" t="n"/>
      <c r="AD196" s="278" t="n"/>
      <c r="AE196" s="278" t="n"/>
      <c r="AF196" s="278" t="n"/>
      <c r="AG196" s="278" t="n"/>
      <c r="AH196" s="278" t="n"/>
      <c r="AI196" s="278" t="n"/>
      <c r="AJ196" s="278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 t="n"/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IF(B199="","",+A197+1)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IF(B200="","",+""+1)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  <c r="P200" s="334" t="n"/>
    </row>
    <row r="201" ht="18" customFormat="1" customHeight="1" s="278">
      <c r="A201" s="201">
        <f>IF(B201="","",+""+1)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IF(B202="","",+""+1)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 t="n"/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 t="n"/>
    </row>
    <row r="204" ht="18" customFormat="1" customHeight="1" s="278">
      <c r="A204" s="201">
        <f>IF(B204="","",+""+1)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06" t="n"/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 t="n"/>
    </row>
    <row r="206" ht="18" customHeight="1" s="344">
      <c r="A206" s="109" t="n"/>
      <c r="B206" s="278" t="n"/>
      <c r="C206" s="278" t="n"/>
      <c r="D206" s="161" t="n"/>
      <c r="E206" s="109" t="n"/>
      <c r="F206" s="109" t="n"/>
      <c r="G206" s="109" t="n"/>
      <c r="H206" s="109" t="n"/>
      <c r="J206" s="99">
        <f>LEFT($J$111,10)&amp;"-02"</f>
        <v/>
      </c>
    </row>
    <row r="207" ht="12.75" customHeight="1" s="344">
      <c r="K207" s="37" t="n"/>
      <c r="L207" s="37" t="n"/>
      <c r="M207" s="2" t="n"/>
      <c r="N207" s="2" t="n"/>
    </row>
    <row r="208" ht="30" customHeight="1" s="344">
      <c r="C208" s="5" t="n"/>
      <c r="D208" s="95" t="n"/>
      <c r="E208" s="95" t="n"/>
      <c r="F208" s="95" t="n"/>
      <c r="G208" s="95" t="n"/>
      <c r="H208" s="95" t="n"/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28" t="n"/>
      <c r="D209" s="28" t="n"/>
      <c r="E209" s="28" t="n"/>
      <c r="F209" s="28" t="n"/>
      <c r="G209" s="28" t="n"/>
      <c r="H209" s="28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B210" s="72" t="n"/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8" t="n"/>
      <c r="C211" s="78" t="n"/>
      <c r="D211" s="82" t="n"/>
      <c r="E211" s="78" t="n"/>
      <c r="F211" s="78" t="n"/>
      <c r="G211" s="78" t="n"/>
      <c r="H211" s="7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B214" s="93" t="n"/>
      <c r="C214" s="278" t="n"/>
      <c r="D214" s="161" t="n"/>
      <c r="E214" s="35" t="n"/>
      <c r="F214" s="160" t="n"/>
      <c r="G214" s="160" t="n"/>
      <c r="H214" s="160" t="n"/>
      <c r="I214" s="160" t="n"/>
      <c r="J214" s="532" t="n"/>
    </row>
    <row r="215" ht="15" customFormat="1" customHeight="1" s="278">
      <c r="A215" s="109" t="n"/>
      <c r="B215" s="278" t="n"/>
      <c r="C215" s="89" t="n"/>
      <c r="D215" s="161" t="n"/>
      <c r="E215" s="35" t="n"/>
      <c r="F215" s="161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Height="1" s="344">
      <c r="A217" s="109" t="n"/>
      <c r="B217" s="278" t="n"/>
      <c r="C217" s="542" t="n"/>
      <c r="D217" s="161" t="n"/>
      <c r="E217" s="109" t="n"/>
      <c r="F217" s="161" t="n"/>
      <c r="G217" s="278" t="n"/>
      <c r="H217" s="328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60" t="n"/>
      <c r="J218" s="532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.6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I222" s="109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J224" s="109" t="n"/>
    </row>
    <row r="225" ht="15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J225" s="109" t="n"/>
    </row>
    <row r="226" ht="15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J226" s="109" t="n"/>
    </row>
    <row r="227" ht="15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109" t="n"/>
      <c r="J228" s="109" t="n"/>
    </row>
    <row r="229" ht="15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109" t="n"/>
      <c r="J229" s="109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109" t="n"/>
      <c r="J230" s="109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109" t="n"/>
      <c r="J231" s="109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" t="n"/>
      <c r="J232" s="40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I234" s="328" t="n"/>
      <c r="J234" s="117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328" t="n"/>
      <c r="J235" s="117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328" t="n"/>
      <c r="J236" s="117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J238" s="109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109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36" t="n"/>
      <c r="I242" s="89" t="n"/>
      <c r="J242" s="118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109" t="n"/>
      <c r="I243" s="328" t="n"/>
      <c r="J243" s="117" t="n"/>
    </row>
    <row r="244" ht="15.9" customFormat="1" customHeight="1" s="278">
      <c r="A244" s="109" t="n"/>
      <c r="B244" s="278" t="n"/>
      <c r="C244" s="89" t="inlineStr">
        <is>
          <t xml:space="preserve">                          Sill</t>
        </is>
      </c>
      <c r="D244" s="161" t="n"/>
      <c r="E244" s="109" t="n"/>
      <c r="F244" s="161" t="n"/>
      <c r="G244" s="109" t="n"/>
      <c r="H244" s="109" t="n"/>
      <c r="I244" s="328" t="n"/>
      <c r="J244" s="117" t="n"/>
    </row>
    <row r="245" ht="15.9" customFormat="1" customHeight="1" s="278">
      <c r="A245" s="109" t="n"/>
      <c r="B245" s="278" t="n"/>
      <c r="C245" s="328" t="inlineStr">
        <is>
          <t xml:space="preserve">                          = Frame Width -60.00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542" t="inlineStr">
        <is>
          <t xml:space="preserve">                          ความกว้าง(วงกบ) - 60.00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656">
        <f>$I$135</f>
        <v/>
      </c>
      <c r="D247" s="161" t="n"/>
      <c r="E247" s="109" t="n"/>
      <c r="F247" s="161" t="n"/>
      <c r="G247" s="109" t="n"/>
      <c r="H247" s="109" t="n"/>
      <c r="I247" s="109" t="n"/>
      <c r="J247" s="501" t="n"/>
    </row>
    <row r="248" ht="15.9" customFormat="1" customHeight="1" s="278">
      <c r="A248" s="109" t="n"/>
      <c r="B248" s="278" t="n"/>
      <c r="C248" s="657">
        <f>$J$135</f>
        <v/>
      </c>
      <c r="D248" s="161" t="n"/>
      <c r="E248" s="109" t="n"/>
      <c r="F248" s="161" t="n"/>
      <c r="G248" s="109" t="n"/>
      <c r="H248" s="109" t="n"/>
      <c r="I248" s="501" t="n"/>
      <c r="J248" s="501" t="n"/>
    </row>
    <row r="249" ht="15.9" customFormat="1" customHeight="1" s="278">
      <c r="A249" s="109" t="n"/>
      <c r="B249" s="278" t="n"/>
      <c r="C249" s="161" t="n"/>
      <c r="D249" s="161" t="n"/>
      <c r="E249" s="109" t="n"/>
      <c r="F249" s="161" t="n"/>
      <c r="G249" s="109" t="n"/>
      <c r="H249" s="109" t="n"/>
      <c r="I249" s="501" t="n"/>
      <c r="J249" s="501" t="n"/>
    </row>
    <row r="250" ht="15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I250" s="501" t="n"/>
      <c r="J250" s="501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I251" s="44" t="n"/>
      <c r="J251" s="11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I252" s="44" t="n"/>
      <c r="J252" s="11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0" t="n"/>
      <c r="H253" s="109" t="n"/>
      <c r="I253" s="32" t="n"/>
      <c r="J253" s="40" t="n"/>
    </row>
    <row r="254" ht="15.9" customFormat="1" customHeight="1" s="278">
      <c r="A254" s="109" t="n"/>
      <c r="B254" s="278" t="n"/>
      <c r="D254" s="161" t="n"/>
      <c r="E254" s="109" t="n"/>
      <c r="F254" s="109" t="n"/>
      <c r="G254" s="109" t="n"/>
      <c r="H254" s="109" t="n"/>
      <c r="J254" s="109" t="n"/>
    </row>
    <row r="255" ht="15.9" customFormat="1" customHeight="1" s="278">
      <c r="A255" s="44" t="n"/>
      <c r="B255" s="44" t="n"/>
      <c r="D255" s="84" t="n"/>
      <c r="E255" s="44" t="n"/>
      <c r="F255" s="44" t="n"/>
      <c r="G255" s="109" t="n"/>
      <c r="H255" s="109" t="n"/>
      <c r="J255" s="109" t="n"/>
    </row>
    <row r="256" ht="15.9" customFormat="1" customHeight="1" s="278">
      <c r="A256" s="40" t="n"/>
      <c r="B256" s="40" t="n"/>
      <c r="C256" s="89" t="inlineStr">
        <is>
          <t xml:space="preserve">                          Door Stop Sill</t>
        </is>
      </c>
      <c r="D256" s="85" t="n"/>
      <c r="E256" s="40" t="n"/>
      <c r="F256" s="32" t="n"/>
      <c r="G256" s="109" t="n"/>
      <c r="J256" s="109" t="n"/>
    </row>
    <row r="257" ht="15.9" customFormat="1" customHeight="1" s="278">
      <c r="A257" s="27" t="n"/>
      <c r="B257" s="278" t="n"/>
      <c r="C257" s="328" t="inlineStr">
        <is>
          <t xml:space="preserve">                          = Frame Width -60.00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542" t="inlineStr">
        <is>
          <t xml:space="preserve">                          ความกว้าง(วงกบ) - 60.00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6">
        <f>$I$136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7">
        <f>$J$136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87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161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278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89" t="inlineStr">
        <is>
          <t xml:space="preserve">                          JAMB</t>
        </is>
      </c>
      <c r="D267" s="161" t="n"/>
      <c r="E267" s="109" t="n"/>
      <c r="F267" s="109" t="n"/>
      <c r="G267" s="109" t="n"/>
      <c r="H267" s="109" t="n"/>
      <c r="I267" s="501" t="n"/>
      <c r="J267" s="501" t="n"/>
    </row>
    <row r="268" ht="15.9" customFormat="1" customHeight="1" s="278">
      <c r="A268" s="27" t="n"/>
      <c r="B268" s="278" t="n"/>
      <c r="C268" s="328" t="inlineStr">
        <is>
          <t xml:space="preserve">                                  = FAME HIGHT</t>
        </is>
      </c>
      <c r="D268" s="328" t="n"/>
      <c r="E268" s="328" t="n"/>
      <c r="F268" s="109" t="n"/>
      <c r="G268" s="109" t="n"/>
      <c r="H268" s="109" t="n"/>
      <c r="I268" s="501" t="n"/>
      <c r="J268" s="501" t="n"/>
      <c r="AF268" s="278" t="n">
        <v>6</v>
      </c>
    </row>
    <row r="269" ht="15.9" customFormat="1" customHeight="1" s="278">
      <c r="A269" s="27" t="n"/>
      <c r="B269" s="278" t="n"/>
      <c r="C269" s="542" t="inlineStr">
        <is>
          <t xml:space="preserve">                          ความสูง (วงกบ)</t>
        </is>
      </c>
      <c r="D269" s="542" t="n"/>
      <c r="E269" s="542" t="n"/>
      <c r="F269" s="109" t="n"/>
      <c r="G269" s="109" t="n"/>
      <c r="H269" s="109" t="n"/>
      <c r="I269" s="501" t="n"/>
      <c r="J269" s="501" t="n"/>
    </row>
    <row r="270" ht="15.9" customFormat="1" customHeight="1" s="278">
      <c r="A270" s="27" t="n"/>
      <c r="B270" s="278" t="n"/>
      <c r="C270" s="656">
        <f>$I$137</f>
        <v/>
      </c>
      <c r="D270" s="161" t="n"/>
      <c r="E270" s="109" t="n"/>
      <c r="F270" s="109" t="n"/>
      <c r="G270" s="278" t="n"/>
      <c r="H270" s="278" t="n"/>
      <c r="I270" s="501" t="n"/>
      <c r="J270" s="501" t="n"/>
    </row>
    <row r="271" ht="15.9" customFormat="1" customHeight="1" s="278">
      <c r="A271" s="27" t="n"/>
      <c r="B271" s="278" t="n"/>
      <c r="C271" s="657">
        <f>$J$137+$J$138</f>
        <v/>
      </c>
      <c r="D271" s="161" t="n"/>
      <c r="E271" s="109" t="n"/>
      <c r="F271" s="109" t="n"/>
      <c r="G271" s="109" t="n"/>
      <c r="H271" s="109" t="n"/>
      <c r="I271" s="501" t="n"/>
      <c r="J271" s="501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I272" s="501" t="n"/>
      <c r="J272" s="501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B275" s="278" t="n"/>
      <c r="D275" s="89" t="n"/>
      <c r="E275" s="89" t="n"/>
      <c r="F275" s="109" t="n"/>
      <c r="G275" s="109" t="n"/>
      <c r="H275" s="109" t="n"/>
      <c r="J275" s="109" t="n"/>
    </row>
    <row r="276" ht="15.9" customFormat="1" customHeight="1" s="278">
      <c r="A276" s="27" t="n"/>
      <c r="D276" s="328" t="n"/>
      <c r="E276" s="328" t="n"/>
      <c r="F276" s="109" t="n"/>
      <c r="G276" s="109" t="n"/>
      <c r="H276" s="109" t="n"/>
      <c r="J276" s="109" t="n"/>
    </row>
    <row r="277" ht="15.9" customFormat="1" customHeight="1" s="278">
      <c r="A277" s="27" t="n"/>
      <c r="B277" s="278" t="n"/>
      <c r="D277" s="328" t="n"/>
      <c r="E277" s="328" t="n"/>
      <c r="F277" s="109" t="n"/>
      <c r="G277" s="109" t="n"/>
      <c r="J277" s="109" t="n"/>
    </row>
    <row r="278" ht="15.9" customFormat="1" customHeight="1" s="278">
      <c r="A278" s="27" t="n"/>
      <c r="B278" s="278" t="n"/>
      <c r="C278" s="278" t="n"/>
      <c r="D278" s="161" t="n"/>
      <c r="E278" s="109" t="n"/>
      <c r="F278" s="109" t="n"/>
      <c r="G278" s="109" t="n"/>
      <c r="J278" s="109" t="n"/>
    </row>
    <row r="279" ht="15.9" customFormat="1" customHeight="1" s="278">
      <c r="A279" s="27" t="n"/>
      <c r="B279" s="278" t="n"/>
      <c r="C279" s="89" t="inlineStr">
        <is>
          <t xml:space="preserve">                          Door Stop Jamb</t>
        </is>
      </c>
      <c r="D279" s="162" t="n"/>
      <c r="E279" s="501" t="n"/>
      <c r="F279" s="109" t="n"/>
      <c r="G279" s="109" t="n"/>
      <c r="J279" s="109" t="n"/>
    </row>
    <row r="280" ht="15.9" customFormat="1" customHeight="1" s="278">
      <c r="A280" s="27" t="n"/>
      <c r="B280" s="278" t="n"/>
      <c r="C280" s="328" t="inlineStr">
        <is>
          <t xml:space="preserve">                          = FAME HIGHT - 96</t>
        </is>
      </c>
      <c r="D280" s="328" t="n"/>
      <c r="E280" s="328" t="n"/>
      <c r="F280" s="109" t="n"/>
      <c r="G280" s="109" t="n"/>
      <c r="J280" s="109" t="n"/>
    </row>
    <row r="281" ht="15.9" customFormat="1" customHeight="1" s="278">
      <c r="A281" s="27" t="n"/>
      <c r="B281" s="278" t="n"/>
      <c r="C281" s="542" t="inlineStr">
        <is>
          <t xml:space="preserve">                          ความสูง (วงกบ) - 96</t>
        </is>
      </c>
      <c r="D281" s="542" t="n"/>
      <c r="E281" s="542" t="n"/>
      <c r="F281" s="109" t="n"/>
      <c r="G281" s="109" t="n"/>
      <c r="I281" s="501" t="n"/>
      <c r="J281" s="501" t="n"/>
    </row>
    <row r="282" ht="15.9" customFormat="1" customHeight="1" s="278">
      <c r="A282" s="27" t="n"/>
      <c r="B282" s="278" t="n"/>
      <c r="C282" s="656">
        <f>$I$139</f>
        <v/>
      </c>
      <c r="F282" s="109" t="n"/>
      <c r="G282" s="109" t="n"/>
      <c r="I282" s="501" t="n"/>
      <c r="J282" s="501" t="n"/>
    </row>
    <row r="283" ht="15.9" customFormat="1" customHeight="1" s="278">
      <c r="A283" s="27" t="n"/>
      <c r="B283" s="278" t="n"/>
      <c r="C283" s="657">
        <f>$J$139+$J$140</f>
        <v/>
      </c>
      <c r="F283" s="109" t="n"/>
      <c r="G283" s="109" t="n"/>
      <c r="I283" s="501" t="n"/>
      <c r="J283" s="501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278" t="n"/>
      <c r="D286" s="161" t="n"/>
      <c r="E286" s="109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C289" s="89" t="inlineStr">
        <is>
          <t xml:space="preserve">                          Sash</t>
        </is>
      </c>
      <c r="F289" s="109" t="n"/>
      <c r="G289" s="109" t="n"/>
      <c r="H289" s="109" t="n"/>
      <c r="J289" s="109" t="n"/>
    </row>
    <row r="290" ht="15.9" customFormat="1" customHeight="1" s="278">
      <c r="A290" s="27" t="n"/>
      <c r="B290" s="278" t="n"/>
      <c r="C290" s="94" t="inlineStr">
        <is>
          <t xml:space="preserve">                          = ((Frame Width - 182-(113.25 × 2))/3</t>
        </is>
      </c>
      <c r="D290" s="161" t="n"/>
      <c r="E290" s="109" t="n"/>
      <c r="F290" s="109" t="n"/>
      <c r="G290" s="109" t="n"/>
      <c r="H290" s="109" t="n"/>
      <c r="J290" s="109" t="n"/>
    </row>
    <row r="291" ht="15.9" customFormat="1" customHeight="1" s="278">
      <c r="A291" s="27" t="n"/>
      <c r="B291" s="278" t="n"/>
      <c r="C291" s="542" t="inlineStr">
        <is>
          <t xml:space="preserve">                          ((ความกว้าง (วงกบ) - 182-(113.25 × 2))/3</t>
        </is>
      </c>
      <c r="D291" s="161" t="n"/>
      <c r="E291" s="109" t="n"/>
      <c r="F291" s="109" t="n"/>
      <c r="G291" s="109" t="n"/>
      <c r="H291" s="109" t="n"/>
      <c r="J291" s="109" t="n"/>
    </row>
    <row r="292" ht="15.9" customFormat="1" customHeight="1" s="278">
      <c r="A292" s="27" t="n"/>
      <c r="B292" s="278" t="n"/>
      <c r="C292" s="328" t="inlineStr">
        <is>
          <t xml:space="preserve">                          = FAME HIGHT - 92.00</t>
        </is>
      </c>
      <c r="D292" s="328" t="n"/>
      <c r="E292" s="328" t="n"/>
      <c r="F292" s="109" t="n"/>
      <c r="G292" s="109" t="n"/>
      <c r="I292" s="162" t="n"/>
      <c r="J292" s="501" t="n"/>
    </row>
    <row r="293" ht="15.9" customFormat="1" customHeight="1" s="278">
      <c r="A293" s="27" t="n"/>
      <c r="B293" s="278" t="n"/>
      <c r="C293" s="542" t="inlineStr">
        <is>
          <t xml:space="preserve">                          ความสูง (วงกบ) - 92.00</t>
        </is>
      </c>
      <c r="D293" s="542" t="n"/>
      <c r="E293" s="542" t="n"/>
      <c r="F293" s="109" t="n"/>
      <c r="G293" s="109" t="n"/>
      <c r="I293" s="109" t="n"/>
      <c r="J293" s="501" t="n"/>
    </row>
    <row r="294" ht="15.9" customFormat="1" customHeight="1" s="278">
      <c r="A294" s="27" t="n"/>
      <c r="B294" s="278" t="n"/>
      <c r="C294" s="656">
        <f>$I$141</f>
        <v/>
      </c>
      <c r="F294" s="109" t="n"/>
      <c r="G294" s="109" t="n"/>
      <c r="I294" s="501" t="n"/>
      <c r="J294" s="501" t="n"/>
    </row>
    <row r="295" ht="15.9" customFormat="1" customHeight="1" s="278">
      <c r="A295" s="27" t="n"/>
      <c r="B295" s="278" t="n"/>
      <c r="C295" s="657">
        <f>$J$141+$J$142</f>
        <v/>
      </c>
      <c r="D295" s="161" t="n"/>
      <c r="E295" s="109" t="n"/>
      <c r="F295" s="109" t="n"/>
      <c r="G295" s="109" t="n"/>
      <c r="H295" s="161" t="n"/>
      <c r="I295" s="501" t="n"/>
      <c r="J295" s="501" t="n"/>
    </row>
    <row r="296" ht="15.9" customFormat="1" customHeight="1" s="278">
      <c r="A296" s="27" t="n"/>
      <c r="B296" s="278" t="n"/>
      <c r="C296" s="656">
        <f>$I$143</f>
        <v/>
      </c>
      <c r="D296" s="161" t="n"/>
      <c r="E296" s="109" t="n"/>
      <c r="F296" s="109" t="n"/>
      <c r="G296" s="109" t="n"/>
      <c r="H296" s="109" t="n"/>
      <c r="I296" s="501" t="n"/>
      <c r="J296" s="501" t="n"/>
    </row>
    <row r="297" ht="15.9" customFormat="1" customHeight="1" s="23">
      <c r="A297" s="27" t="n"/>
      <c r="B297" s="278" t="n"/>
      <c r="C297" s="657">
        <f>$J$143+$J$144+$J$145</f>
        <v/>
      </c>
      <c r="D297" s="161" t="n"/>
      <c r="E297" s="109" t="n"/>
      <c r="F297" s="109" t="n"/>
      <c r="G297" s="109" t="n"/>
      <c r="H297" s="109" t="n"/>
      <c r="I297" s="109" t="n"/>
      <c r="J297" s="109" t="n"/>
    </row>
    <row r="298" ht="15.9" customFormat="1" customHeight="1" s="23">
      <c r="A298" s="27" t="n"/>
      <c r="B298" s="278" t="n"/>
      <c r="C298" s="278" t="n"/>
      <c r="D298" s="161" t="n"/>
      <c r="E298" s="109" t="n"/>
      <c r="F298" s="109" t="n"/>
      <c r="G298" s="109" t="n"/>
      <c r="H298" s="109" t="n"/>
      <c r="I298" s="109" t="n"/>
      <c r="J298" s="109" t="n"/>
    </row>
    <row r="299" ht="15.9" customFormat="1" customHeight="1" s="23">
      <c r="A299" s="27" t="n"/>
      <c r="B299" s="278" t="n"/>
      <c r="C299" s="278" t="n"/>
      <c r="D299" s="161" t="n"/>
      <c r="E299" s="109" t="n"/>
      <c r="F299" s="109" t="n"/>
      <c r="G299" s="109" t="n"/>
      <c r="H299" s="109" t="n"/>
      <c r="I299" s="109" t="n"/>
      <c r="J299" s="109" t="n"/>
    </row>
    <row r="300" ht="15.9" customFormat="1" customHeight="1" s="278">
      <c r="A300" s="27" t="n"/>
      <c r="B300" s="278" t="n"/>
      <c r="C300" s="278" t="n"/>
      <c r="D300" s="161" t="n"/>
      <c r="E300" s="109" t="n"/>
      <c r="F300" s="109" t="n"/>
      <c r="G300" s="109" t="n"/>
      <c r="H300" s="109" t="n"/>
      <c r="I300" s="44" t="n"/>
      <c r="J300" s="119" t="n"/>
    </row>
    <row r="301" ht="15.9" customFormat="1" customHeight="1" s="278">
      <c r="A301" s="27" t="n"/>
      <c r="B301" s="278" t="n"/>
      <c r="C301" s="23" t="n"/>
      <c r="D301" s="161" t="n"/>
      <c r="E301" s="109" t="n"/>
      <c r="F301" s="109" t="n"/>
      <c r="G301" s="109" t="n"/>
      <c r="H301" s="109" t="n"/>
      <c r="I301" s="32" t="n"/>
      <c r="J301" s="40" t="n"/>
    </row>
    <row r="302" ht="15.9" customFormat="1" customHeight="1" s="278">
      <c r="A302" s="27" t="n"/>
      <c r="B302" s="278" t="n"/>
      <c r="C302" s="89" t="inlineStr">
        <is>
          <t xml:space="preserve">                          Glazing Bead</t>
        </is>
      </c>
      <c r="D302" s="161" t="n"/>
      <c r="E302" s="109" t="n"/>
      <c r="F302" s="109" t="n"/>
      <c r="G302" s="109" t="n"/>
      <c r="H302" s="109" t="n"/>
      <c r="I302" s="501" t="n"/>
      <c r="J302" s="501" t="n"/>
    </row>
    <row r="303" ht="15.9" customFormat="1" customHeight="1" s="278">
      <c r="A303" s="27" t="n"/>
      <c r="B303" s="278" t="n"/>
      <c r="C303" s="94" t="inlineStr">
        <is>
          <t xml:space="preserve">                          = ((Frame Width - 182-(113.25 × 2))/3</t>
        </is>
      </c>
      <c r="D303" s="161" t="n"/>
      <c r="E303" s="109" t="n"/>
      <c r="F303" s="109" t="n"/>
      <c r="G303" s="44" t="n"/>
      <c r="H303" s="44" t="n"/>
      <c r="I303" s="501" t="n"/>
      <c r="J303" s="501" t="n"/>
    </row>
    <row r="304" ht="15.9" customFormat="1" customHeight="1" s="278">
      <c r="A304" s="27" t="n"/>
      <c r="B304" s="278" t="n"/>
      <c r="C304" s="542" t="inlineStr">
        <is>
          <t xml:space="preserve">                          ((ความกว้าง (วงกบ) - 182-(113.25 × 2))/3</t>
        </is>
      </c>
      <c r="D304" s="328" t="n"/>
      <c r="E304" s="328" t="n"/>
      <c r="F304" s="109" t="n"/>
      <c r="G304" s="40" t="n"/>
      <c r="H304" s="32" t="n"/>
      <c r="I304" s="109" t="n"/>
      <c r="J304" s="501" t="n"/>
    </row>
    <row r="305" ht="15.9" customFormat="1" customHeight="1" s="278">
      <c r="A305" s="101" t="n"/>
      <c r="B305" s="278" t="n"/>
      <c r="C305" s="328" t="inlineStr">
        <is>
          <t xml:space="preserve">                          = FAME HIGHT - 242.00</t>
        </is>
      </c>
      <c r="D305" s="542" t="n"/>
      <c r="E305" s="542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44" t="n"/>
      <c r="B306" s="44" t="n"/>
      <c r="C306" s="542" t="inlineStr">
        <is>
          <t xml:space="preserve">                          ความสูง (วงกบ) - 242.00</t>
        </is>
      </c>
      <c r="D306" s="86" t="n"/>
      <c r="E306" s="79" t="n"/>
      <c r="F306" s="44" t="n"/>
      <c r="G306" s="109" t="n"/>
      <c r="H306" s="109" t="n"/>
      <c r="I306" s="109" t="n"/>
      <c r="J306" s="501" t="n"/>
    </row>
    <row r="307" ht="15.9" customFormat="1" customHeight="1" s="278">
      <c r="A307" s="40" t="n"/>
      <c r="B307" s="40" t="n"/>
      <c r="C307" s="656">
        <f>$I$146</f>
        <v/>
      </c>
      <c r="D307" s="87" t="n"/>
      <c r="E307" s="80" t="n"/>
      <c r="F307" s="32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7">
        <f>$J$146</f>
        <v/>
      </c>
      <c r="D308" s="161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$I$147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$J$147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89" t="n"/>
      <c r="D311" s="161" t="n"/>
      <c r="E311" s="109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406" t="n"/>
      <c r="C313" s="406" t="n"/>
      <c r="D313" s="83" t="n"/>
      <c r="E313" s="27" t="n"/>
      <c r="F313" s="27" t="n"/>
      <c r="G313" s="27" t="n"/>
      <c r="H313" s="27" t="n"/>
      <c r="I313" s="27" t="n"/>
      <c r="J313" s="99">
        <f>LEFT($J$111,10)&amp;"-03"</f>
        <v/>
      </c>
    </row>
    <row r="314" ht="12.75" customHeight="1" s="344">
      <c r="A314" s="109" t="n"/>
      <c r="B314" s="278" t="n"/>
      <c r="C314" s="278" t="n"/>
      <c r="D314" s="161" t="n"/>
      <c r="E314" s="109" t="n"/>
      <c r="F314" s="109" t="n"/>
      <c r="G314" s="109" t="n"/>
      <c r="H314" s="109" t="n"/>
      <c r="I314" s="179" t="n"/>
      <c r="J314" s="179" t="n"/>
    </row>
    <row r="315" ht="30" customHeight="1" s="344">
      <c r="C315" s="5" t="n"/>
      <c r="D315" s="95" t="n"/>
      <c r="E315" s="95" t="n"/>
      <c r="F315" s="95" t="n"/>
      <c r="G315" s="95" t="n"/>
      <c r="H315" s="95" t="n"/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28" t="n"/>
      <c r="D316" s="28" t="n"/>
      <c r="E316" s="28" t="n"/>
      <c r="F316" s="28" t="n"/>
      <c r="G316" s="28" t="n"/>
      <c r="H316" s="28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B317" s="72" t="n"/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Height="1" s="344" thickBot="1"/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</row>
    <row r="320" ht="15" customFormat="1" customHeight="1" s="278">
      <c r="A320" s="63" t="n"/>
      <c r="B320" s="72" t="n"/>
      <c r="C320" s="278" t="n"/>
      <c r="D320" s="161" t="n"/>
      <c r="E320" s="35" t="n"/>
      <c r="F320" s="160" t="n"/>
      <c r="G320" s="160" t="n"/>
      <c r="H320" s="160" t="n"/>
      <c r="I320" s="160" t="n"/>
      <c r="J320" s="532" t="n"/>
    </row>
    <row r="321" ht="15" customFormat="1" customHeight="1" s="278">
      <c r="A321" s="63" t="n"/>
      <c r="B321" s="72" t="n"/>
      <c r="C321" s="278" t="n"/>
      <c r="D321" s="161" t="n"/>
      <c r="E321" s="35" t="n"/>
      <c r="F321" s="160" t="n"/>
      <c r="G321" s="160" t="n"/>
      <c r="H321" s="160" t="n"/>
      <c r="I321" s="160" t="n"/>
      <c r="J321" s="532" t="n"/>
    </row>
    <row r="322" ht="15" customFormat="1" customHeight="1" s="278">
      <c r="A322" s="109" t="n"/>
      <c r="B322" s="278" t="n"/>
      <c r="C322" s="278" t="n"/>
      <c r="D322" s="161" t="n"/>
      <c r="E322" s="35" t="n"/>
      <c r="F322" s="161" t="n"/>
      <c r="G322" s="94" t="n"/>
      <c r="H322" s="94" t="n"/>
      <c r="I322" s="94" t="n"/>
      <c r="J322" s="109" t="n"/>
    </row>
    <row r="323" ht="15" customFormat="1" customHeight="1" s="278">
      <c r="A323" s="109" t="n"/>
      <c r="B323" s="278" t="n"/>
      <c r="C323" s="161" t="n"/>
      <c r="D323" s="161" t="n"/>
      <c r="E323" s="35" t="n"/>
      <c r="F323" s="161" t="n"/>
      <c r="G323" s="109" t="n"/>
      <c r="H323" s="94" t="n"/>
      <c r="I323" s="109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35" t="n"/>
      <c r="F324" s="161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93" t="n"/>
      <c r="D329" s="161" t="n"/>
      <c r="E329" s="109" t="n"/>
      <c r="F329" s="505" t="n"/>
      <c r="H329" s="507" t="n"/>
      <c r="I329" s="93" t="n"/>
      <c r="J329" s="109" t="n"/>
    </row>
    <row r="330" ht="15" customFormat="1" customHeight="1" s="278">
      <c r="A330" s="532" t="n"/>
      <c r="B330" s="532" t="n"/>
      <c r="C330" s="161" t="n"/>
      <c r="D330" s="161" t="n"/>
      <c r="E330" s="109" t="n"/>
      <c r="F330" s="507" t="n"/>
      <c r="G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63" t="n"/>
      <c r="C332" s="93" t="n"/>
      <c r="D332" s="161" t="n"/>
      <c r="E332" s="109" t="n"/>
      <c r="F332" s="507" t="n"/>
      <c r="H332" s="507" t="n"/>
      <c r="I332" s="109" t="n"/>
      <c r="J332" s="109" t="n"/>
    </row>
    <row r="333" ht="15.9" customFormat="1" customHeight="1" s="278">
      <c r="A333" s="109" t="n"/>
      <c r="B333" s="109" t="n"/>
      <c r="C333" s="161" t="n"/>
      <c r="D333" s="161" t="n"/>
      <c r="E333" s="109" t="n"/>
      <c r="F333" s="37" t="n"/>
      <c r="G333" s="278" t="n"/>
      <c r="H333" s="109" t="n"/>
      <c r="I333" s="109" t="n"/>
      <c r="J333" s="109" t="n"/>
    </row>
    <row r="334" ht="15.9" customFormat="1" customHeight="1" s="278">
      <c r="A334" s="72" t="n"/>
      <c r="C334" s="43" t="n"/>
      <c r="D334" s="161" t="n"/>
      <c r="E334" s="109" t="n"/>
      <c r="F334" s="109" t="n"/>
      <c r="G334" s="109" t="n"/>
      <c r="H334" s="109" t="n"/>
      <c r="I334" s="109" t="n"/>
      <c r="J334" s="109" t="n"/>
    </row>
    <row r="335" ht="15.9" customFormat="1" customHeight="1" s="278">
      <c r="A335" s="44" t="n"/>
      <c r="C335" s="44" t="n"/>
      <c r="D335" s="84" t="n"/>
      <c r="E335" s="44" t="n"/>
      <c r="F335" s="44" t="n"/>
      <c r="G335" s="44" t="n"/>
      <c r="H335" s="44" t="n"/>
      <c r="I335" s="44" t="n"/>
      <c r="J335" s="119" t="n"/>
    </row>
    <row r="336" ht="15.9" customFormat="1" customHeight="1" s="278">
      <c r="A336" s="40" t="n"/>
      <c r="C336" s="161" t="n"/>
      <c r="D336" s="85" t="n"/>
      <c r="E336" s="40" t="n"/>
      <c r="F336" s="32" t="n"/>
      <c r="G336" s="40" t="n"/>
      <c r="H336" s="32" t="n"/>
      <c r="I336" s="32" t="n"/>
      <c r="J336" s="40" t="n"/>
    </row>
    <row r="337" ht="15.9" customFormat="1" customHeight="1" s="278">
      <c r="A337" s="109" t="n"/>
      <c r="C337" s="163" t="n"/>
      <c r="D337" s="161" t="n"/>
      <c r="E337" s="109" t="n"/>
      <c r="F337" s="161" t="n"/>
      <c r="G337" s="109" t="n"/>
      <c r="H337" s="109" t="n"/>
      <c r="I337" s="501" t="n"/>
      <c r="J337" s="501" t="n"/>
    </row>
    <row r="338" ht="15.9" customFormat="1" customHeight="1" s="278">
      <c r="A338" s="109" t="n"/>
      <c r="B338" s="278" t="n"/>
      <c r="C338" s="161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44" t="n"/>
      <c r="D339" s="161" t="n"/>
      <c r="E339" s="109" t="n"/>
      <c r="F339" s="161" t="n"/>
      <c r="G339" s="109" t="n"/>
      <c r="H339" s="162" t="n"/>
      <c r="I339" s="162" t="n"/>
      <c r="J339" s="162" t="n"/>
    </row>
    <row r="340" ht="15.9" customFormat="1" customHeight="1" s="278">
      <c r="A340" s="109" t="n"/>
      <c r="B340" s="278" t="n"/>
      <c r="C340" s="93" t="n"/>
      <c r="D340" s="161" t="n"/>
      <c r="E340" s="109" t="n"/>
      <c r="F340" s="161" t="n"/>
      <c r="G340" s="109" t="n"/>
      <c r="H340" s="161" t="n"/>
      <c r="I340" s="161" t="n"/>
      <c r="J340" s="161" t="n"/>
    </row>
    <row r="341" ht="15.9" customFormat="1" customHeight="1" s="278">
      <c r="A341" s="109" t="n"/>
      <c r="B341" s="278" t="n"/>
      <c r="C341" s="16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1" t="n"/>
      <c r="D342" s="161" t="n"/>
      <c r="E342" s="109" t="n"/>
      <c r="F342" s="161" t="n"/>
      <c r="G342" s="109" t="n"/>
      <c r="H342" s="109" t="n"/>
      <c r="I342" s="109" t="n"/>
      <c r="J342" s="501" t="n"/>
    </row>
    <row r="343" ht="15.9" customFormat="1" customHeight="1" s="278">
      <c r="A343" s="109" t="n"/>
      <c r="B343" s="278" t="n"/>
      <c r="C343" s="278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44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161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3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09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7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44" t="n"/>
      <c r="C354" s="44" t="n"/>
      <c r="D354" s="84" t="n"/>
      <c r="E354" s="44" t="n"/>
      <c r="F354" s="44" t="n"/>
      <c r="G354" s="44" t="n"/>
      <c r="H354" s="44" t="n"/>
      <c r="I354" s="44" t="n"/>
      <c r="J354" s="119" t="n"/>
    </row>
    <row r="355" ht="15.9" customFormat="1" customHeight="1" s="278">
      <c r="A355" s="40" t="n"/>
      <c r="B355" s="40" t="n"/>
      <c r="C355" s="44" t="n"/>
      <c r="D355" s="85" t="n"/>
      <c r="E355" s="40" t="n"/>
      <c r="F355" s="32" t="n"/>
      <c r="G355" s="40" t="n"/>
      <c r="H355" s="32" t="n"/>
      <c r="I355" s="32" t="n"/>
      <c r="J355" s="40" t="n"/>
    </row>
    <row r="356" ht="15.9" customFormat="1" customHeight="1" s="278">
      <c r="A356" s="27" t="n"/>
      <c r="B356" s="278" t="n"/>
      <c r="C356" s="93" t="n"/>
      <c r="D356" s="161" t="n"/>
      <c r="E356" s="109" t="n"/>
      <c r="F356" s="109" t="n"/>
      <c r="G356" s="109" t="n"/>
      <c r="H356" s="93" t="n"/>
      <c r="I356" s="501" t="n"/>
      <c r="J356" s="501" t="n"/>
    </row>
    <row r="357" ht="15.9" customFormat="1" customHeight="1" s="278">
      <c r="A357" s="27" t="n"/>
      <c r="B357" s="278" t="n"/>
      <c r="C357" s="163" t="n"/>
      <c r="D357" s="161" t="n"/>
      <c r="E357" s="109" t="n"/>
      <c r="F357" s="109" t="n"/>
      <c r="G357" s="109" t="n"/>
      <c r="H357" s="163" t="n"/>
      <c r="I357" s="163" t="n"/>
      <c r="J357" s="163" t="n"/>
    </row>
    <row r="358" ht="15.9" customFormat="1" customHeight="1" s="278">
      <c r="A358" s="27" t="n"/>
      <c r="B358" s="278" t="n"/>
      <c r="C358" s="161" t="n"/>
      <c r="D358" s="161" t="n"/>
      <c r="E358" s="109" t="n"/>
      <c r="F358" s="109" t="n"/>
      <c r="G358" s="109" t="n"/>
      <c r="H358" s="161" t="n"/>
      <c r="I358" s="161" t="n"/>
      <c r="J358" s="161" t="n"/>
    </row>
    <row r="359" ht="15.9" customFormat="1" customHeight="1" s="278">
      <c r="A359" s="27" t="n"/>
      <c r="B359" s="278" t="n"/>
      <c r="C359" s="278" t="n"/>
      <c r="D359" s="161" t="n"/>
      <c r="E359" s="109" t="n"/>
      <c r="F359" s="109" t="n"/>
      <c r="G359" s="109" t="n"/>
      <c r="H359" s="109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87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161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D370" s="161" t="n"/>
      <c r="E370" s="109" t="n"/>
      <c r="F370" s="109" t="n"/>
      <c r="G370" s="278" t="n"/>
      <c r="H370" s="278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93" t="n"/>
      <c r="I374" s="501" t="n"/>
      <c r="J374" s="501" t="n"/>
    </row>
    <row r="375" ht="15.9" customFormat="1" customHeight="1" s="278">
      <c r="A375" s="27" t="n"/>
      <c r="B375" s="278" t="n"/>
      <c r="C375" s="63" t="n"/>
      <c r="D375" s="161" t="n"/>
      <c r="E375" s="109" t="n"/>
      <c r="F375" s="109" t="n"/>
      <c r="G375" s="109" t="n"/>
      <c r="H375" s="163" t="n"/>
      <c r="I375" s="163" t="n"/>
      <c r="J375" s="163" t="n"/>
    </row>
    <row r="376" ht="15.9" customFormat="1" customHeight="1" s="278">
      <c r="A376" s="27" t="n"/>
      <c r="B376" s="278" t="n"/>
      <c r="C376" s="287" t="n"/>
      <c r="D376" s="161" t="n"/>
      <c r="E376" s="109" t="n"/>
      <c r="F376" s="109" t="n"/>
      <c r="G376" s="109" t="n"/>
      <c r="H376" s="161" t="n"/>
      <c r="I376" s="161" t="n"/>
      <c r="J376" s="161" t="n"/>
    </row>
    <row r="377" ht="15.9" customFormat="1" customHeight="1" s="278">
      <c r="A377" s="27" t="n"/>
      <c r="B377" s="278" t="n"/>
      <c r="C377" s="161" t="n"/>
      <c r="D377" s="161" t="n"/>
      <c r="E377" s="109" t="n"/>
      <c r="F377" s="109" t="n"/>
      <c r="G377" s="109" t="n"/>
      <c r="H377" s="93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6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1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09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64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302" t="n"/>
      <c r="I388" s="302" t="n"/>
      <c r="J388" s="302" t="n"/>
    </row>
    <row r="389" ht="15.9" customFormat="1" customHeight="1" s="278">
      <c r="A389" s="27" t="n"/>
      <c r="B389" s="278" t="n"/>
      <c r="C389" s="63" t="n"/>
      <c r="D389" s="161" t="n"/>
      <c r="E389" s="109" t="n"/>
      <c r="F389" s="109" t="n"/>
      <c r="G389" s="109" t="n"/>
      <c r="H389" s="161" t="n"/>
      <c r="I389" s="161" t="n"/>
      <c r="J389" s="161" t="n"/>
    </row>
    <row r="390" ht="15.9" customFormat="1" customHeight="1" s="278">
      <c r="A390" s="27" t="n"/>
      <c r="B390" s="278" t="n"/>
      <c r="C390" s="287" t="n"/>
      <c r="D390" s="161" t="n"/>
      <c r="E390" s="109" t="n"/>
      <c r="F390" s="109" t="n"/>
      <c r="G390" s="109" t="n"/>
      <c r="H390" s="109" t="n"/>
      <c r="I390" s="501" t="n"/>
      <c r="J390" s="501" t="n"/>
    </row>
    <row r="391" ht="15.9" customFormat="1" customHeight="1" s="278">
      <c r="A391" s="27" t="n"/>
      <c r="B391" s="278" t="n"/>
      <c r="C391" s="161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278" t="n"/>
      <c r="C418" s="278" t="n"/>
      <c r="D418" s="161" t="n"/>
      <c r="E418" s="109" t="n"/>
      <c r="F418" s="109" t="n"/>
      <c r="G418" s="109" t="n"/>
      <c r="H418" s="109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LEFT($J$111,10)&amp;"-04"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C422" s="5" t="n"/>
      <c r="D422" s="95" t="n"/>
      <c r="E422" s="95" t="n"/>
      <c r="F422" s="95" t="n"/>
      <c r="G422" s="95" t="n"/>
      <c r="H422" s="95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28" t="n"/>
      <c r="D423" s="28" t="n"/>
      <c r="E423" s="28" t="n"/>
      <c r="F423" s="28" t="n"/>
      <c r="G423" s="28" t="n"/>
      <c r="H423" s="28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B424" s="72" t="n"/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8" t="n"/>
      <c r="C425" s="78" t="n"/>
      <c r="D425" s="82" t="n"/>
      <c r="E425" s="78" t="n"/>
      <c r="F425" s="78" t="n"/>
      <c r="G425" s="78" t="n"/>
      <c r="H425" s="7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</row>
    <row r="427" ht="15" customFormat="1" customHeight="1" s="278">
      <c r="A427" s="63" t="n"/>
      <c r="B427" s="72" t="n"/>
      <c r="C427" s="278" t="n"/>
      <c r="D427" s="161" t="n"/>
      <c r="E427" s="35" t="n"/>
      <c r="F427" s="72" t="n"/>
      <c r="H427" s="44" t="n"/>
      <c r="I427" s="44" t="n"/>
      <c r="J427" s="119" t="n"/>
    </row>
    <row r="428" ht="15" customFormat="1" customHeight="1" s="278">
      <c r="A428" s="109" t="n"/>
      <c r="B428" s="278" t="n"/>
      <c r="C428" s="278" t="n"/>
      <c r="D428" s="161" t="n"/>
      <c r="E428" s="35" t="n"/>
      <c r="F428" s="161" t="n"/>
      <c r="H428" s="44" t="n"/>
      <c r="I428" s="44" t="n"/>
      <c r="J428" s="119" t="n"/>
    </row>
    <row r="429" ht="15" customFormat="1" customHeight="1" s="278">
      <c r="A429" s="109" t="n"/>
      <c r="B429" s="278" t="n"/>
      <c r="C429" s="278" t="n"/>
      <c r="D429" s="161" t="n"/>
      <c r="E429" s="35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161" t="n"/>
      <c r="D430" s="161" t="n"/>
      <c r="E430" s="109" t="n"/>
      <c r="F430" s="161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35" t="n"/>
      <c r="F431" s="163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93" t="n"/>
      <c r="D433" s="161" t="n"/>
      <c r="E433" s="109" t="n"/>
      <c r="F433" s="69" t="n"/>
      <c r="H433" s="44" t="n"/>
      <c r="I433" s="44" t="n"/>
      <c r="J433" s="119" t="n"/>
    </row>
    <row r="434" ht="15" customFormat="1" customHeight="1" s="278">
      <c r="A434" s="72" t="n"/>
      <c r="B434" s="72" t="n"/>
      <c r="C434" s="163" t="n"/>
      <c r="D434" s="161" t="n"/>
      <c r="E434" s="109" t="n"/>
      <c r="F434" s="324" t="n"/>
      <c r="H434" s="44" t="n"/>
      <c r="I434" s="44" t="n"/>
      <c r="J434" s="119" t="n"/>
    </row>
    <row r="435" ht="15" customFormat="1" customHeight="1" s="278">
      <c r="A435" s="532" t="n"/>
      <c r="B435" s="532" t="n"/>
      <c r="C435" s="161" t="n"/>
      <c r="D435" s="161" t="n"/>
      <c r="E435" s="109" t="n"/>
      <c r="F435" s="507" t="n"/>
      <c r="H435" s="44" t="n"/>
      <c r="I435" s="44" t="n"/>
      <c r="J435" s="119" t="n"/>
    </row>
    <row r="436" ht="15" customFormat="1" customHeight="1" s="278"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" customFormat="1" customHeight="1" s="278">
      <c r="A437" s="64">
        <f>A18</f>
        <v/>
      </c>
      <c r="C437" s="93" t="n"/>
      <c r="D437" s="161" t="n"/>
      <c r="E437" s="109" t="n"/>
      <c r="F437" s="324" t="n"/>
      <c r="H437" s="44" t="n"/>
      <c r="I437" s="44" t="n"/>
      <c r="J437" s="119" t="n"/>
    </row>
    <row r="438" ht="15.9" customFormat="1" customHeight="1" s="278">
      <c r="A438" s="76">
        <f>A19</f>
        <v/>
      </c>
      <c r="C438" s="161" t="n"/>
      <c r="D438" s="161" t="n"/>
      <c r="E438" s="109" t="n"/>
      <c r="F438" s="37" t="n"/>
      <c r="H438" s="44" t="n"/>
      <c r="I438" s="44" t="n"/>
      <c r="J438" s="119" t="n"/>
    </row>
    <row r="439" ht="15.9" customFormat="1" customHeight="1" s="278">
      <c r="A439" s="72" t="n"/>
      <c r="B439" s="278" t="n"/>
      <c r="C439" s="43" t="n"/>
      <c r="D439" s="161" t="n"/>
      <c r="E439" s="109" t="n"/>
      <c r="F439" s="109" t="n"/>
      <c r="H439" s="44" t="n"/>
      <c r="I439" s="44" t="n"/>
      <c r="J439" s="119" t="n"/>
    </row>
    <row r="440" ht="15.9" customFormat="1" customHeight="1" s="278">
      <c r="A440" s="44" t="n"/>
      <c r="C440" s="44" t="n"/>
      <c r="D440" s="84" t="n"/>
      <c r="E440" s="44" t="n"/>
      <c r="F440" s="44" t="n"/>
      <c r="H440" s="44" t="n"/>
      <c r="I440" s="44" t="n"/>
      <c r="J440" s="119" t="n"/>
    </row>
    <row r="441" ht="15.9" customFormat="1" customHeight="1" s="278">
      <c r="A441" s="40" t="n"/>
      <c r="C441" s="161" t="n"/>
      <c r="D441" s="85" t="n"/>
      <c r="E441" s="40" t="n"/>
      <c r="F441" s="32" t="n"/>
      <c r="H441" s="44" t="n"/>
      <c r="I441" s="44" t="n"/>
      <c r="J441" s="119" t="n"/>
    </row>
    <row r="447" ht="15.9" customFormat="1" customHeight="1" s="278">
      <c r="A447" s="109" t="n"/>
      <c r="B447" s="278" t="n"/>
      <c r="C447" s="278" t="n"/>
      <c r="D447" s="161" t="n"/>
      <c r="E447" s="109" t="n"/>
      <c r="F447" s="161" t="n"/>
      <c r="G447" s="109" t="n"/>
      <c r="H447" s="109" t="n"/>
      <c r="I447" s="501" t="n"/>
      <c r="J447" s="501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44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161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3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1" t="n"/>
      <c r="D453" s="161" t="n"/>
      <c r="E453" s="109" t="n"/>
      <c r="F453" s="161" t="n"/>
      <c r="G453" s="109" t="n"/>
      <c r="H453" s="109" t="n"/>
      <c r="I453" s="109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09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7" t="n"/>
      <c r="I455" s="501" t="n"/>
      <c r="J455" s="501" t="n"/>
    </row>
    <row r="456" ht="15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9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.9" customFormat="1" customHeight="1" s="23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109" t="n"/>
      <c r="J474" s="109" t="n"/>
    </row>
    <row r="475" ht="15.9" customFormat="1" customHeight="1" s="278">
      <c r="A475" s="44" t="n"/>
      <c r="B475" s="44" t="n"/>
      <c r="C475" s="44" t="n"/>
      <c r="D475" s="84" t="n"/>
      <c r="E475" s="44" t="n"/>
      <c r="F475" s="44" t="n"/>
      <c r="G475" s="44" t="n"/>
      <c r="H475" s="44" t="n"/>
      <c r="I475" s="44" t="n"/>
      <c r="J475" s="119" t="n"/>
    </row>
    <row r="476" ht="15.9" customFormat="1" customHeight="1" s="278">
      <c r="A476" s="40" t="n"/>
      <c r="B476" s="40" t="n"/>
      <c r="C476" s="44" t="n"/>
      <c r="D476" s="85" t="n"/>
      <c r="E476" s="40" t="n"/>
      <c r="F476" s="32" t="n"/>
      <c r="G476" s="40" t="n"/>
      <c r="H476" s="32" t="n"/>
      <c r="I476" s="32" t="n"/>
      <c r="J476" s="40" t="n"/>
    </row>
    <row r="477" ht="15.9" customFormat="1" customHeight="1" s="278">
      <c r="A477" s="27" t="n"/>
      <c r="B477" s="278" t="n"/>
      <c r="C477" s="93" t="n"/>
      <c r="D477" s="161" t="n"/>
      <c r="E477" s="109" t="n"/>
      <c r="F477" s="109" t="n"/>
      <c r="G477" s="109" t="n"/>
      <c r="H477" s="93" t="n"/>
      <c r="I477" s="501" t="n"/>
      <c r="J477" s="501" t="n"/>
    </row>
    <row r="478" ht="15.9" customFormat="1" customHeight="1" s="278">
      <c r="A478" s="27" t="n"/>
      <c r="B478" s="278" t="n"/>
      <c r="C478" s="163" t="n"/>
      <c r="D478" s="161" t="n"/>
      <c r="E478" s="109" t="n"/>
      <c r="F478" s="109" t="n"/>
      <c r="G478" s="109" t="n"/>
      <c r="H478" s="287" t="n"/>
      <c r="I478" s="287" t="n"/>
      <c r="J478" s="302" t="n"/>
    </row>
    <row r="479" ht="15.9" customFormat="1" customHeight="1" s="278">
      <c r="A479" s="27" t="n"/>
      <c r="B479" s="278" t="n"/>
      <c r="C479" s="161" t="n"/>
      <c r="D479" s="161" t="n"/>
      <c r="E479" s="109" t="n"/>
      <c r="F479" s="109" t="n"/>
      <c r="G479" s="109" t="n"/>
      <c r="H479" s="278" t="n"/>
      <c r="I479" s="278" t="n"/>
      <c r="J479" s="109" t="n"/>
    </row>
    <row r="480" ht="15.9" customFormat="1" customHeight="1" s="278">
      <c r="A480" s="27" t="n"/>
      <c r="B480" s="278" t="n"/>
      <c r="C480" s="278" t="n"/>
      <c r="D480" s="161" t="n"/>
      <c r="E480" s="109" t="n"/>
      <c r="F480" s="109" t="n"/>
      <c r="G480" s="109" t="n"/>
      <c r="H480" s="109" t="n"/>
      <c r="I480" s="501" t="n"/>
      <c r="J480" s="501" t="n"/>
    </row>
    <row r="481" ht="15.9" customFormat="1" customHeight="1" s="278">
      <c r="A481" s="27" t="n"/>
      <c r="B481" s="278" t="n"/>
      <c r="C481" s="278" t="n"/>
      <c r="D481" s="161" t="n"/>
      <c r="E481" s="109" t="n"/>
      <c r="F481" s="109" t="n"/>
      <c r="G481" s="109" t="n"/>
      <c r="H481" s="109" t="n"/>
      <c r="I481" s="501" t="n"/>
      <c r="J481" s="501" t="n"/>
    </row>
    <row r="482" ht="15.9" customFormat="1" customHeight="1" s="278">
      <c r="A482" s="27" t="n"/>
      <c r="B482" s="278" t="n"/>
      <c r="C482" s="287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D491" s="161" t="n"/>
      <c r="E491" s="109" t="n"/>
      <c r="F491" s="109" t="n"/>
      <c r="G491" s="278" t="n"/>
      <c r="H491" s="278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93" t="n"/>
      <c r="I495" s="501" t="n"/>
      <c r="J495" s="501" t="n"/>
    </row>
    <row r="496" ht="15.9" customFormat="1" customHeight="1" s="278">
      <c r="A496" s="27" t="n"/>
      <c r="B496" s="278" t="n"/>
      <c r="C496" s="63" t="n"/>
      <c r="D496" s="161" t="n"/>
      <c r="E496" s="109" t="n"/>
      <c r="F496" s="109" t="n"/>
      <c r="G496" s="109" t="n"/>
      <c r="H496" s="287" t="n"/>
      <c r="I496" s="287" t="n"/>
      <c r="J496" s="302" t="n"/>
    </row>
    <row r="497" ht="15.9" customFormat="1" customHeight="1" s="278">
      <c r="A497" s="27" t="n"/>
      <c r="B497" s="278" t="n"/>
      <c r="C497" s="287" t="n"/>
      <c r="D497" s="161" t="n"/>
      <c r="E497" s="109" t="n"/>
      <c r="F497" s="109" t="n"/>
      <c r="G497" s="109" t="n"/>
      <c r="H497" s="278" t="n"/>
      <c r="I497" s="278" t="n"/>
      <c r="J497" s="109" t="n"/>
    </row>
    <row r="498" ht="15.9" customFormat="1" customHeight="1" s="278">
      <c r="A498" s="27" t="n"/>
      <c r="B498" s="278" t="n"/>
      <c r="C498" s="161" t="n"/>
      <c r="D498" s="161" t="n"/>
      <c r="E498" s="109" t="n"/>
      <c r="F498" s="109" t="n"/>
      <c r="G498" s="109" t="n"/>
      <c r="H498" s="93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287" t="n"/>
      <c r="I499" s="287" t="n"/>
      <c r="J499" s="302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278" t="n"/>
      <c r="I500" s="278" t="n"/>
      <c r="J500" s="109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109" t="n"/>
      <c r="I501" s="501" t="n"/>
      <c r="J501" s="501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109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43" t="n"/>
      <c r="J514" s="107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/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  <c r="Q520" s="300" t="n"/>
      <c r="R520" s="301" t="n"/>
      <c r="S520" s="300" t="n"/>
      <c r="T520" s="301" t="n"/>
      <c r="U520" s="301" t="n"/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((W-182-(113.25 × 2)/3)-13</t>
        </is>
      </c>
      <c r="I521" s="124">
        <f>(($J$126-182-(113.25*2))/3)-13</f>
        <v/>
      </c>
      <c r="J521" s="151">
        <f>$J$120*3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  <c r="Q521" s="109" t="n"/>
      <c r="R521" s="302" t="n"/>
      <c r="S521" s="442" t="n"/>
      <c r="T521" s="109" t="n"/>
      <c r="U521" s="303" t="n"/>
    </row>
    <row r="522" ht="15.9" customFormat="1" customHeight="1" s="278">
      <c r="A522" s="242" t="n"/>
      <c r="B522" s="295" t="n"/>
      <c r="C522" s="295" t="n"/>
      <c r="D522" s="357" t="n"/>
      <c r="E522" s="242" t="n"/>
      <c r="F522" s="337" t="n"/>
      <c r="G522" s="338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  <c r="Q522" s="109" t="n"/>
      <c r="R522" s="302" t="n"/>
      <c r="S522" s="442" t="n"/>
      <c r="T522" s="109" t="n"/>
      <c r="U522" s="303" t="n"/>
    </row>
    <row r="523" ht="15.9" customFormat="1" customHeight="1" s="278">
      <c r="A523" s="152" t="n"/>
      <c r="B523" s="140" t="n"/>
      <c r="C523" s="295" t="n"/>
      <c r="D523" s="296" t="inlineStr">
        <is>
          <t xml:space="preserve"> </t>
        </is>
      </c>
      <c r="E523" s="242" t="n"/>
      <c r="F523" s="251" t="n"/>
      <c r="G523" s="297" t="n"/>
      <c r="H523" s="295" t="n"/>
      <c r="I523" s="298" t="n"/>
      <c r="J523" s="153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  <c r="Q523" s="109" t="n"/>
      <c r="R523" s="302" t="n"/>
      <c r="S523" s="442" t="n"/>
      <c r="T523" s="109" t="n"/>
      <c r="U523" s="303" t="n"/>
    </row>
    <row r="524" ht="15.9" customFormat="1" customHeight="1" s="278">
      <c r="A524" s="152" t="n"/>
      <c r="B524" s="140" t="n"/>
      <c r="C524" s="140" t="n"/>
      <c r="D524" s="139" t="n"/>
      <c r="E524" s="143" t="n"/>
      <c r="F524" s="155" t="n"/>
      <c r="G524" s="156" t="n"/>
      <c r="H524" s="143" t="n"/>
      <c r="I524" s="130" t="n"/>
      <c r="J524" s="153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IF(B525="","",+A523+1)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>
      <c r="D526" s="345" t="n"/>
      <c r="J526" s="99">
        <f>LEFT($J$111,10)&amp;"-05"</f>
        <v/>
      </c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3">
    <mergeCell ref="I158:J158"/>
    <mergeCell ref="D127:G127"/>
    <mergeCell ref="D121:G121"/>
    <mergeCell ref="A131:J131"/>
    <mergeCell ref="I160:J160"/>
    <mergeCell ref="I170:J171"/>
    <mergeCell ref="D163:D164"/>
    <mergeCell ref="D129:G129"/>
    <mergeCell ref="D123:G123"/>
    <mergeCell ref="F329:G329"/>
    <mergeCell ref="A117:J117"/>
    <mergeCell ref="D167:D171"/>
    <mergeCell ref="F521:G521"/>
    <mergeCell ref="J123:J124"/>
    <mergeCell ref="H163:H164"/>
    <mergeCell ref="H120:I121"/>
    <mergeCell ref="I159:J159"/>
    <mergeCell ref="A319:J319"/>
    <mergeCell ref="I166:J169"/>
    <mergeCell ref="D119:G119"/>
    <mergeCell ref="I165:J165"/>
    <mergeCell ref="I162:J162"/>
    <mergeCell ref="H126:I127"/>
    <mergeCell ref="A6:J6"/>
    <mergeCell ref="I161:J161"/>
    <mergeCell ref="D165:D166"/>
    <mergeCell ref="I173:J173"/>
    <mergeCell ref="A174:J174"/>
    <mergeCell ref="A212:J212"/>
    <mergeCell ref="J120:J121"/>
    <mergeCell ref="F332:G332"/>
    <mergeCell ref="A426:J426"/>
    <mergeCell ref="A125:B125"/>
    <mergeCell ref="A519:J519"/>
    <mergeCell ref="H167:H171"/>
    <mergeCell ref="J126:J127"/>
    <mergeCell ref="I172:J172"/>
    <mergeCell ref="I163:J164"/>
    <mergeCell ref="H165:H166"/>
    <mergeCell ref="D172:D173"/>
    <mergeCell ref="D125:G125"/>
    <mergeCell ref="H123:I124"/>
    <mergeCell ref="H172:H173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5">
    <tabColor theme="5" tint="-0.249977111117893"/>
    <outlinePr summaryBelow="1" summaryRight="1"/>
    <pageSetUpPr/>
  </sheetPr>
  <dimension ref="A2:AJ529"/>
  <sheetViews>
    <sheetView showGridLines="0" tabSelected="1" view="pageBreakPreview" topLeftCell="A106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240-3 Panel (R)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FG-240-3PR-01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D5 บาน3-3-0 R</t>
        </is>
      </c>
      <c r="E119" s="638" t="n"/>
      <c r="F119" s="638" t="n"/>
      <c r="G119" s="639" t="n"/>
      <c r="I119" s="94" t="n"/>
      <c r="J119" s="109" t="n"/>
      <c r="N119" s="247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7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8</v>
      </c>
      <c r="O122" s="109" t="n"/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Natural Anodise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2550</v>
      </c>
      <c r="N123" s="248" t="n">
        <v>10</v>
      </c>
      <c r="O123" s="109" t="n"/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12</v>
      </c>
      <c r="O124" s="109" t="n"/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14</v>
      </c>
      <c r="O125" s="109" t="n"/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2470</v>
      </c>
      <c r="K126" s="507" t="n"/>
      <c r="L126" s="507" t="n"/>
      <c r="N126" s="248" t="n">
        <v>18</v>
      </c>
      <c r="O126" s="109" t="n"/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8" t="n">
        <v>20</v>
      </c>
      <c r="O127" s="109" t="n"/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8" t="n">
        <v>22</v>
      </c>
      <c r="O128" s="109" t="n"/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6</v>
      </c>
      <c r="U133" s="283" t="inlineStr">
        <is>
          <t>(W-182-(113.25 × 2))/3</t>
        </is>
      </c>
      <c r="V133" s="307">
        <f>($J$126-182-(113.25*2))/3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6</v>
      </c>
      <c r="U134" s="143" t="inlineStr">
        <is>
          <t>(W-182-(113.25 × 2))/3</t>
        </is>
      </c>
      <c r="V134" s="307">
        <f>($J$126-182-(113.25*2))/3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6</v>
      </c>
      <c r="U135" s="240" t="inlineStr">
        <is>
          <t>(W-182-(113.25 × 2))/3</t>
        </is>
      </c>
      <c r="V135" s="307">
        <f>($J$126-182-(113.25*2))/3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6</v>
      </c>
      <c r="U136" s="283" t="inlineStr">
        <is>
          <t>H-242</t>
        </is>
      </c>
      <c r="V136" s="307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B24005-003L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6</v>
      </c>
      <c r="U137" s="143" t="inlineStr">
        <is>
          <t>H-242</t>
        </is>
      </c>
      <c r="V137" s="178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6</v>
      </c>
      <c r="U138" s="240" t="inlineStr">
        <is>
          <t>H-242</t>
        </is>
      </c>
      <c r="V138" s="308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3</v>
      </c>
      <c r="H141" s="143" t="inlineStr">
        <is>
          <t>45° (W-60-(3+1)×4)/3</t>
        </is>
      </c>
      <c r="I141" s="178">
        <f>($J$126-60-(3+1)*4)/3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3</v>
      </c>
      <c r="H142" s="143" t="inlineStr">
        <is>
          <t>45° (W-60-(3+1)×4)/3</t>
        </is>
      </c>
      <c r="I142" s="178">
        <f>($J$126-60-(3+1)*4)/3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4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 thickBot="1">
      <c r="A152" s="143">
        <f>IF(B152="","",+""+1)</f>
        <v/>
      </c>
      <c r="B152" s="207" t="n"/>
      <c r="C152" s="207" t="n"/>
      <c r="D152" s="208" t="n"/>
      <c r="E152" s="209" t="n"/>
      <c r="F152" s="208" t="n"/>
      <c r="G152" s="209" t="n"/>
      <c r="H152" s="209" t="n"/>
      <c r="I152" s="171" t="n"/>
      <c r="J152" s="172">
        <f>$J$120*G152</f>
        <v/>
      </c>
    </row>
    <row r="153" outlineLevel="1" ht="27" customFormat="1" customHeight="1" s="278" thickBot="1">
      <c r="A153" s="169" t="inlineStr">
        <is>
          <t>ITEM</t>
        </is>
      </c>
      <c r="B153" s="169" t="inlineStr">
        <is>
          <t>THAI</t>
        </is>
      </c>
      <c r="C153" s="169" t="inlineStr">
        <is>
          <t>DESCRIPTION</t>
        </is>
      </c>
      <c r="D153" s="169" t="inlineStr">
        <is>
          <t>DIE NO.</t>
        </is>
      </c>
      <c r="E153" s="169" t="inlineStr">
        <is>
          <t>KG/m</t>
        </is>
      </c>
      <c r="F153" s="177" t="inlineStr">
        <is>
          <t>TOTAL
LENGTH/SET(mm)</t>
        </is>
      </c>
      <c r="G153" s="169" t="inlineStr">
        <is>
          <t>LENGTH/SET(m)</t>
        </is>
      </c>
      <c r="H153" s="170" t="inlineStr">
        <is>
          <t>TAKE OFF/6.4M</t>
        </is>
      </c>
      <c r="I153" s="540" t="n"/>
    </row>
    <row r="154" outlineLevel="1" ht="15" customFormat="1" customHeight="1" s="278">
      <c r="A154" s="21">
        <f>IF(B154="","",1)</f>
        <v/>
      </c>
      <c r="B154" s="173">
        <f>B133</f>
        <v/>
      </c>
      <c r="C154" s="173">
        <f>C133</f>
        <v/>
      </c>
      <c r="D154" s="577">
        <f>VLOOKUP(C154,$C$133:$H$152,2,0)</f>
        <v/>
      </c>
      <c r="E154" s="175">
        <f>VLOOKUP(C154,$C$133:$H$152,3,0)</f>
        <v/>
      </c>
      <c r="F154" s="175">
        <f>VLOOKUP(C154,$C$133:$J$152,7,0)</f>
        <v/>
      </c>
      <c r="G154" s="175">
        <f>VLOOKUP(C154,$C$133:$J$152,8,0)</f>
        <v/>
      </c>
      <c r="H154" s="176">
        <f>ROUNDUP((F154*G154)/6400,0)</f>
        <v/>
      </c>
      <c r="I154" s="500" t="n"/>
    </row>
    <row r="155" outlineLevel="1" ht="15" customFormat="1" customHeight="1" s="278">
      <c r="A155" s="213">
        <f>IF(B155="","",+A154+1)</f>
        <v/>
      </c>
      <c r="B155" s="173">
        <f>B134</f>
        <v/>
      </c>
      <c r="C155" s="173">
        <f>C134</f>
        <v/>
      </c>
      <c r="D155" s="577">
        <f>VLOOKUP(C155,$C$133:$H$152,2,0)</f>
        <v/>
      </c>
      <c r="E155" s="175">
        <f>VLOOKUP(C155,$C$133:$H$152,3,0)</f>
        <v/>
      </c>
      <c r="F155" s="175">
        <f>VLOOKUP(C155,$C$133:$I$152,7,0)</f>
        <v/>
      </c>
      <c r="G155" s="175">
        <f>VLOOKUP(C155,$C$133:$J$152,8,0)</f>
        <v/>
      </c>
      <c r="H155" s="176">
        <f>ROUNDUP((F155*G155)/6400,0)</f>
        <v/>
      </c>
      <c r="I155" s="500" t="n"/>
    </row>
    <row r="156" outlineLevel="1" ht="15" customFormat="1" customHeight="1" s="278">
      <c r="A156" s="213">
        <f>IF(B156="","",+A155+1)</f>
        <v/>
      </c>
      <c r="B156" s="173">
        <f>B135</f>
        <v/>
      </c>
      <c r="C156" s="173">
        <f>C135</f>
        <v/>
      </c>
      <c r="D156" s="577">
        <f>VLOOKUP(C156,$C$133:$H$152,2,0)</f>
        <v/>
      </c>
      <c r="E156" s="175">
        <f>VLOOKUP(C156,$C$133:$H$152,3,0)</f>
        <v/>
      </c>
      <c r="F156" s="175">
        <f>VLOOKUP(C156,$C$133:$I$152,7,0)</f>
        <v/>
      </c>
      <c r="G156" s="175">
        <f>VLOOKUP(C156,$C$133:$J$152,8,0)</f>
        <v/>
      </c>
      <c r="H156" s="176">
        <f>ROUNDUP((F156*G156)/6400,0)</f>
        <v/>
      </c>
      <c r="I156" s="500" t="n"/>
    </row>
    <row r="157" outlineLevel="1" ht="15" customFormat="1" customHeight="1" s="278">
      <c r="A157" s="213">
        <f>IF(B157="","",+A156+1)</f>
        <v/>
      </c>
      <c r="B157" s="173">
        <f>B136</f>
        <v/>
      </c>
      <c r="C157" s="173">
        <f>C136</f>
        <v/>
      </c>
      <c r="D157" s="577">
        <f>VLOOKUP(C157,$C$133:$H$152,2,0)</f>
        <v/>
      </c>
      <c r="E157" s="175">
        <f>VLOOKUP(C157,$C$133:$H$152,3,0)</f>
        <v/>
      </c>
      <c r="F157" s="175">
        <f>VLOOKUP(C157,$C$133:$I$152,7,0)</f>
        <v/>
      </c>
      <c r="G157" s="175">
        <f>VLOOKUP(C157,$C$133:$J$152,8,0)</f>
        <v/>
      </c>
      <c r="H157" s="176">
        <f>ROUNDUP((F157*G157)/6400,0)</f>
        <v/>
      </c>
      <c r="I157" s="500" t="n"/>
    </row>
    <row r="158" outlineLevel="1" ht="15" customFormat="1" customHeight="1" s="278">
      <c r="A158" s="213">
        <f>IF(B158="","",+A157+1)</f>
        <v/>
      </c>
      <c r="B158" s="173">
        <f>B137</f>
        <v/>
      </c>
      <c r="C158" s="173">
        <f>C137</f>
        <v/>
      </c>
      <c r="D158" s="643">
        <f>VLOOKUP(C158,$C$133:$H$152,2,0)</f>
        <v/>
      </c>
      <c r="E158" s="175">
        <f>VLOOKUP(C158,$C$133:$H$152,3,0)</f>
        <v/>
      </c>
      <c r="F158" s="175">
        <f>VLOOKUP(C158,$C$133:$I$152,7,0)</f>
        <v/>
      </c>
      <c r="G158" s="175">
        <f>VLOOKUP(C158,$C$133:$J$152,8,0)</f>
        <v/>
      </c>
      <c r="H158" s="516">
        <f>ROUNDUP(((F158*G158)+(F159*G159))/6400,0)</f>
        <v/>
      </c>
      <c r="I158" s="506" t="n"/>
    </row>
    <row r="159" outlineLevel="1" ht="15" customFormat="1" customHeight="1" s="278">
      <c r="A159" s="213">
        <f>IF(B159="","",+A158+1)</f>
        <v/>
      </c>
      <c r="B159" s="173">
        <f>B138</f>
        <v/>
      </c>
      <c r="C159" s="173">
        <f>C138</f>
        <v/>
      </c>
      <c r="D159" s="625" t="n"/>
      <c r="E159" s="175">
        <f>VLOOKUP(C159,$C$133:$H$152,3,0)</f>
        <v/>
      </c>
      <c r="F159" s="175">
        <f>VLOOKUP(C159,$C$133:$I$152,7,0)</f>
        <v/>
      </c>
      <c r="G159" s="175">
        <f>VLOOKUP(C159,$C$133:$J$152,8,0)</f>
        <v/>
      </c>
      <c r="H159" s="644" t="n"/>
    </row>
    <row r="160" outlineLevel="1" ht="15" customFormat="1" customHeight="1" s="278">
      <c r="A160" s="213">
        <f>IF(B160="","",+A159+1)</f>
        <v/>
      </c>
      <c r="B160" s="173">
        <f>B139</f>
        <v/>
      </c>
      <c r="C160" s="173">
        <f>C139</f>
        <v/>
      </c>
      <c r="D160" s="643">
        <f>VLOOKUP(C160,$C$133:$H$152,2,0)</f>
        <v/>
      </c>
      <c r="E160" s="175">
        <f>VLOOKUP(C160,$C$133:$H$152,3,0)</f>
        <v/>
      </c>
      <c r="F160" s="175">
        <f>VLOOKUP(C160,$C$133:$I$152,7,0)</f>
        <v/>
      </c>
      <c r="G160" s="175">
        <f>VLOOKUP(C160,$C$133:$J$152,8,0)</f>
        <v/>
      </c>
      <c r="H160" s="516">
        <f>ROUNDUP(((F160*G160)+(F161*G161))/6400,0)</f>
        <v/>
      </c>
      <c r="I160" s="500" t="n"/>
    </row>
    <row r="161" outlineLevel="1" ht="15" customFormat="1" customHeight="1" s="278">
      <c r="A161" s="213">
        <f>IF(B161="","",+A160+1)</f>
        <v/>
      </c>
      <c r="B161" s="173">
        <f>B140</f>
        <v/>
      </c>
      <c r="C161" s="173">
        <f>C140</f>
        <v/>
      </c>
      <c r="D161" s="625" t="n"/>
      <c r="E161" s="175">
        <f>VLOOKUP(C161,$C$133:$H$152,3,0)</f>
        <v/>
      </c>
      <c r="F161" s="175">
        <f>VLOOKUP(C161,$C$133:$I$152,7,0)</f>
        <v/>
      </c>
      <c r="G161" s="175">
        <f>VLOOKUP(C161,$C$133:$J$152,8,0)</f>
        <v/>
      </c>
      <c r="H161" s="644" t="n"/>
      <c r="I161" s="533" t="n"/>
    </row>
    <row r="162" outlineLevel="1" ht="13.8" customFormat="1" customHeight="1" s="278">
      <c r="A162" s="213">
        <f>IF(B162="","",+A161+1)</f>
        <v/>
      </c>
      <c r="B162" s="173">
        <f>B141</f>
        <v/>
      </c>
      <c r="C162" s="173">
        <f>C141</f>
        <v/>
      </c>
      <c r="D162" s="643">
        <f>VLOOKUP(C162,$C$133:$H$152,2,0)</f>
        <v/>
      </c>
      <c r="E162" s="175">
        <f>VLOOKUP(C162,$C$133:$H$152,3,0)</f>
        <v/>
      </c>
      <c r="F162" s="175">
        <f>VLOOKUP(C162,$C$133:$I$152,7,0)</f>
        <v/>
      </c>
      <c r="G162" s="175">
        <f>VLOOKUP(C162,$C$133:$J$152,8,0)</f>
        <v/>
      </c>
      <c r="H162" s="516">
        <f>ROUNDUP(((F162*G162)+(F163*G163)+(F164*G164)+(F165*G165)+(F166*G166))/6400,0)</f>
        <v/>
      </c>
      <c r="I162" s="645" t="n"/>
    </row>
    <row r="163" outlineLevel="1" ht="13.8" customFormat="1" customHeight="1" s="278">
      <c r="A163" s="213">
        <f>IF(B163="","",+A162+1)</f>
        <v/>
      </c>
      <c r="B163" s="173">
        <f>B142</f>
        <v/>
      </c>
      <c r="C163" s="173">
        <f>C142</f>
        <v/>
      </c>
      <c r="D163" s="624" t="n"/>
      <c r="E163" s="175">
        <f>VLOOKUP(C163,$C$133:$H$152,3,0)</f>
        <v/>
      </c>
      <c r="F163" s="175">
        <f>VLOOKUP(C163,$C$133:$I$152,7,0)</f>
        <v/>
      </c>
      <c r="G163" s="175">
        <f>VLOOKUP(C163,$C$133:$J$152,8,0)</f>
        <v/>
      </c>
      <c r="H163" s="646" t="n"/>
      <c r="I163" s="645" t="n"/>
    </row>
    <row r="164" outlineLevel="1" ht="13.8" customFormat="1" customHeight="1" s="278">
      <c r="A164" s="213">
        <f>IF(B164="","",+A163+1)</f>
        <v/>
      </c>
      <c r="B164" s="173">
        <f>B143</f>
        <v/>
      </c>
      <c r="C164" s="173">
        <f>C143</f>
        <v/>
      </c>
      <c r="D164" s="624" t="n"/>
      <c r="E164" s="175">
        <f>VLOOKUP(C164,$C$133:$H$152,3,0)</f>
        <v/>
      </c>
      <c r="F164" s="175">
        <f>VLOOKUP(C164,$C$133:$I$152,7,0)</f>
        <v/>
      </c>
      <c r="G164" s="175">
        <f>VLOOKUP(C164,$C$133:$J$152,8,0)</f>
        <v/>
      </c>
      <c r="H164" s="646" t="n"/>
      <c r="I164" s="645" t="n"/>
    </row>
    <row r="165" outlineLevel="1" ht="13.8" customFormat="1" customHeight="1" s="278">
      <c r="A165" s="213">
        <f>IF(B165="","",+A164+1)</f>
        <v/>
      </c>
      <c r="B165" s="173">
        <f>B144</f>
        <v/>
      </c>
      <c r="C165" s="173">
        <f>C144</f>
        <v/>
      </c>
      <c r="D165" s="624" t="n"/>
      <c r="E165" s="175">
        <f>VLOOKUP(C165,$C$133:$H$152,3,0)</f>
        <v/>
      </c>
      <c r="F165" s="175">
        <f>VLOOKUP(C165,$C$133:$I$152,7,0)</f>
        <v/>
      </c>
      <c r="G165" s="175">
        <f>VLOOKUP(C165,$C$133:$J$152,8,0)</f>
        <v/>
      </c>
      <c r="H165" s="646" t="n"/>
      <c r="I165" s="533" t="n"/>
    </row>
    <row r="166" outlineLevel="1" ht="13.8" customFormat="1" customHeight="1" s="278">
      <c r="A166" s="213">
        <f>IF(B166="","",+A165+1)</f>
        <v/>
      </c>
      <c r="B166" s="173">
        <f>B145</f>
        <v/>
      </c>
      <c r="C166" s="173">
        <f>C145</f>
        <v/>
      </c>
      <c r="D166" s="625" t="n"/>
      <c r="E166" s="175">
        <f>VLOOKUP(C166,$C$133:$H$152,3,0)</f>
        <v/>
      </c>
      <c r="F166" s="175">
        <f>VLOOKUP(C166,$C$133:$I$152,7,0)</f>
        <v/>
      </c>
      <c r="G166" s="175">
        <f>VLOOKUP(C166,$C$133:$J$152,8,0)</f>
        <v/>
      </c>
      <c r="H166" s="644" t="n"/>
      <c r="I166" s="645" t="n"/>
    </row>
    <row r="167" outlineLevel="1" ht="13.8" customFormat="1" customHeight="1" s="278">
      <c r="A167" s="213">
        <f>IF(B167="","",+A166+1)</f>
        <v/>
      </c>
      <c r="B167" s="173">
        <f>B146</f>
        <v/>
      </c>
      <c r="C167" s="173">
        <f>C146</f>
        <v/>
      </c>
      <c r="D167" s="647">
        <f>VLOOKUP(C167,$C$133:$H$152,2,0)</f>
        <v/>
      </c>
      <c r="E167" s="175">
        <f>VLOOKUP(C167,$C$133:$H$152,3,0)</f>
        <v/>
      </c>
      <c r="F167" s="175">
        <f>VLOOKUP(C167,$C$133:$I$152,7,0)</f>
        <v/>
      </c>
      <c r="G167" s="175">
        <f>VLOOKUP(C167,$C$133:$J$152,8,0)</f>
        <v/>
      </c>
      <c r="H167" s="516">
        <f>ROUNDUP(((F167*G167)+(F168*G168))/6400,0)</f>
        <v/>
      </c>
      <c r="I167" s="500" t="n"/>
    </row>
    <row r="168" outlineLevel="1" ht="15" customFormat="1" customHeight="1" s="23" thickBot="1">
      <c r="A168" s="213">
        <f>IF(B168="","",+A167+1)</f>
        <v/>
      </c>
      <c r="B168" s="173">
        <f>B147</f>
        <v/>
      </c>
      <c r="C168" s="173">
        <f>C147</f>
        <v/>
      </c>
      <c r="D168" s="648" t="n"/>
      <c r="E168" s="175">
        <f>VLOOKUP(C168,$C$133:$H$152,3,0)</f>
        <v/>
      </c>
      <c r="F168" s="175">
        <f>VLOOKUP(C168,$C$133:$I$152,7,0)</f>
        <v/>
      </c>
      <c r="G168" s="175">
        <f>VLOOKUP(C168,$C$133:$J$152,8,0)</f>
        <v/>
      </c>
      <c r="H168" s="644" t="n"/>
      <c r="I168" s="500" t="n"/>
      <c r="K168" s="278" t="n"/>
      <c r="L168" s="278" t="n"/>
      <c r="M168" s="278" t="n"/>
      <c r="N168" s="278" t="n"/>
      <c r="O168" s="278" t="n"/>
      <c r="P168" s="278" t="n"/>
      <c r="Q168" s="278" t="n"/>
      <c r="R168" s="278" t="n"/>
      <c r="S168" s="278" t="n"/>
      <c r="T168" s="278" t="n"/>
      <c r="U168" s="278" t="n"/>
      <c r="V168" s="278" t="n"/>
      <c r="Y168" s="278" t="n"/>
      <c r="Z168" s="278" t="n"/>
      <c r="AA168" s="278" t="n"/>
      <c r="AB168" s="278" t="n"/>
      <c r="AC168" s="278" t="n"/>
      <c r="AD168" s="278" t="n"/>
      <c r="AE168" s="278" t="n"/>
      <c r="AF168" s="278" t="n"/>
      <c r="AG168" s="278" t="n"/>
      <c r="AH168" s="278" t="n"/>
      <c r="AI168" s="278" t="n"/>
      <c r="AJ168" s="278" t="n"/>
    </row>
    <row r="169" ht="24.9" customFormat="1" customHeight="1" s="278" thickBot="1">
      <c r="A169" s="642" t="inlineStr">
        <is>
          <t>PARTS LIST HARDWARE &amp; ACCESSORIES</t>
        </is>
      </c>
      <c r="B169" s="634" t="n"/>
      <c r="C169" s="634" t="n"/>
      <c r="D169" s="634" t="n"/>
      <c r="E169" s="634" t="n"/>
      <c r="F169" s="634" t="n"/>
      <c r="G169" s="634" t="n"/>
      <c r="H169" s="634" t="n"/>
      <c r="I169" s="634" t="n"/>
      <c r="J169" s="635" t="n"/>
    </row>
    <row r="170" ht="35.1" customFormat="1" customHeight="1" s="278" thickBot="1">
      <c r="A170" s="102" t="inlineStr">
        <is>
          <t>ITEM</t>
        </is>
      </c>
      <c r="B170" s="103" t="inlineStr">
        <is>
          <t>THAI</t>
        </is>
      </c>
      <c r="C170" s="103" t="inlineStr">
        <is>
          <t>DESCRIPTION</t>
        </is>
      </c>
      <c r="D170" s="103" t="inlineStr">
        <is>
          <t>PART NO.</t>
        </is>
      </c>
      <c r="E170" s="103" t="inlineStr">
        <is>
          <t>KG/m</t>
        </is>
      </c>
      <c r="F170" s="104" t="inlineStr">
        <is>
          <t>DRAWING</t>
        </is>
      </c>
      <c r="G170" s="103" t="inlineStr">
        <is>
          <t>PER</t>
        </is>
      </c>
      <c r="H170" s="104" t="inlineStr">
        <is>
          <t>QUANTITY</t>
        </is>
      </c>
      <c r="I170" s="104" t="inlineStr">
        <is>
          <t>Pack QTY</t>
        </is>
      </c>
      <c r="J170" s="115" t="inlineStr">
        <is>
          <t>TOTAL</t>
        </is>
      </c>
      <c r="N170" s="101" t="inlineStr">
        <is>
          <t>Glass size</t>
        </is>
      </c>
      <c r="O170" s="246" t="inlineStr">
        <is>
          <t>THAI</t>
        </is>
      </c>
      <c r="P170" s="246" t="inlineStr">
        <is>
          <t>DESCRIPTION</t>
        </is>
      </c>
      <c r="Q170" s="246" t="inlineStr">
        <is>
          <t>PART NO.</t>
        </is>
      </c>
      <c r="R170" s="246" t="inlineStr">
        <is>
          <t>KG/m</t>
        </is>
      </c>
      <c r="S170" s="246" t="inlineStr">
        <is>
          <t>DRAWING</t>
        </is>
      </c>
      <c r="T170" s="246" t="inlineStr">
        <is>
          <t>PER</t>
        </is>
      </c>
      <c r="U170" s="246" t="inlineStr">
        <is>
          <t>QUANTITY</t>
        </is>
      </c>
      <c r="V170" s="246" t="inlineStr">
        <is>
          <t>Pack QTY</t>
        </is>
      </c>
      <c r="W170" s="246" t="inlineStr">
        <is>
          <t>TOTAL</t>
        </is>
      </c>
    </row>
    <row r="171" ht="18" customFormat="1" customHeight="1" s="278">
      <c r="A171" s="200">
        <f>IF(B171="","",1)</f>
        <v/>
      </c>
      <c r="B171" s="140" t="inlineStr">
        <is>
          <t>ตัวรับกลอน</t>
        </is>
      </c>
      <c r="C171" s="140" t="inlineStr">
        <is>
          <t xml:space="preserve">FLUSH BOLT RECEIVER </t>
        </is>
      </c>
      <c r="D171" s="139" t="inlineStr">
        <is>
          <t>04-016</t>
        </is>
      </c>
      <c r="E171" s="143" t="n"/>
      <c r="F171" s="143" t="inlineStr">
        <is>
          <t>04-016</t>
        </is>
      </c>
      <c r="G171" s="662" t="inlineStr">
        <is>
          <t>PC</t>
        </is>
      </c>
      <c r="H171" s="143" t="n">
        <v>1</v>
      </c>
      <c r="I171" s="130" t="n"/>
      <c r="J171" s="131">
        <f>$J$120*H171</f>
        <v/>
      </c>
      <c r="N171" s="101" t="inlineStr">
        <is>
          <t>5,6,18</t>
        </is>
      </c>
      <c r="O171" s="280" t="inlineStr">
        <is>
          <t>5,6,18 mm ยางรองกระจก</t>
        </is>
      </c>
      <c r="P171" s="415" t="inlineStr">
        <is>
          <t>5,6,18 mm CAPTIVE WEDGE</t>
        </is>
      </c>
      <c r="Q171" s="280" t="inlineStr">
        <is>
          <t>02-022</t>
        </is>
      </c>
      <c r="R171" s="213" t="n"/>
      <c r="S171" s="213" t="inlineStr">
        <is>
          <t>02-022</t>
        </is>
      </c>
      <c r="T171" s="213" t="inlineStr">
        <is>
          <t>M</t>
        </is>
      </c>
      <c r="U171" s="650">
        <f>((($I$141*$G$141)+($I$142*$G$142)+($I$143*$G$143)+($I$144*$G$144))/1000)*$J$120</f>
        <v/>
      </c>
      <c r="V171" s="650" t="n">
        <v>100</v>
      </c>
      <c r="W171" s="651">
        <f>ROUNDUP((U171)/100,0)</f>
        <v/>
      </c>
    </row>
    <row r="172" ht="18" customFormat="1" customHeight="1" s="278">
      <c r="A172" s="201">
        <f>IF(B172="","",+A171+1)</f>
        <v/>
      </c>
      <c r="B172" s="140" t="inlineStr">
        <is>
          <t>หมอนรองกระจก</t>
        </is>
      </c>
      <c r="C172" s="140" t="inlineStr">
        <is>
          <t>SETTING BLOCK</t>
        </is>
      </c>
      <c r="D172" s="139" t="inlineStr">
        <is>
          <t>02-037</t>
        </is>
      </c>
      <c r="E172" s="143" t="n"/>
      <c r="F172" s="143" t="inlineStr">
        <is>
          <t>02-037</t>
        </is>
      </c>
      <c r="G172" s="143" t="inlineStr">
        <is>
          <t>PC</t>
        </is>
      </c>
      <c r="H172" s="143" t="n">
        <v>6</v>
      </c>
      <c r="I172" s="130" t="n"/>
      <c r="J172" s="131">
        <f>$J$120*H172</f>
        <v/>
      </c>
      <c r="N172" s="101" t="inlineStr">
        <is>
          <t>12,20</t>
        </is>
      </c>
      <c r="O172" s="280" t="inlineStr">
        <is>
          <t>12,20 mm ยางรองกระจก</t>
        </is>
      </c>
      <c r="P172" s="415" t="inlineStr">
        <is>
          <t>12,20 mm CAPTIVE WEDGE</t>
        </is>
      </c>
      <c r="Q172" s="280" t="inlineStr">
        <is>
          <t>02-032</t>
        </is>
      </c>
      <c r="R172" s="213" t="n"/>
      <c r="S172" s="213" t="inlineStr">
        <is>
          <t>02-032</t>
        </is>
      </c>
      <c r="T172" s="213" t="inlineStr">
        <is>
          <t>M</t>
        </is>
      </c>
      <c r="U172" s="650">
        <f>((($I$141*$G$141)+($I$142*$G$142)+($I$143*$G$143)+($I$144*$G$144))/1000)*$J$120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ประเก็นเฟรมบน</t>
        </is>
      </c>
      <c r="C173" s="140" t="inlineStr">
        <is>
          <t>FRAME SEAL BI-FOLD HEAD (L/R)</t>
        </is>
      </c>
      <c r="D173" s="139" t="inlineStr">
        <is>
          <t>02-015</t>
        </is>
      </c>
      <c r="E173" s="143" t="n"/>
      <c r="F173" s="143" t="inlineStr">
        <is>
          <t>02-015</t>
        </is>
      </c>
      <c r="G173" s="143" t="inlineStr">
        <is>
          <t>PC</t>
        </is>
      </c>
      <c r="H173" s="143" t="n">
        <v>2</v>
      </c>
      <c r="I173" s="130" t="n"/>
      <c r="J173" s="131">
        <f>$J$120*H173</f>
        <v/>
      </c>
      <c r="N173" s="101" t="inlineStr">
        <is>
          <t>5,8,10,12,18</t>
        </is>
      </c>
      <c r="O173" s="415" t="inlineStr">
        <is>
          <t>5,8,10,12,18 mmยางอัดกระจก</t>
        </is>
      </c>
      <c r="P173" s="415" t="inlineStr">
        <is>
          <t>5,8,10,12,18 mm ROLL IN WEDGE</t>
        </is>
      </c>
      <c r="Q173" s="280" t="inlineStr">
        <is>
          <t>02-033</t>
        </is>
      </c>
      <c r="R173" s="213" t="n"/>
      <c r="S173" s="213" t="inlineStr">
        <is>
          <t>02-033</t>
        </is>
      </c>
      <c r="T173" s="213" t="inlineStr">
        <is>
          <t>M</t>
        </is>
      </c>
      <c r="U173" s="650">
        <f>((($I$141*$G$141)+($I$142*$G$142)+($I$143*$G$143)+($I$144*$G$144))/1000)*$J$120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ประเก็นเฟรมล่าง</t>
        </is>
      </c>
      <c r="C174" s="140" t="inlineStr">
        <is>
          <t>FRAME SEAL BI-FOLD SILL (L/R)</t>
        </is>
      </c>
      <c r="D174" s="139" t="inlineStr">
        <is>
          <t>02-016</t>
        </is>
      </c>
      <c r="E174" s="143" t="n"/>
      <c r="F174" s="143" t="inlineStr">
        <is>
          <t>02-016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6,20</t>
        </is>
      </c>
      <c r="O174" s="415" t="inlineStr">
        <is>
          <t>6,20 mm ยางอัดกระจก</t>
        </is>
      </c>
      <c r="P174" s="415" t="inlineStr">
        <is>
          <t>6,20 mm ROLL IN WEDGE</t>
        </is>
      </c>
      <c r="Q174" s="280" t="inlineStr">
        <is>
          <t>02-034</t>
        </is>
      </c>
      <c r="R174" s="213" t="n"/>
      <c r="S174" s="213" t="inlineStr">
        <is>
          <t>02-034</t>
        </is>
      </c>
      <c r="T174" s="213" t="inlineStr">
        <is>
          <t>M</t>
        </is>
      </c>
      <c r="U174" s="650">
        <f>((($I$141*$G$141)+($I$142*$G$142)+($I$143*$G$143)+($I$144*$G$144))/1000)*$J$120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38</t>
        </is>
      </c>
      <c r="C175" s="140" t="inlineStr">
        <is>
          <t>#8x38 mm. SS PH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24</v>
      </c>
      <c r="I175" s="130" t="n"/>
      <c r="J175" s="131">
        <f>$J$120*H175</f>
        <v/>
      </c>
      <c r="N175" s="101" t="inlineStr">
        <is>
          <t>8,14</t>
        </is>
      </c>
      <c r="O175" s="415" t="inlineStr">
        <is>
          <t>8,14 mm ยางอัดกระจก</t>
        </is>
      </c>
      <c r="P175" s="415" t="inlineStr">
        <is>
          <t>8,14 mm ROLL IN WEDGE</t>
        </is>
      </c>
      <c r="Q175" s="280" t="inlineStr">
        <is>
          <t>02-045</t>
        </is>
      </c>
      <c r="R175" s="213" t="n"/>
      <c r="S175" s="213" t="inlineStr">
        <is>
          <t>02-045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12</t>
        </is>
      </c>
      <c r="C176" s="140" t="inlineStr">
        <is>
          <t>#8x12 mm. CSK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48</v>
      </c>
      <c r="I176" s="130" t="n"/>
      <c r="J176" s="131">
        <f>$J$120*H176</f>
        <v/>
      </c>
    </row>
    <row r="177" ht="18" customFormat="1" customHeight="1" s="278">
      <c r="A177" s="201">
        <f>IF(B177="","",+A176+1)</f>
        <v/>
      </c>
      <c r="B177" s="140" t="inlineStr">
        <is>
          <t>ชุดล้อแขวนบานตายขวา</t>
        </is>
      </c>
      <c r="C177" s="140" t="inlineStr">
        <is>
          <t>Right Hand Pivot Set</t>
        </is>
      </c>
      <c r="D177" s="139" t="inlineStr">
        <is>
          <t>05-007</t>
        </is>
      </c>
      <c r="E177" s="143" t="n"/>
      <c r="F177" s="143" t="inlineStr">
        <is>
          <t>05-007</t>
        </is>
      </c>
      <c r="G177" s="143" t="inlineStr">
        <is>
          <t>SET</t>
        </is>
      </c>
      <c r="H177" s="143" t="n">
        <v>1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ชุดล้อแขวนบานกลาง</t>
        </is>
      </c>
      <c r="C178" s="140" t="inlineStr">
        <is>
          <t>Intermediate Carrier Set</t>
        </is>
      </c>
      <c r="D178" s="139" t="inlineStr">
        <is>
          <t>05-011</t>
        </is>
      </c>
      <c r="E178" s="143" t="n"/>
      <c r="F178" s="143" t="inlineStr">
        <is>
          <t>05-011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ชุดสลักล็อค</t>
        </is>
      </c>
      <c r="C180" s="140" t="inlineStr">
        <is>
          <t>Twin Bolt + Rods</t>
        </is>
      </c>
      <c r="D180" s="139" t="inlineStr">
        <is>
          <t>05-014</t>
        </is>
      </c>
      <c r="E180" s="143" t="n"/>
      <c r="F180" s="143" t="inlineStr">
        <is>
          <t>05-014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  <c r="N180" s="278" t="n"/>
      <c r="O180" s="278" t="n"/>
      <c r="P180" s="278" t="n"/>
      <c r="Q180" s="442" t="n"/>
      <c r="R180" s="442" t="n"/>
      <c r="S180" s="442" t="n"/>
      <c r="T180" s="109" t="n"/>
      <c r="U180" s="109" t="n"/>
      <c r="V180" s="109" t="n"/>
      <c r="W180" s="278" t="n"/>
    </row>
    <row r="181" ht="18" customFormat="1" customHeight="1" s="278">
      <c r="A181" s="201">
        <f>IF(B181="","",+A180+1)</f>
        <v/>
      </c>
      <c r="B181" s="140" t="inlineStr">
        <is>
          <t>ชุดมือจับล็อค</t>
        </is>
      </c>
      <c r="C181" s="140" t="inlineStr">
        <is>
          <t>Stainless steel mortise lock,handle,cylinder</t>
        </is>
      </c>
      <c r="D181" s="139" t="inlineStr">
        <is>
          <t>00-024 or 00-027</t>
        </is>
      </c>
      <c r="E181" s="143" t="n"/>
      <c r="F181" s="143" t="inlineStr">
        <is>
          <t>00-024 or 00-027</t>
        </is>
      </c>
      <c r="G181" s="143" t="inlineStr">
        <is>
          <t>SET</t>
        </is>
      </c>
      <c r="H181" s="143" t="n">
        <v>1</v>
      </c>
      <c r="I181" s="144" t="n"/>
      <c r="J181" s="131">
        <f>$J$120*H181</f>
        <v/>
      </c>
      <c r="N181" s="101" t="inlineStr">
        <is>
          <t>FRAME SEAL</t>
        </is>
      </c>
      <c r="O181" s="246" t="inlineStr">
        <is>
          <t>THAI</t>
        </is>
      </c>
      <c r="P181" s="246" t="inlineStr">
        <is>
          <t>DESCRIPTION</t>
        </is>
      </c>
      <c r="Q181" s="246" t="inlineStr">
        <is>
          <t>PART NO.</t>
        </is>
      </c>
      <c r="R181" s="246" t="inlineStr">
        <is>
          <t>KG/m</t>
        </is>
      </c>
      <c r="S181" s="246" t="inlineStr">
        <is>
          <t>DRAWING</t>
        </is>
      </c>
      <c r="T181" s="246" t="inlineStr">
        <is>
          <t>PER</t>
        </is>
      </c>
      <c r="U181" s="246" t="inlineStr">
        <is>
          <t>QUANTITY</t>
        </is>
      </c>
      <c r="V181" s="246" t="inlineStr">
        <is>
          <t>Pack QTY</t>
        </is>
      </c>
      <c r="W181" s="246" t="inlineStr">
        <is>
          <t>TOTAL</t>
        </is>
      </c>
    </row>
    <row r="182" ht="18" customFormat="1" customHeight="1" s="278">
      <c r="A182" s="201">
        <f>IF(B182="","",+A181+1)</f>
        <v/>
      </c>
      <c r="B182" s="140" t="inlineStr">
        <is>
          <t>ตัวประคองสลักล็อค</t>
        </is>
      </c>
      <c r="C182" s="140" t="inlineStr">
        <is>
          <t>Guide twin Bolt Rods</t>
        </is>
      </c>
      <c r="D182" s="139" t="inlineStr">
        <is>
          <t>04-009</t>
        </is>
      </c>
      <c r="E182" s="143" t="n"/>
      <c r="F182" s="143" t="inlineStr">
        <is>
          <t>04-009</t>
        </is>
      </c>
      <c r="G182" s="143" t="inlineStr">
        <is>
          <t>PC</t>
        </is>
      </c>
      <c r="H182" s="143" t="n">
        <v>2</v>
      </c>
      <c r="I182" s="144" t="n"/>
      <c r="J182" s="131">
        <f>$J$120*H182</f>
        <v/>
      </c>
      <c r="N182" s="101" t="inlineStr">
        <is>
          <t>ธรรมดา</t>
        </is>
      </c>
      <c r="O182" s="415" t="inlineStr">
        <is>
          <t>ยางเฟรมกันน้ำ (ธรรมดา)</t>
        </is>
      </c>
      <c r="P182" s="415" t="inlineStr">
        <is>
          <t>FRAME SEAL (Standard)</t>
        </is>
      </c>
      <c r="Q182" s="280" t="inlineStr">
        <is>
          <t>02-026</t>
        </is>
      </c>
      <c r="R182" s="213" t="n"/>
      <c r="S182" s="213" t="inlineStr">
        <is>
          <t>02-026</t>
        </is>
      </c>
      <c r="T182" s="213" t="inlineStr">
        <is>
          <t>M</t>
        </is>
      </c>
      <c r="U182" s="650">
        <f>((($I$134*$G$134)+($I$136*$G$136)+($I$139*$G$139))/1000)*$J$120</f>
        <v/>
      </c>
      <c r="V182" s="650" t="n">
        <v>300</v>
      </c>
      <c r="W182" s="651">
        <f>ROUNDUP((U182)/V182,0)</f>
        <v/>
      </c>
    </row>
    <row r="183" ht="18" customFormat="1" customHeight="1" s="278">
      <c r="A183" s="201">
        <f>IF(B183="","",+A182+1)</f>
        <v/>
      </c>
      <c r="B183" s="140" t="inlineStr">
        <is>
          <t>รางเสริมเปลี่ยนล้อ</t>
        </is>
      </c>
      <c r="C183" s="140" t="inlineStr">
        <is>
          <t>35 SERIES TRACK INSERT</t>
        </is>
      </c>
      <c r="D183" s="139" t="inlineStr">
        <is>
          <t>04-004</t>
        </is>
      </c>
      <c r="E183" s="143" t="n"/>
      <c r="F183" s="143" t="inlineStr">
        <is>
          <t>04-004</t>
        </is>
      </c>
      <c r="G183" s="143" t="inlineStr">
        <is>
          <t>PC</t>
        </is>
      </c>
      <c r="H183" s="143" t="n">
        <v>1</v>
      </c>
      <c r="I183" s="144" t="n"/>
      <c r="J183" s="131">
        <f>$J$120*H183</f>
        <v/>
      </c>
      <c r="N183" s="101" t="inlineStr">
        <is>
          <t>กันเสียง</t>
        </is>
      </c>
      <c r="O183" s="415" t="inlineStr">
        <is>
          <t>ยางเฟรมกันน้ำ (กันเสียง)</t>
        </is>
      </c>
      <c r="P183" s="415" t="inlineStr">
        <is>
          <t>FRAME SEAL (Soumdproof)</t>
        </is>
      </c>
      <c r="Q183" s="280" t="inlineStr">
        <is>
          <t>02-025</t>
        </is>
      </c>
      <c r="R183" s="213" t="n"/>
      <c r="S183" s="213" t="inlineStr">
        <is>
          <t>02-025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100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39">
        <f>IF($D$129="Standard",$O$182,IF($D$129="Soumdproof",$O$183,))</f>
        <v/>
      </c>
      <c r="C184" s="139">
        <f>IF($D$129="Standard",$P$182,IF($D$129="Soumdproof",$P$183,))</f>
        <v/>
      </c>
      <c r="D184" s="139">
        <f>IF($D$129="Standard",$Q$182,IF($D$129="Soumdproof",$Q$183,))</f>
        <v/>
      </c>
      <c r="E184" s="143">
        <f>IF($D$129="Standard",R183,IF($D$129="Soumdproof",R184,))</f>
        <v/>
      </c>
      <c r="F184" s="143">
        <f>IF($D$129="Standard",$S$182,IF($D$129="Soumdproof",$S$183,))</f>
        <v/>
      </c>
      <c r="G184" s="143">
        <f>IF($D$129="Standard",$T$182,IF($D$129="Soumdproof",$T$183,))</f>
        <v/>
      </c>
      <c r="H184" s="652">
        <f>IF($D$129="Standard",$U$182,IF($D$129="Soumdproof",$U$183,))</f>
        <v/>
      </c>
      <c r="I184" s="653">
        <f>IF($D$129="Standard",$V$182,IF($D$129="Soumdproof",$V$183,))</f>
        <v/>
      </c>
      <c r="J184" s="654">
        <f>ROUNDUP((H184)/100,0)</f>
        <v/>
      </c>
      <c r="N184" s="101" t="inlineStr">
        <is>
          <t>ธรรมดา</t>
        </is>
      </c>
      <c r="O184" s="415" t="inlineStr">
        <is>
          <t>ยางแซชกันน้ำ (ธรรมดา)</t>
        </is>
      </c>
      <c r="P184" s="415" t="inlineStr">
        <is>
          <t>SASH SEAL FOAM (Standard)</t>
        </is>
      </c>
      <c r="Q184" s="280" t="inlineStr">
        <is>
          <t>02-031</t>
        </is>
      </c>
      <c r="R184" s="213" t="n"/>
      <c r="S184" s="213" t="inlineStr">
        <is>
          <t>02-031</t>
        </is>
      </c>
      <c r="T184" s="213" t="inlineStr">
        <is>
          <t>M</t>
        </is>
      </c>
      <c r="U184" s="650">
        <f>((($I$143*$G$143*2)+($I$144*$G$144*2)+($I$141*$G$141*2))/1000)*$J$120</f>
        <v/>
      </c>
      <c r="V184" s="650" t="n">
        <v>350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39">
        <f>IF($D$129="Standard",$O$184,IF($D$129="Soumdproof",$O$185,))</f>
        <v/>
      </c>
      <c r="C185" s="139">
        <f>IF($D$129="Standard",$P$184,IF($D$129="Soumdproof",$P$185,))</f>
        <v/>
      </c>
      <c r="D185" s="139">
        <f>IF($D$129="Standard",$Q$184,IF($D$129="Soumdproof",$Q$185,))</f>
        <v/>
      </c>
      <c r="E185" s="143">
        <f>IF($D$129="Standard",R185,IF($D$129="Soumdproof",R186,))</f>
        <v/>
      </c>
      <c r="F185" s="143">
        <f>IF($D$129="Standard",$S$184,IF($D$129="Soumdproof",$S$185,))</f>
        <v/>
      </c>
      <c r="G185" s="143">
        <f>IF($D$129="Standard",$T$184,IF($D$129="Soumdproof",$T$185,))</f>
        <v/>
      </c>
      <c r="H185" s="652">
        <f>IF($D$129="Standard",$U$184,IF($D$129="Soumdproof",$U$185,))</f>
        <v/>
      </c>
      <c r="I185" s="653">
        <f>IF($D$129="Standard",$V$184,IF($D$129="Soumdproof",$V$185,))</f>
        <v/>
      </c>
      <c r="J185" s="654">
        <f>ROUNDUP((H185)/100,0)</f>
        <v/>
      </c>
      <c r="N185" s="101" t="inlineStr">
        <is>
          <t>กันเสียง</t>
        </is>
      </c>
      <c r="O185" s="415" t="inlineStr">
        <is>
          <t>ยางแซชกันน้ำ (กันเสียง)</t>
        </is>
      </c>
      <c r="P185" s="415" t="inlineStr">
        <is>
          <t>SASH SEAL FOAM (Soumdproof)</t>
        </is>
      </c>
      <c r="Q185" s="280" t="inlineStr">
        <is>
          <t>02-035</t>
        </is>
      </c>
      <c r="R185" s="213" t="n"/>
      <c r="S185" s="213" t="inlineStr">
        <is>
          <t>02-035</t>
        </is>
      </c>
      <c r="T185" s="213" t="inlineStr">
        <is>
          <t>M</t>
        </is>
      </c>
      <c r="U185" s="650">
        <f>((($I$143*$G$143*2)+($I$144*$G$144*2)+($I$141*$G$141*2))/1000)*$J$120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296">
        <f>IF($D$127=5,$O$173,IF($D$127=6,$O$174,IF($D$127=8,$O$175,IF($D$127=10,$O$173,IF($D$127=12,$O$173,IF($D$127=14,$O$175,IF($D$127=18,$O$173,IF($D$127=20,$O$174,IF($D$127=22,"")))))))))</f>
        <v/>
      </c>
      <c r="C186" s="296">
        <f>IF($D$127=5,$P$173,IF($D$127=6,$P$174,IF($D$127=8,$P$175,IF($D$127=10,$P$173,IF($D$127=12,$P$173,IF($D$127=14,$P$175,IF($D$127=18,$P$173,IF($D$127=20,$P$174,IF($D$127=22,"")))))))))</f>
        <v/>
      </c>
      <c r="D186" s="296">
        <f>IF($D$127=5,$Q$173,IF($D$127=6,$Q$174,IF($D$127=8,$Q$175,IF($D$127=10,$Q$173,IF($D$127=12,$Q$173,IF($D$127=14,$Q$175,IF($D$127=18,$Q$173,IF($D$127=20,$Q$174,IF($D$127=22,"")))))))))</f>
        <v/>
      </c>
      <c r="E186" s="296">
        <f>IF($D$127=5,R174,IF($D$127=6,R175,IF($D$127=8,R176,IF($D$127=10,R174,IF($D$127=12,R174,IF($D$127=14,R176,IF($D$127=18,R174,IF($D$127=20,R175,IF($D$127=22,"",)))))))))</f>
        <v/>
      </c>
      <c r="F186" s="242">
        <f>IF($D$127=5,$S$173,IF($D$127=6,$S$174,IF($D$127=8,$S$175,IF($D$127=10,$S$173,IF($D$127=12,$S$173,IF($D$127=14,$S$175,IF($D$127=18,$S$173,IF($D$127=20,$S$174,IF($D$127=22,"")))))))))</f>
        <v/>
      </c>
      <c r="G186" s="242">
        <f>IF($D$127=5,$T$173,IF($D$127=6,$T$174,IF($D$127=8,$T$175,IF($D$127=10,$T$173,IF($D$127=12,$T$173,IF($D$127=14,$T$175,IF($D$127=18,$T$173,IF($D$127=20,$T$174,IF($D$127=22,"")))))))))</f>
        <v/>
      </c>
      <c r="H186" s="652">
        <f>IF($D$127=5,$U$173,IF($D$127=6,$U$174,IF($D$127=8,$U$175,IF($D$127=10,$U$173*2,IF($D$127=12,$U$173,IF($D$127=14,$U$175*2,IF($D$127=18,$U$173,IF($D$127=20,$U$174,IF($D$127=22,"")))))))))</f>
        <v/>
      </c>
      <c r="I186" s="653">
        <f>IF($D$127=5,$V$173,IF($D$127=6,$V$174,IF($D$127=8,$V$175,IF($D$127=10,$V$173,IF($D$127=12,$V$173,IF($D$127=14,$V$175,IF($D$127=18,$V$173,IF($D$127=20,$V$174,IF($D$127=22,"")))))))))</f>
        <v/>
      </c>
      <c r="J186" s="654">
        <f>ROUNDUP((H186)/100,0)</f>
        <v/>
      </c>
    </row>
    <row r="187" ht="18" customFormat="1" customHeight="1" s="278">
      <c r="A187" s="201">
        <f>IF(B187="","",+A186+1)</f>
        <v/>
      </c>
      <c r="B187" s="296">
        <f>IF($D$127=5,$O$171,IF($D$127=6,$O$171,IF($D$127=8,$O$173,IF($D$127=10,"",IF($D$127=12,$O$172,IF($D$127=14,"",IF($D$127=18,$O$171,IF($D$127=20,$O$172,IF($D$127=22,"",)))))))))</f>
        <v/>
      </c>
      <c r="C187" s="296">
        <f>IF($D$127=5,$P$171,IF($D$127=6,$P$171,IF($D$127=8,$P$173,IF($D$127=10,"",IF($D$127=12,$P$172,IF($D$127=14,"",IF($D$127=18,$P$171,IF($D$127=20,$P$172,IF($D$127=22,"",)))))))))</f>
        <v/>
      </c>
      <c r="D187" s="296">
        <f>IF($D$127=5,$Q$171,IF($D$127=6,$Q$171,IF($D$127=8,$Q$173,IF($D$127=10,"",IF($D$127=12,$Q$172,IF($D$127=14,"",IF($D$127=18,$Q$171,IF($D$127=20,$Q$172,IF($D$127=22,"",)))))))))</f>
        <v/>
      </c>
      <c r="E187" s="296">
        <f>IF($D$127=5,R172,IF($D$127=6,R172,IF($D$127=8,R174,IF($D$127=10,"",IF($D$127=12,R173,IF($D$127=14,"",IF($D$127=18,R172,IF($D$127=20,R173,IF($D$127=22,"",)))))))))</f>
        <v/>
      </c>
      <c r="F187" s="242">
        <f>IF($D$127=5,$S$171,IF($D$127=6,$S$171,IF($D$127=8,$S$173,IF($D$127=10,"",IF($D$127=12,$S$172,IF($D$127=14,"",IF($D$127=18,$S$171,IF($D$127=20,$S$172,IF($D$127=22,"",)))))))))</f>
        <v/>
      </c>
      <c r="G187" s="242">
        <f>IF($D$127=5,$T$171,IF($D$127=6,$T$171,IF($D$127=8,$T$173,IF($D$127=10,"",IF($D$127=12,$T$172,IF($D$127=14,"",IF($D$127=18,$T$171,IF($D$127=20,$T$172,IF($D$127=22,"",)))))))))</f>
        <v/>
      </c>
      <c r="H187" s="652">
        <f>IF($D$127=5,$U$171,IF($D$127=6,$U$171,IF($D$127=8,$U$173,IF($D$127=10,"",IF($D$127=12,$U$172,IF($D$127=14,"",IF($D$127=18,$U$171,IF($D$127=20,$U$172,IF($D$127=22,"")))))))))</f>
        <v/>
      </c>
      <c r="I187" s="653">
        <f>IF($D$127=5,$V$171,IF($D$127=6,$V$171,IF($D$127=8,$V$173,IF($D$127=10,"",IF($D$127=12,$V$172,IF($D$127=14,"",IF($D$127=18,$V$171,IF($D$127=20,$V$172,IF($D$127=22,"",)))))))))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140" t="n"/>
      <c r="C188" s="140" t="n"/>
      <c r="D188" s="139" t="n"/>
      <c r="E188" s="143" t="n"/>
      <c r="F188" s="143" t="n"/>
      <c r="G188" s="143" t="n"/>
      <c r="H188" s="143" t="n"/>
      <c r="I188" s="144" t="n"/>
      <c r="J188" s="131">
        <f>$J$120*G188</f>
        <v/>
      </c>
    </row>
    <row r="189" ht="18" customFormat="1" customHeight="1" s="278">
      <c r="A189" s="201">
        <f>IF(B189="","",+A188+1)</f>
        <v/>
      </c>
      <c r="B189" s="140" t="n"/>
      <c r="C189" s="140" t="n"/>
      <c r="D189" s="139" t="n"/>
      <c r="E189" s="143" t="n"/>
      <c r="F189" s="143" t="n"/>
      <c r="G189" s="143" t="n"/>
      <c r="H189" s="143" t="n"/>
      <c r="I189" s="130" t="n"/>
      <c r="J189" s="131">
        <f>$J$120*G189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$J$120*G190</f>
        <v/>
      </c>
    </row>
    <row r="191" ht="18" customHeight="1" s="344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$J$120*G191</f>
        <v/>
      </c>
      <c r="Y191" s="278" t="n"/>
      <c r="Z191" s="278" t="n"/>
      <c r="AA191" s="278" t="n"/>
      <c r="AB191" s="278" t="n"/>
      <c r="AC191" s="278" t="n"/>
      <c r="AD191" s="278" t="n"/>
      <c r="AE191" s="278" t="n"/>
      <c r="AF191" s="278" t="n"/>
      <c r="AG191" s="278" t="n"/>
      <c r="AH191" s="278" t="n"/>
      <c r="AI191" s="278" t="n"/>
      <c r="AJ191" s="278" t="n"/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$J$120*G192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$J$120*G193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$J$120*G194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$J$120*G195</f>
        <v/>
      </c>
    </row>
    <row r="196" ht="18" customFormat="1" customHeight="1" s="278">
      <c r="A196" s="201" t="n"/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IF(B197="","",+""+1)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$J$120*G197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IF(B199="","",+""+1)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IF(B201="","",+""+1)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IF(B202="","",+""+1)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$J$120*G204</f>
        <v/>
      </c>
    </row>
    <row r="205" ht="18" customFormat="1" customHeight="1" s="278">
      <c r="A205" s="27" t="n"/>
      <c r="B205" s="278" t="n"/>
      <c r="C205" s="278" t="n"/>
      <c r="D205" s="161" t="n"/>
      <c r="E205" s="109" t="n"/>
      <c r="F205" s="109" t="n"/>
      <c r="G205" s="109" t="n"/>
      <c r="H205" s="109" t="n"/>
      <c r="I205" s="501" t="n"/>
      <c r="J205" s="318" t="n"/>
    </row>
    <row r="206" ht="18" customHeight="1" s="344">
      <c r="A206" s="109" t="n"/>
      <c r="B206" s="278" t="n"/>
      <c r="C206" s="278" t="n"/>
      <c r="D206" s="161" t="n"/>
      <c r="E206" s="109" t="n"/>
      <c r="F206" s="109" t="n"/>
      <c r="G206" s="109" t="n"/>
      <c r="H206" s="109" t="n"/>
      <c r="J206" s="99">
        <f>LEFT($J$111,10)&amp;"-02"</f>
        <v/>
      </c>
    </row>
    <row r="207" ht="12.75" customHeight="1" s="344">
      <c r="K207" s="37" t="n"/>
      <c r="L207" s="37" t="n"/>
      <c r="M207" s="2" t="n"/>
      <c r="N207" s="2" t="n"/>
    </row>
    <row r="208" ht="30" customHeight="1" s="344">
      <c r="C208" s="5" t="n"/>
      <c r="D208" s="95" t="n"/>
      <c r="E208" s="95" t="n"/>
      <c r="F208" s="95" t="n"/>
      <c r="G208" s="95" t="n"/>
      <c r="H208" s="95" t="n"/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28" t="n"/>
      <c r="D209" s="28" t="n"/>
      <c r="E209" s="28" t="n"/>
      <c r="F209" s="28" t="n"/>
      <c r="G209" s="28" t="n"/>
      <c r="H209" s="28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B210" s="72" t="n"/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8" t="n"/>
      <c r="C211" s="78" t="n"/>
      <c r="D211" s="82" t="n"/>
      <c r="E211" s="78" t="n"/>
      <c r="F211" s="78" t="n"/>
      <c r="G211" s="78" t="n"/>
      <c r="H211" s="7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B214" s="93" t="n"/>
      <c r="C214" s="278" t="n"/>
      <c r="D214" s="161" t="n"/>
      <c r="E214" s="35" t="n"/>
      <c r="F214" s="160" t="n"/>
      <c r="G214" s="160" t="n"/>
      <c r="H214" s="160" t="n"/>
      <c r="I214" s="160" t="n"/>
      <c r="J214" s="532" t="n"/>
    </row>
    <row r="215" ht="15" customFormat="1" customHeight="1" s="278">
      <c r="A215" s="109" t="n"/>
      <c r="B215" s="278" t="n"/>
      <c r="C215" s="89" t="n"/>
      <c r="D215" s="161" t="n"/>
      <c r="E215" s="35" t="n"/>
      <c r="F215" s="161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328" t="n"/>
      <c r="J240" s="117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328" t="n"/>
      <c r="J241" s="117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36" t="n"/>
      <c r="I242" s="501" t="n"/>
      <c r="J242" s="501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109" t="n"/>
      <c r="I243" s="109" t="n"/>
      <c r="J243" s="501" t="n"/>
    </row>
    <row r="244" ht="15.9" customFormat="1" customHeight="1" s="278">
      <c r="A244" s="109" t="n"/>
      <c r="B244" s="278" t="n"/>
      <c r="C244" s="89" t="inlineStr">
        <is>
          <t xml:space="preserve">                   Sill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328" t="inlineStr">
        <is>
          <t xml:space="preserve">                          = Frame Width -60.00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" customFormat="1" customHeight="1" s="278">
      <c r="A246" s="109" t="n"/>
      <c r="B246" s="278" t="n"/>
      <c r="C246" s="542" t="inlineStr">
        <is>
          <t xml:space="preserve">                          ความกว้าง(วงกบ) - 60.00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656">
        <f>$I$135</f>
        <v/>
      </c>
      <c r="D247" s="161" t="n"/>
      <c r="E247" s="109" t="n"/>
      <c r="F247" s="161" t="n"/>
      <c r="G247" s="109" t="n"/>
      <c r="H247" s="109" t="n"/>
      <c r="I247" s="44" t="n"/>
      <c r="J247" s="119" t="n"/>
    </row>
    <row r="248" ht="15.9" customFormat="1" customHeight="1" s="278">
      <c r="A248" s="109" t="n"/>
      <c r="B248" s="278" t="n"/>
      <c r="C248" s="657">
        <f>$J$135</f>
        <v/>
      </c>
      <c r="D248" s="161" t="n"/>
      <c r="E248" s="109" t="n"/>
      <c r="F248" s="161" t="n"/>
      <c r="G248" s="109" t="n"/>
      <c r="H248" s="109" t="n"/>
      <c r="I248" s="32" t="n"/>
      <c r="J248" s="40" t="n"/>
    </row>
    <row r="249" ht="15.9" customFormat="1" customHeight="1" s="278">
      <c r="A249" s="109" t="n"/>
      <c r="B249" s="278" t="n"/>
      <c r="C249" s="161" t="n"/>
      <c r="D249" s="161" t="n"/>
      <c r="E249" s="109" t="n"/>
      <c r="F249" s="161" t="n"/>
      <c r="G249" s="109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J251" s="10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J252" s="10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0" t="n"/>
      <c r="H253" s="109" t="n"/>
      <c r="I253" s="501" t="n"/>
      <c r="J253" s="501" t="n"/>
    </row>
    <row r="254" ht="15.9" customFormat="1" customHeight="1" s="278">
      <c r="A254" s="109" t="n"/>
      <c r="B254" s="278" t="n"/>
      <c r="D254" s="161" t="n"/>
      <c r="E254" s="109" t="n"/>
      <c r="F254" s="109" t="n"/>
      <c r="G254" s="109" t="n"/>
      <c r="H254" s="109" t="n"/>
      <c r="I254" s="501" t="n"/>
      <c r="J254" s="501" t="n"/>
    </row>
    <row r="255" ht="15.9" customFormat="1" customHeight="1" s="278">
      <c r="A255" s="44" t="n"/>
      <c r="B255" s="44" t="n"/>
      <c r="D255" s="84" t="n"/>
      <c r="E255" s="44" t="n"/>
      <c r="F255" s="44" t="n"/>
      <c r="G255" s="109" t="n"/>
      <c r="H255" s="109" t="n"/>
      <c r="I255" s="501" t="n"/>
      <c r="J255" s="501" t="n"/>
    </row>
    <row r="256" ht="15.9" customFormat="1" customHeight="1" s="278">
      <c r="A256" s="40" t="n"/>
      <c r="B256" s="40" t="n"/>
      <c r="C256" s="89" t="inlineStr">
        <is>
          <t xml:space="preserve">                    Door Stop Sill</t>
        </is>
      </c>
      <c r="D256" s="85" t="n"/>
      <c r="E256" s="40" t="n"/>
      <c r="F256" s="32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328" t="inlineStr">
        <is>
          <t xml:space="preserve">                          = Frame Width -60.00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542" t="inlineStr">
        <is>
          <t xml:space="preserve">                          ความกว้าง(วงกบ) - 60.00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6">
        <f>$I$136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7">
        <f>$J$136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161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278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89" t="inlineStr">
        <is>
          <t xml:space="preserve">                    JAMB</t>
        </is>
      </c>
      <c r="D267" s="161" t="n"/>
      <c r="E267" s="109" t="n"/>
      <c r="F267" s="109" t="n"/>
      <c r="G267" s="109" t="n"/>
      <c r="H267" s="109" t="n"/>
      <c r="I267" s="501" t="n"/>
      <c r="J267" s="501" t="n"/>
    </row>
    <row r="268" ht="15.9" customFormat="1" customHeight="1" s="278">
      <c r="A268" s="27" t="n"/>
      <c r="B268" s="278" t="n"/>
      <c r="C268" s="328" t="inlineStr">
        <is>
          <t xml:space="preserve">                          = FAME HIGHT</t>
        </is>
      </c>
      <c r="D268" s="328" t="n"/>
      <c r="E268" s="328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542" t="inlineStr">
        <is>
          <t xml:space="preserve">                          ความสูง (วงกบ)</t>
        </is>
      </c>
      <c r="D269" s="542" t="n"/>
      <c r="E269" s="542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C270" s="656">
        <f>$I$137</f>
        <v/>
      </c>
      <c r="D270" s="161" t="n"/>
      <c r="E270" s="109" t="n"/>
      <c r="F270" s="109" t="n"/>
      <c r="G270" s="278" t="n"/>
      <c r="H270" s="278" t="n"/>
      <c r="J270" s="109" t="n"/>
    </row>
    <row r="271" ht="15.9" customFormat="1" customHeight="1" s="278">
      <c r="A271" s="27" t="n"/>
      <c r="B271" s="278" t="n"/>
      <c r="C271" s="657">
        <f>$J$137+$J$138</f>
        <v/>
      </c>
      <c r="D271" s="161" t="n"/>
      <c r="E271" s="109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J273" s="109" t="n"/>
    </row>
    <row r="274" ht="15.9" customFormat="1" customHeight="1" s="278">
      <c r="A274" s="27" t="n"/>
      <c r="D274" s="328" t="n"/>
      <c r="E274" s="328" t="n"/>
      <c r="F274" s="109" t="n"/>
      <c r="G274" s="109" t="n"/>
      <c r="H274" s="109" t="n"/>
      <c r="J274" s="109" t="n"/>
    </row>
    <row r="275" ht="15.9" customFormat="1" customHeight="1" s="278">
      <c r="A275" s="27" t="n"/>
      <c r="D275" s="328" t="n"/>
      <c r="E275" s="328" t="n"/>
      <c r="F275" s="109" t="n"/>
      <c r="G275" s="109" t="n"/>
      <c r="H275" s="109" t="n"/>
      <c r="J275" s="109" t="n"/>
    </row>
    <row r="276" ht="15.9" customFormat="1" customHeight="1" s="278">
      <c r="A276" s="27" t="n"/>
      <c r="B276" s="278" t="n"/>
      <c r="D276" s="328" t="n"/>
      <c r="E276" s="328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278" t="n"/>
      <c r="D277" s="161" t="n"/>
      <c r="E277" s="109" t="n"/>
      <c r="F277" s="109" t="n"/>
      <c r="G277" s="109" t="n"/>
      <c r="I277" s="501" t="n"/>
      <c r="J277" s="501" t="n"/>
    </row>
    <row r="278" ht="15.9" customFormat="1" customHeight="1" s="278">
      <c r="A278" s="27" t="n"/>
      <c r="B278" s="278" t="n"/>
      <c r="C278" s="89" t="inlineStr">
        <is>
          <t xml:space="preserve">                   Door Stop Jamb</t>
        </is>
      </c>
      <c r="D278" s="162" t="n"/>
      <c r="E278" s="501" t="n"/>
      <c r="F278" s="109" t="n"/>
      <c r="G278" s="109" t="n"/>
      <c r="I278" s="501" t="n"/>
      <c r="J278" s="501" t="n"/>
    </row>
    <row r="279" ht="15.9" customFormat="1" customHeight="1" s="278">
      <c r="A279" s="27" t="n"/>
      <c r="B279" s="278" t="n"/>
      <c r="C279" s="328" t="inlineStr">
        <is>
          <t xml:space="preserve">                          = FAME HIGHT - 96</t>
        </is>
      </c>
      <c r="D279" s="328" t="n"/>
      <c r="E279" s="328" t="n"/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542" t="inlineStr">
        <is>
          <t xml:space="preserve">                          ความสูง (วงกบ) - 96</t>
        </is>
      </c>
      <c r="D280" s="542" t="n"/>
      <c r="E280" s="542" t="n"/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C281" s="656">
        <f>$I$139</f>
        <v/>
      </c>
      <c r="F281" s="109" t="n"/>
      <c r="G281" s="109" t="n"/>
      <c r="I281" s="109" t="n"/>
      <c r="J281" s="501" t="n"/>
    </row>
    <row r="282" ht="15.9" customFormat="1" customHeight="1" s="278">
      <c r="A282" s="27" t="n"/>
      <c r="B282" s="278" t="n"/>
      <c r="C282" s="657">
        <f>$J$139+$J$140</f>
        <v/>
      </c>
      <c r="F282" s="109" t="n"/>
      <c r="G282" s="109" t="n"/>
      <c r="I282" s="109" t="n"/>
      <c r="J282" s="501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J284" s="109" t="n"/>
    </row>
    <row r="285" ht="15.9" customFormat="1" customHeight="1" s="278">
      <c r="A285" s="27" t="n"/>
      <c r="B285" s="278" t="n"/>
      <c r="C285" s="278" t="n"/>
      <c r="D285" s="161" t="n"/>
      <c r="E285" s="109" t="n"/>
      <c r="F285" s="109" t="n"/>
      <c r="G285" s="109" t="n"/>
      <c r="H285" s="109" t="n"/>
      <c r="J285" s="109" t="n"/>
    </row>
    <row r="286" ht="15.9" customFormat="1" customHeight="1" s="278">
      <c r="A286" s="27" t="n"/>
      <c r="B286" s="278" t="n"/>
      <c r="F286" s="109" t="n"/>
      <c r="G286" s="109" t="n"/>
      <c r="H286" s="109" t="n"/>
      <c r="J286" s="109" t="n"/>
    </row>
    <row r="287" ht="15.9" customFormat="1" customHeight="1" s="278">
      <c r="A287" s="27" t="n"/>
      <c r="B287" s="278" t="n"/>
      <c r="F287" s="109" t="n"/>
      <c r="G287" s="109" t="n"/>
      <c r="H287" s="109" t="n"/>
      <c r="I287" s="162" t="n"/>
      <c r="J287" s="501" t="n"/>
    </row>
    <row r="288" ht="15.9" customFormat="1" customHeight="1" s="278">
      <c r="A288" s="27" t="n"/>
      <c r="B288" s="278" t="n"/>
      <c r="C288" s="89" t="inlineStr">
        <is>
          <t xml:space="preserve">                   Sash</t>
        </is>
      </c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C289" s="94" t="inlineStr">
        <is>
          <t xml:space="preserve">                          = ((Frame Width - 182-(113.25 × 2))/3</t>
        </is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542" t="inlineStr">
        <is>
          <t xml:space="preserve">                          ((ความกว้างวงกบ - 182-(113.25 × 2))/3</t>
        </is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328" t="inlineStr">
        <is>
          <t xml:space="preserve">                          = FAME HIGHT - 92.00</t>
        </is>
      </c>
      <c r="D291" s="328" t="n"/>
      <c r="E291" s="328" t="n"/>
      <c r="F291" s="109" t="n"/>
      <c r="G291" s="109" t="n"/>
      <c r="I291" s="501" t="n"/>
      <c r="J291" s="501" t="n"/>
    </row>
    <row r="292" ht="15.9" customFormat="1" customHeight="1" s="23">
      <c r="A292" s="27" t="n"/>
      <c r="B292" s="278" t="n"/>
      <c r="C292" s="542" t="inlineStr">
        <is>
          <t xml:space="preserve">                          ความสูง (วงกบ) - 92.00</t>
        </is>
      </c>
      <c r="D292" s="542" t="n"/>
      <c r="E292" s="542" t="n"/>
      <c r="F292" s="109" t="n"/>
      <c r="G292" s="109" t="n"/>
      <c r="H292" s="278" t="n"/>
      <c r="I292" s="109" t="n"/>
      <c r="J292" s="109" t="n"/>
    </row>
    <row r="293" ht="15.9" customFormat="1" customHeight="1" s="278">
      <c r="A293" s="27" t="n"/>
      <c r="B293" s="278" t="n"/>
      <c r="C293" s="656">
        <f>$I$141</f>
        <v/>
      </c>
      <c r="F293" s="109" t="n"/>
      <c r="G293" s="109" t="n"/>
      <c r="I293" s="44" t="n"/>
      <c r="J293" s="119" t="n"/>
    </row>
    <row r="294" ht="15.9" customFormat="1" customHeight="1" s="278">
      <c r="A294" s="27" t="n"/>
      <c r="B294" s="278" t="n"/>
      <c r="C294" s="657">
        <f>$J$141+$J$142</f>
        <v/>
      </c>
      <c r="D294" s="161" t="n"/>
      <c r="E294" s="109" t="n"/>
      <c r="F294" s="109" t="n"/>
      <c r="G294" s="109" t="n"/>
      <c r="H294" s="161" t="n"/>
      <c r="I294" s="32" t="n"/>
      <c r="J294" s="40" t="n"/>
    </row>
    <row r="295" ht="15.9" customFormat="1" customHeight="1" s="278">
      <c r="A295" s="27" t="n"/>
      <c r="B295" s="278" t="n"/>
      <c r="C295" s="656">
        <f>$I$143</f>
        <v/>
      </c>
      <c r="D295" s="161" t="n"/>
      <c r="E295" s="109" t="n"/>
      <c r="F295" s="109" t="n"/>
      <c r="G295" s="109" t="n"/>
      <c r="H295" s="109" t="n"/>
      <c r="I295" s="501" t="n"/>
      <c r="J295" s="501" t="n"/>
    </row>
    <row r="296" ht="15.9" customFormat="1" customHeight="1" s="278">
      <c r="A296" s="27" t="n"/>
      <c r="B296" s="278" t="n"/>
      <c r="C296" s="657">
        <f>$J$143+$J$144+$J$145</f>
        <v/>
      </c>
      <c r="D296" s="161" t="n"/>
      <c r="E296" s="109" t="n"/>
      <c r="F296" s="109" t="n"/>
      <c r="G296" s="109" t="n"/>
      <c r="H296" s="109" t="n"/>
      <c r="I296" s="501" t="n"/>
      <c r="J296" s="501" t="n"/>
    </row>
    <row r="297" ht="15.9" customFormat="1" customHeight="1" s="278">
      <c r="A297" s="27" t="n"/>
      <c r="B297" s="278" t="n"/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78">
      <c r="A298" s="27" t="n"/>
      <c r="B298" s="278" t="n"/>
      <c r="D298" s="161" t="n"/>
      <c r="E298" s="109" t="n"/>
      <c r="F298" s="109" t="n"/>
      <c r="G298" s="109" t="n"/>
      <c r="H298" s="109" t="n"/>
      <c r="I298" s="501" t="n"/>
      <c r="J298" s="501" t="n"/>
    </row>
    <row r="299" ht="15.9" customFormat="1" customHeight="1" s="278">
      <c r="A299" s="27" t="n"/>
      <c r="B299" s="278" t="n"/>
      <c r="D299" s="161" t="n"/>
      <c r="E299" s="109" t="n"/>
      <c r="F299" s="109" t="n"/>
      <c r="G299" s="109" t="n"/>
      <c r="H299" s="109" t="n"/>
      <c r="I299" s="501" t="n"/>
      <c r="J299" s="501" t="n"/>
    </row>
    <row r="300" ht="15.9" customFormat="1" customHeight="1" s="278">
      <c r="A300" s="27" t="n"/>
      <c r="B300" s="278" t="n"/>
      <c r="C300" s="278" t="n"/>
      <c r="D300" s="161" t="n"/>
      <c r="E300" s="109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27" t="n"/>
      <c r="B301" s="278" t="n"/>
      <c r="C301" s="23" t="n"/>
      <c r="D301" s="161" t="n"/>
      <c r="E301" s="109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27" t="n"/>
      <c r="B302" s="278" t="n"/>
      <c r="C302" s="89" t="inlineStr">
        <is>
          <t xml:space="preserve">                   Glazing Bead</t>
        </is>
      </c>
      <c r="D302" s="161" t="n"/>
      <c r="E302" s="109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27" t="n"/>
      <c r="B303" s="278" t="n"/>
      <c r="C303" s="94" t="inlineStr">
        <is>
          <t xml:space="preserve">                          = ((Frame Width - 182-(113.25 × 2))/3</t>
        </is>
      </c>
      <c r="D303" s="161" t="n"/>
      <c r="E303" s="109" t="n"/>
      <c r="F303" s="109" t="n"/>
      <c r="G303" s="44" t="n"/>
      <c r="H303" s="44" t="n"/>
      <c r="I303" s="109" t="n"/>
      <c r="J303" s="501" t="n"/>
    </row>
    <row r="304" ht="15.9" customFormat="1" customHeight="1" s="278">
      <c r="A304" s="27" t="n"/>
      <c r="B304" s="278" t="n"/>
      <c r="C304" s="542" t="inlineStr">
        <is>
          <t xml:space="preserve">                          ((ความกว้างวงกบ - 182-(113.25 × 2))/3</t>
        </is>
      </c>
      <c r="D304" s="328" t="n"/>
      <c r="E304" s="328" t="n"/>
      <c r="F304" s="109" t="n"/>
      <c r="G304" s="40" t="n"/>
      <c r="H304" s="32" t="n"/>
      <c r="I304" s="109" t="n"/>
      <c r="J304" s="501" t="n"/>
    </row>
    <row r="305" ht="15.9" customFormat="1" customHeight="1" s="278">
      <c r="A305" s="101" t="n"/>
      <c r="B305" s="278" t="n"/>
      <c r="C305" s="328" t="inlineStr">
        <is>
          <t xml:space="preserve">                          = FAME HIGHT - 242.00</t>
        </is>
      </c>
      <c r="D305" s="542" t="n"/>
      <c r="E305" s="542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44" t="n"/>
      <c r="B306" s="44" t="n"/>
      <c r="C306" s="542" t="inlineStr">
        <is>
          <t xml:space="preserve">                          ความสูง (วงกบ) - 242.00</t>
        </is>
      </c>
      <c r="D306" s="86" t="n"/>
      <c r="E306" s="79" t="n"/>
      <c r="F306" s="44" t="n"/>
      <c r="G306" s="109" t="n"/>
      <c r="H306" s="109" t="n"/>
      <c r="I306" s="109" t="n"/>
      <c r="J306" s="501" t="n"/>
    </row>
    <row r="307" ht="15.9" customFormat="1" customHeight="1" s="278">
      <c r="A307" s="40" t="n"/>
      <c r="B307" s="40" t="n"/>
      <c r="C307" s="656">
        <f>$I$146</f>
        <v/>
      </c>
      <c r="D307" s="87" t="n"/>
      <c r="E307" s="80" t="n"/>
      <c r="F307" s="32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7">
        <f>$J$146</f>
        <v/>
      </c>
      <c r="D308" s="161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$I$147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$J$147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89" t="n"/>
      <c r="D311" s="161" t="n"/>
      <c r="E311" s="109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406" t="n"/>
      <c r="C313" s="406" t="n"/>
      <c r="D313" s="83" t="n"/>
      <c r="E313" s="27" t="n"/>
      <c r="F313" s="27" t="n"/>
      <c r="G313" s="27" t="n"/>
      <c r="H313" s="27" t="n"/>
      <c r="I313" s="27" t="n"/>
      <c r="J313" s="99">
        <f>LEFT($J$111,10)&amp;"-03"</f>
        <v/>
      </c>
    </row>
    <row r="314" ht="12.75" customHeight="1" s="344">
      <c r="A314" s="109" t="n"/>
      <c r="B314" s="278" t="n"/>
      <c r="C314" s="278" t="n"/>
      <c r="D314" s="161" t="n"/>
      <c r="E314" s="109" t="n"/>
      <c r="F314" s="109" t="n"/>
      <c r="G314" s="109" t="n"/>
      <c r="H314" s="109" t="n"/>
      <c r="I314" s="179" t="n"/>
      <c r="J314" s="179" t="n"/>
    </row>
    <row r="315" ht="30" customHeight="1" s="344">
      <c r="C315" s="5" t="n"/>
      <c r="D315" s="95" t="n"/>
      <c r="E315" s="95" t="n"/>
      <c r="F315" s="95" t="n"/>
      <c r="G315" s="95" t="n"/>
      <c r="H315" s="95" t="n"/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28" t="n"/>
      <c r="D316" s="28" t="n"/>
      <c r="E316" s="28" t="n"/>
      <c r="F316" s="28" t="n"/>
      <c r="G316" s="28" t="n"/>
      <c r="H316" s="28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B317" s="72" t="n"/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Height="1" s="344" thickBot="1"/>
    <row r="319" ht="24.9" customFormat="1" customHeight="1" s="278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</row>
    <row r="320" ht="15" customFormat="1" customHeight="1" s="278">
      <c r="A320" s="109" t="n"/>
      <c r="B320" s="278" t="n"/>
      <c r="C320" s="278" t="n"/>
      <c r="D320" s="161" t="n"/>
      <c r="E320" s="35" t="n"/>
      <c r="F320" s="161" t="n"/>
      <c r="G320" s="94" t="n"/>
      <c r="H320" s="94" t="n"/>
      <c r="I320" s="94" t="n"/>
      <c r="J320" s="109" t="n"/>
    </row>
    <row r="321" ht="15" customFormat="1" customHeight="1" s="278">
      <c r="A321" s="109" t="n"/>
      <c r="B321" s="278" t="n"/>
      <c r="C321" s="278" t="n"/>
      <c r="D321" s="161" t="n"/>
      <c r="E321" s="35" t="n"/>
      <c r="F321" s="161" t="n"/>
      <c r="G321" s="94" t="n"/>
      <c r="H321" s="94" t="n"/>
      <c r="I321" s="94" t="n"/>
      <c r="J321" s="109" t="n"/>
    </row>
    <row r="322" ht="15" customFormat="1" customHeight="1" s="278">
      <c r="A322" s="109" t="n"/>
      <c r="B322" s="278" t="n"/>
      <c r="C322" s="161" t="n"/>
      <c r="D322" s="161" t="n"/>
      <c r="E322" s="35" t="n"/>
      <c r="F322" s="161" t="n"/>
      <c r="G322" s="109" t="n"/>
      <c r="H322" s="94" t="n"/>
      <c r="I322" s="109" t="n"/>
      <c r="J322" s="109" t="n"/>
    </row>
    <row r="323" ht="15" customFormat="1" customHeight="1" s="278">
      <c r="A323" s="109" t="n"/>
      <c r="B323" s="278" t="n"/>
      <c r="C323" s="161" t="n"/>
      <c r="D323" s="161" t="n"/>
      <c r="E323" s="35" t="n"/>
      <c r="F323" s="161" t="n"/>
      <c r="G323" s="109" t="n"/>
      <c r="H323" s="94" t="n"/>
      <c r="I323" s="109" t="n"/>
      <c r="J323" s="109" t="n"/>
    </row>
    <row r="324" ht="15" customFormat="1" customHeight="1" s="278">
      <c r="A324" s="109" t="n"/>
      <c r="B324" s="278" t="n"/>
      <c r="C324" s="161" t="n"/>
      <c r="D324" s="161" t="n"/>
      <c r="E324" s="35" t="n"/>
      <c r="F324" s="161" t="n"/>
      <c r="G324" s="109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109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3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93" t="n"/>
      <c r="D328" s="161" t="n"/>
      <c r="E328" s="109" t="n"/>
      <c r="F328" s="505" t="n"/>
      <c r="H328" s="507" t="n"/>
      <c r="I328" s="93" t="n"/>
      <c r="J328" s="109" t="n"/>
    </row>
    <row r="329" ht="15" customFormat="1" customHeight="1" s="278">
      <c r="A329" s="72" t="n"/>
      <c r="B329" s="72" t="n"/>
      <c r="C329" s="163" t="n"/>
      <c r="D329" s="161" t="n"/>
      <c r="E329" s="109" t="n"/>
      <c r="F329" s="507" t="n"/>
      <c r="H329" s="507" t="n"/>
      <c r="I329" s="163" t="n"/>
      <c r="J329" s="109" t="n"/>
    </row>
    <row r="330" ht="15" customFormat="1" customHeight="1" s="278">
      <c r="A330" s="532" t="n"/>
      <c r="B330" s="532" t="n"/>
      <c r="C330" s="161" t="n"/>
      <c r="D330" s="161" t="n"/>
      <c r="E330" s="109" t="n"/>
      <c r="F330" s="507" t="n"/>
      <c r="G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63" t="n"/>
      <c r="C332" s="93" t="n"/>
      <c r="D332" s="161" t="n"/>
      <c r="E332" s="109" t="n"/>
      <c r="F332" s="507" t="n"/>
      <c r="H332" s="507" t="n"/>
      <c r="I332" s="109" t="n"/>
      <c r="J332" s="109" t="n"/>
    </row>
    <row r="333" ht="15.9" customFormat="1" customHeight="1" s="278">
      <c r="A333" s="109" t="n"/>
      <c r="B333" s="109" t="n"/>
      <c r="C333" s="161" t="n"/>
      <c r="D333" s="161" t="n"/>
      <c r="E333" s="109" t="n"/>
      <c r="F333" s="37" t="n"/>
      <c r="G333" s="278" t="n"/>
      <c r="H333" s="109" t="n"/>
      <c r="I333" s="109" t="n"/>
      <c r="J333" s="109" t="n"/>
    </row>
    <row r="334" ht="15.9" customFormat="1" customHeight="1" s="278">
      <c r="A334" s="72" t="n"/>
      <c r="C334" s="43" t="n"/>
      <c r="D334" s="161" t="n"/>
      <c r="E334" s="109" t="n"/>
      <c r="F334" s="109" t="n"/>
      <c r="G334" s="109" t="n"/>
      <c r="H334" s="109" t="n"/>
      <c r="I334" s="109" t="n"/>
      <c r="J334" s="109" t="n"/>
    </row>
    <row r="335" ht="15.9" customFormat="1" customHeight="1" s="278">
      <c r="A335" s="44" t="n"/>
      <c r="C335" s="44" t="n"/>
      <c r="D335" s="84" t="n"/>
      <c r="E335" s="44" t="n"/>
      <c r="F335" s="44" t="n"/>
      <c r="G335" s="44" t="n"/>
      <c r="H335" s="44" t="n"/>
      <c r="I335" s="44" t="n"/>
      <c r="J335" s="119" t="n"/>
    </row>
    <row r="336" ht="15.9" customFormat="1" customHeight="1" s="278">
      <c r="A336" s="40" t="n"/>
      <c r="C336" s="161" t="n"/>
      <c r="D336" s="85" t="n"/>
      <c r="E336" s="40" t="n"/>
      <c r="F336" s="32" t="n"/>
      <c r="G336" s="40" t="n"/>
      <c r="H336" s="32" t="n"/>
      <c r="I336" s="32" t="n"/>
      <c r="J336" s="40" t="n"/>
    </row>
    <row r="337" ht="15.9" customFormat="1" customHeight="1" s="278">
      <c r="A337" s="109" t="n"/>
      <c r="C337" s="163" t="n"/>
      <c r="D337" s="161" t="n"/>
      <c r="E337" s="109" t="n"/>
      <c r="F337" s="161" t="n"/>
      <c r="G337" s="109" t="n"/>
      <c r="H337" s="109" t="n"/>
      <c r="I337" s="501" t="n"/>
      <c r="J337" s="501" t="n"/>
    </row>
    <row r="338" ht="15.9" customFormat="1" customHeight="1" s="278">
      <c r="A338" s="109" t="n"/>
      <c r="B338" s="278" t="n"/>
      <c r="C338" s="161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44" t="n"/>
      <c r="D339" s="161" t="n"/>
      <c r="E339" s="109" t="n"/>
      <c r="F339" s="161" t="n"/>
      <c r="G339" s="109" t="n"/>
      <c r="H339" s="162" t="n"/>
      <c r="I339" s="162" t="n"/>
      <c r="J339" s="162" t="n"/>
    </row>
    <row r="340" ht="15.9" customFormat="1" customHeight="1" s="278">
      <c r="A340" s="109" t="n"/>
      <c r="B340" s="278" t="n"/>
      <c r="C340" s="93" t="n"/>
      <c r="D340" s="161" t="n"/>
      <c r="E340" s="109" t="n"/>
      <c r="F340" s="161" t="n"/>
      <c r="G340" s="109" t="n"/>
      <c r="H340" s="161" t="n"/>
      <c r="I340" s="161" t="n"/>
      <c r="J340" s="161" t="n"/>
    </row>
    <row r="341" ht="15.9" customFormat="1" customHeight="1" s="278">
      <c r="A341" s="109" t="n"/>
      <c r="B341" s="278" t="n"/>
      <c r="C341" s="16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1" t="n"/>
      <c r="D342" s="161" t="n"/>
      <c r="E342" s="109" t="n"/>
      <c r="F342" s="161" t="n"/>
      <c r="G342" s="109" t="n"/>
      <c r="H342" s="109" t="n"/>
      <c r="I342" s="109" t="n"/>
      <c r="J342" s="501" t="n"/>
    </row>
    <row r="343" ht="15.9" customFormat="1" customHeight="1" s="278">
      <c r="A343" s="109" t="n"/>
      <c r="B343" s="278" t="n"/>
      <c r="C343" s="278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44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161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3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09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7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44" t="n"/>
      <c r="C354" s="44" t="n"/>
      <c r="D354" s="84" t="n"/>
      <c r="E354" s="44" t="n"/>
      <c r="F354" s="44" t="n"/>
      <c r="G354" s="44" t="n"/>
      <c r="H354" s="44" t="n"/>
      <c r="I354" s="44" t="n"/>
      <c r="J354" s="119" t="n"/>
    </row>
    <row r="355" ht="15.9" customFormat="1" customHeight="1" s="278">
      <c r="A355" s="40" t="n"/>
      <c r="B355" s="40" t="n"/>
      <c r="C355" s="44" t="n"/>
      <c r="D355" s="85" t="n"/>
      <c r="E355" s="40" t="n"/>
      <c r="F355" s="32" t="n"/>
      <c r="G355" s="40" t="n"/>
      <c r="H355" s="32" t="n"/>
      <c r="I355" s="32" t="n"/>
      <c r="J355" s="40" t="n"/>
    </row>
    <row r="356" ht="15.9" customFormat="1" customHeight="1" s="278">
      <c r="A356" s="27" t="n"/>
      <c r="B356" s="278" t="n"/>
      <c r="C356" s="93" t="n"/>
      <c r="D356" s="161" t="n"/>
      <c r="E356" s="109" t="n"/>
      <c r="F356" s="109" t="n"/>
      <c r="G356" s="109" t="n"/>
      <c r="H356" s="93" t="n"/>
      <c r="I356" s="501" t="n"/>
      <c r="J356" s="501" t="n"/>
    </row>
    <row r="357" ht="15.9" customFormat="1" customHeight="1" s="278">
      <c r="A357" s="27" t="n"/>
      <c r="B357" s="278" t="n"/>
      <c r="C357" s="163" t="n"/>
      <c r="D357" s="161" t="n"/>
      <c r="E357" s="109" t="n"/>
      <c r="F357" s="109" t="n"/>
      <c r="G357" s="109" t="n"/>
      <c r="H357" s="163" t="n"/>
      <c r="I357" s="163" t="n"/>
      <c r="J357" s="163" t="n"/>
    </row>
    <row r="358" ht="15.9" customFormat="1" customHeight="1" s="278">
      <c r="A358" s="27" t="n"/>
      <c r="B358" s="278" t="n"/>
      <c r="C358" s="161" t="n"/>
      <c r="D358" s="161" t="n"/>
      <c r="E358" s="109" t="n"/>
      <c r="F358" s="109" t="n"/>
      <c r="G358" s="109" t="n"/>
      <c r="H358" s="161" t="n"/>
      <c r="I358" s="161" t="n"/>
      <c r="J358" s="161" t="n"/>
    </row>
    <row r="359" ht="15.9" customFormat="1" customHeight="1" s="278">
      <c r="A359" s="27" t="n"/>
      <c r="B359" s="278" t="n"/>
      <c r="C359" s="278" t="n"/>
      <c r="D359" s="161" t="n"/>
      <c r="E359" s="109" t="n"/>
      <c r="F359" s="109" t="n"/>
      <c r="G359" s="109" t="n"/>
      <c r="H359" s="109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87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161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D370" s="161" t="n"/>
      <c r="E370" s="109" t="n"/>
      <c r="F370" s="109" t="n"/>
      <c r="G370" s="278" t="n"/>
      <c r="H370" s="278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93" t="n"/>
      <c r="I374" s="501" t="n"/>
      <c r="J374" s="501" t="n"/>
    </row>
    <row r="375" ht="15.9" customFormat="1" customHeight="1" s="278">
      <c r="A375" s="27" t="n"/>
      <c r="B375" s="278" t="n"/>
      <c r="C375" s="63" t="n"/>
      <c r="D375" s="161" t="n"/>
      <c r="E375" s="109" t="n"/>
      <c r="F375" s="109" t="n"/>
      <c r="G375" s="109" t="n"/>
      <c r="H375" s="163" t="n"/>
      <c r="I375" s="163" t="n"/>
      <c r="J375" s="163" t="n"/>
    </row>
    <row r="376" ht="15.9" customFormat="1" customHeight="1" s="278">
      <c r="A376" s="27" t="n"/>
      <c r="B376" s="278" t="n"/>
      <c r="C376" s="287" t="n"/>
      <c r="D376" s="161" t="n"/>
      <c r="E376" s="109" t="n"/>
      <c r="F376" s="109" t="n"/>
      <c r="G376" s="109" t="n"/>
      <c r="H376" s="161" t="n"/>
      <c r="I376" s="161" t="n"/>
      <c r="J376" s="161" t="n"/>
    </row>
    <row r="377" ht="15.9" customFormat="1" customHeight="1" s="278">
      <c r="A377" s="27" t="n"/>
      <c r="B377" s="278" t="n"/>
      <c r="C377" s="161" t="n"/>
      <c r="D377" s="161" t="n"/>
      <c r="E377" s="109" t="n"/>
      <c r="F377" s="109" t="n"/>
      <c r="G377" s="109" t="n"/>
      <c r="H377" s="93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6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1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09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64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302" t="n"/>
      <c r="I388" s="302" t="n"/>
      <c r="J388" s="302" t="n"/>
    </row>
    <row r="389" ht="15.9" customFormat="1" customHeight="1" s="278">
      <c r="A389" s="27" t="n"/>
      <c r="B389" s="278" t="n"/>
      <c r="C389" s="63" t="n"/>
      <c r="D389" s="161" t="n"/>
      <c r="E389" s="109" t="n"/>
      <c r="F389" s="109" t="n"/>
      <c r="G389" s="109" t="n"/>
      <c r="H389" s="161" t="n"/>
      <c r="I389" s="161" t="n"/>
      <c r="J389" s="161" t="n"/>
    </row>
    <row r="390" ht="15.9" customFormat="1" customHeight="1" s="278">
      <c r="A390" s="27" t="n"/>
      <c r="B390" s="278" t="n"/>
      <c r="C390" s="287" t="n"/>
      <c r="D390" s="161" t="n"/>
      <c r="E390" s="109" t="n"/>
      <c r="F390" s="109" t="n"/>
      <c r="G390" s="109" t="n"/>
      <c r="H390" s="109" t="n"/>
      <c r="I390" s="501" t="n"/>
      <c r="J390" s="501" t="n"/>
    </row>
    <row r="391" ht="15.9" customFormat="1" customHeight="1" s="278">
      <c r="A391" s="27" t="n"/>
      <c r="B391" s="278" t="n"/>
      <c r="C391" s="161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44" t="n"/>
      <c r="C404" s="44" t="n"/>
      <c r="D404" s="84" t="n"/>
      <c r="E404" s="44" t="n"/>
      <c r="F404" s="44" t="n"/>
      <c r="G404" s="44" t="n"/>
      <c r="H404" s="44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278" t="n"/>
      <c r="C418" s="278" t="n"/>
      <c r="D418" s="161" t="n"/>
      <c r="E418" s="109" t="n"/>
      <c r="F418" s="109" t="n"/>
      <c r="G418" s="109" t="n"/>
      <c r="H418" s="109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LEFT($J$111,10)&amp;"-04"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C422" s="5" t="n"/>
      <c r="D422" s="95" t="n"/>
      <c r="E422" s="95" t="n"/>
      <c r="F422" s="95" t="n"/>
      <c r="G422" s="95" t="n"/>
      <c r="H422" s="95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28" t="n"/>
      <c r="D423" s="28" t="n"/>
      <c r="E423" s="28" t="n"/>
      <c r="F423" s="28" t="n"/>
      <c r="G423" s="28" t="n"/>
      <c r="H423" s="28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B424" s="72" t="n"/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8" t="n"/>
      <c r="C425" s="78" t="n"/>
      <c r="D425" s="82" t="n"/>
      <c r="E425" s="78" t="n"/>
      <c r="F425" s="78" t="n"/>
      <c r="G425" s="78" t="n"/>
      <c r="H425" s="7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</row>
    <row r="427" ht="15" customFormat="1" customHeight="1" s="278">
      <c r="A427" s="109" t="n"/>
      <c r="B427" s="278" t="n"/>
      <c r="C427" s="278" t="n"/>
      <c r="D427" s="161" t="n"/>
      <c r="E427" s="35" t="n"/>
      <c r="F427" s="161" t="n"/>
      <c r="H427" s="44" t="n"/>
      <c r="I427" s="44" t="n"/>
      <c r="J427" s="119" t="n"/>
    </row>
    <row r="428" ht="15" customFormat="1" customHeight="1" s="278">
      <c r="A428" s="109" t="n"/>
      <c r="B428" s="278" t="n"/>
      <c r="C428" s="278" t="n"/>
      <c r="D428" s="161" t="n"/>
      <c r="E428" s="35" t="n"/>
      <c r="F428" s="161" t="n"/>
      <c r="H428" s="44" t="n"/>
      <c r="I428" s="44" t="n"/>
      <c r="J428" s="119" t="n"/>
    </row>
    <row r="429" ht="15" customFormat="1" customHeight="1" s="278">
      <c r="A429" s="109" t="n"/>
      <c r="B429" s="278" t="n"/>
      <c r="C429" s="161" t="n"/>
      <c r="D429" s="161" t="n"/>
      <c r="E429" s="109" t="n"/>
      <c r="F429" s="161" t="n"/>
      <c r="H429" s="44" t="n"/>
      <c r="I429" s="44" t="n"/>
      <c r="J429" s="119" t="n"/>
    </row>
    <row r="430" ht="15" customFormat="1" customHeight="1" s="278">
      <c r="A430" s="109" t="n"/>
      <c r="B430" s="278" t="n"/>
      <c r="C430" s="161" t="n"/>
      <c r="D430" s="161" t="n"/>
      <c r="E430" s="35" t="n"/>
      <c r="F430" s="163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93" t="n"/>
      <c r="D433" s="161" t="n"/>
      <c r="E433" s="109" t="n"/>
      <c r="F433" s="69" t="n"/>
      <c r="H433" s="44" t="n"/>
      <c r="I433" s="44" t="n"/>
      <c r="J433" s="119" t="n"/>
    </row>
    <row r="434" ht="15" customFormat="1" customHeight="1" s="278">
      <c r="A434" s="72" t="n"/>
      <c r="B434" s="72" t="n"/>
      <c r="C434" s="163" t="n"/>
      <c r="D434" s="161" t="n"/>
      <c r="E434" s="109" t="n"/>
      <c r="F434" s="324" t="n"/>
      <c r="H434" s="44" t="n"/>
      <c r="I434" s="44" t="n"/>
      <c r="J434" s="119" t="n"/>
    </row>
    <row r="435" ht="15" customFormat="1" customHeight="1" s="278">
      <c r="A435" s="532" t="n"/>
      <c r="B435" s="532" t="n"/>
      <c r="C435" s="161" t="n"/>
      <c r="D435" s="161" t="n"/>
      <c r="E435" s="109" t="n"/>
      <c r="F435" s="507" t="n"/>
      <c r="H435" s="44" t="n"/>
      <c r="I435" s="44" t="n"/>
      <c r="J435" s="119" t="n"/>
    </row>
    <row r="436" ht="15" customFormat="1" customHeight="1" s="278"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" customFormat="1" customHeight="1" s="278">
      <c r="A437" s="64">
        <f>A18</f>
        <v/>
      </c>
      <c r="C437" s="93" t="n"/>
      <c r="D437" s="161" t="n"/>
      <c r="E437" s="109" t="n"/>
      <c r="F437" s="324" t="n"/>
      <c r="H437" s="44" t="n"/>
      <c r="I437" s="44" t="n"/>
      <c r="J437" s="119" t="n"/>
    </row>
    <row r="438" ht="15.9" customFormat="1" customHeight="1" s="278">
      <c r="A438" s="76">
        <f>A19</f>
        <v/>
      </c>
      <c r="C438" s="161" t="n"/>
      <c r="D438" s="161" t="n"/>
      <c r="E438" s="109" t="n"/>
      <c r="F438" s="37" t="n"/>
      <c r="H438" s="44" t="n"/>
      <c r="I438" s="44" t="n"/>
      <c r="J438" s="119" t="n"/>
    </row>
    <row r="439" ht="15.9" customFormat="1" customHeight="1" s="278">
      <c r="A439" s="72" t="n"/>
      <c r="B439" s="278" t="n"/>
      <c r="C439" s="43" t="n"/>
      <c r="D439" s="161" t="n"/>
      <c r="E439" s="109" t="n"/>
      <c r="F439" s="109" t="n"/>
      <c r="H439" s="44" t="n"/>
      <c r="I439" s="44" t="n"/>
      <c r="J439" s="119" t="n"/>
    </row>
    <row r="440" ht="15.9" customFormat="1" customHeight="1" s="278">
      <c r="A440" s="44" t="n"/>
      <c r="C440" s="44" t="n"/>
      <c r="D440" s="84" t="n"/>
      <c r="E440" s="44" t="n"/>
      <c r="F440" s="44" t="n"/>
      <c r="H440" s="44" t="n"/>
      <c r="I440" s="44" t="n"/>
      <c r="J440" s="119" t="n"/>
    </row>
    <row r="441" ht="15.9" customFormat="1" customHeight="1" s="278">
      <c r="A441" s="40" t="n"/>
      <c r="C441" s="161" t="n"/>
      <c r="D441" s="85" t="n"/>
      <c r="E441" s="40" t="n"/>
      <c r="F441" s="32" t="n"/>
      <c r="H441" s="44" t="n"/>
      <c r="I441" s="44" t="n"/>
      <c r="J441" s="119" t="n"/>
    </row>
    <row r="447" ht="15.9" customFormat="1" customHeight="1" s="278">
      <c r="A447" s="109" t="n"/>
      <c r="B447" s="278" t="n"/>
      <c r="C447" s="278" t="n"/>
      <c r="D447" s="161" t="n"/>
      <c r="E447" s="109" t="n"/>
      <c r="F447" s="161" t="n"/>
      <c r="G447" s="109" t="n"/>
      <c r="H447" s="109" t="n"/>
      <c r="I447" s="501" t="n"/>
      <c r="J447" s="501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44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161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3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1" t="n"/>
      <c r="D453" s="161" t="n"/>
      <c r="E453" s="109" t="n"/>
      <c r="F453" s="161" t="n"/>
      <c r="G453" s="109" t="n"/>
      <c r="H453" s="109" t="n"/>
      <c r="I453" s="109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09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7" t="n"/>
      <c r="I455" s="501" t="n"/>
      <c r="J455" s="501" t="n"/>
    </row>
    <row r="456" ht="15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9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.9" customFormat="1" customHeight="1" s="23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109" t="n"/>
      <c r="J474" s="109" t="n"/>
    </row>
    <row r="475" ht="15.9" customFormat="1" customHeight="1" s="278">
      <c r="A475" s="44" t="n"/>
      <c r="B475" s="44" t="n"/>
      <c r="C475" s="44" t="n"/>
      <c r="D475" s="84" t="n"/>
      <c r="E475" s="44" t="n"/>
      <c r="F475" s="44" t="n"/>
      <c r="G475" s="44" t="n"/>
      <c r="H475" s="44" t="n"/>
      <c r="I475" s="44" t="n"/>
      <c r="J475" s="119" t="n"/>
    </row>
    <row r="476" ht="15.9" customFormat="1" customHeight="1" s="278">
      <c r="A476" s="40" t="n"/>
      <c r="B476" s="40" t="n"/>
      <c r="C476" s="44" t="n"/>
      <c r="D476" s="85" t="n"/>
      <c r="E476" s="40" t="n"/>
      <c r="F476" s="32" t="n"/>
      <c r="G476" s="40" t="n"/>
      <c r="H476" s="32" t="n"/>
      <c r="I476" s="32" t="n"/>
      <c r="J476" s="40" t="n"/>
    </row>
    <row r="477" ht="15.9" customFormat="1" customHeight="1" s="278">
      <c r="A477" s="27" t="n"/>
      <c r="B477" s="278" t="n"/>
      <c r="C477" s="93" t="n"/>
      <c r="D477" s="161" t="n"/>
      <c r="E477" s="109" t="n"/>
      <c r="F477" s="109" t="n"/>
      <c r="G477" s="109" t="n"/>
      <c r="H477" s="93" t="n"/>
      <c r="I477" s="501" t="n"/>
      <c r="J477" s="501" t="n"/>
    </row>
    <row r="478" ht="15.9" customFormat="1" customHeight="1" s="278">
      <c r="A478" s="27" t="n"/>
      <c r="B478" s="278" t="n"/>
      <c r="C478" s="163" t="n"/>
      <c r="D478" s="161" t="n"/>
      <c r="E478" s="109" t="n"/>
      <c r="F478" s="109" t="n"/>
      <c r="G478" s="109" t="n"/>
      <c r="H478" s="287" t="n"/>
      <c r="I478" s="287" t="n"/>
      <c r="J478" s="302" t="n"/>
    </row>
    <row r="479" ht="15.9" customFormat="1" customHeight="1" s="278">
      <c r="A479" s="27" t="n"/>
      <c r="B479" s="278" t="n"/>
      <c r="C479" s="161" t="n"/>
      <c r="D479" s="161" t="n"/>
      <c r="E479" s="109" t="n"/>
      <c r="F479" s="109" t="n"/>
      <c r="G479" s="109" t="n"/>
      <c r="H479" s="278" t="n"/>
      <c r="I479" s="278" t="n"/>
      <c r="J479" s="109" t="n"/>
    </row>
    <row r="480" ht="15.9" customFormat="1" customHeight="1" s="278">
      <c r="A480" s="27" t="n"/>
      <c r="B480" s="278" t="n"/>
      <c r="C480" s="278" t="n"/>
      <c r="D480" s="161" t="n"/>
      <c r="E480" s="109" t="n"/>
      <c r="F480" s="109" t="n"/>
      <c r="G480" s="109" t="n"/>
      <c r="H480" s="109" t="n"/>
      <c r="I480" s="501" t="n"/>
      <c r="J480" s="501" t="n"/>
    </row>
    <row r="481" ht="15.9" customFormat="1" customHeight="1" s="278">
      <c r="A481" s="27" t="n"/>
      <c r="B481" s="278" t="n"/>
      <c r="C481" s="278" t="n"/>
      <c r="D481" s="161" t="n"/>
      <c r="E481" s="109" t="n"/>
      <c r="F481" s="109" t="n"/>
      <c r="G481" s="109" t="n"/>
      <c r="H481" s="109" t="n"/>
      <c r="I481" s="501" t="n"/>
      <c r="J481" s="501" t="n"/>
    </row>
    <row r="482" ht="15.9" customFormat="1" customHeight="1" s="278">
      <c r="A482" s="27" t="n"/>
      <c r="B482" s="278" t="n"/>
      <c r="C482" s="287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D491" s="161" t="n"/>
      <c r="E491" s="109" t="n"/>
      <c r="F491" s="109" t="n"/>
      <c r="G491" s="278" t="n"/>
      <c r="H491" s="278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93" t="n"/>
      <c r="I495" s="501" t="n"/>
      <c r="J495" s="501" t="n"/>
    </row>
    <row r="496" ht="15.9" customFormat="1" customHeight="1" s="278">
      <c r="A496" s="27" t="n"/>
      <c r="B496" s="278" t="n"/>
      <c r="C496" s="63" t="n"/>
      <c r="D496" s="161" t="n"/>
      <c r="E496" s="109" t="n"/>
      <c r="F496" s="109" t="n"/>
      <c r="G496" s="109" t="n"/>
      <c r="H496" s="287" t="n"/>
      <c r="I496" s="287" t="n"/>
      <c r="J496" s="302" t="n"/>
    </row>
    <row r="497" ht="15.9" customFormat="1" customHeight="1" s="278">
      <c r="A497" s="27" t="n"/>
      <c r="B497" s="278" t="n"/>
      <c r="C497" s="287" t="n"/>
      <c r="D497" s="161" t="n"/>
      <c r="E497" s="109" t="n"/>
      <c r="F497" s="109" t="n"/>
      <c r="G497" s="109" t="n"/>
      <c r="H497" s="278" t="n"/>
      <c r="I497" s="278" t="n"/>
      <c r="J497" s="109" t="n"/>
    </row>
    <row r="498" ht="15.9" customFormat="1" customHeight="1" s="278">
      <c r="A498" s="27" t="n"/>
      <c r="B498" s="278" t="n"/>
      <c r="C498" s="161" t="n"/>
      <c r="D498" s="161" t="n"/>
      <c r="E498" s="109" t="n"/>
      <c r="F498" s="109" t="n"/>
      <c r="G498" s="109" t="n"/>
      <c r="H498" s="93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287" t="n"/>
      <c r="I499" s="287" t="n"/>
      <c r="J499" s="302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278" t="n"/>
      <c r="I500" s="278" t="n"/>
      <c r="J500" s="109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109" t="n"/>
      <c r="I501" s="501" t="n"/>
      <c r="J501" s="501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109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66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287" t="n"/>
      <c r="I512" s="278" t="n"/>
      <c r="J512" s="109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/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((W-182-(113.25 × 2)/3)-13</t>
        </is>
      </c>
      <c r="I521" s="124">
        <f>(($J$126-182-(113.25*2))/3)-13</f>
        <v/>
      </c>
      <c r="J521" s="151">
        <f>$J$120*3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152" t="n"/>
      <c r="B522" s="140" t="n"/>
      <c r="C522" s="140" t="n"/>
      <c r="D522" s="139" t="inlineStr">
        <is>
          <t xml:space="preserve"> </t>
        </is>
      </c>
      <c r="E522" s="143" t="n"/>
      <c r="F522" s="155" t="n"/>
      <c r="G522" s="156" t="n"/>
      <c r="H522" s="140" t="n"/>
      <c r="I522" s="130" t="n"/>
      <c r="J522" s="153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152" t="n"/>
      <c r="B523" s="140" t="n"/>
      <c r="C523" s="140" t="n"/>
      <c r="D523" s="139" t="n"/>
      <c r="E523" s="143" t="n"/>
      <c r="F523" s="155" t="n"/>
      <c r="G523" s="156" t="n"/>
      <c r="H523" s="140" t="n"/>
      <c r="I523" s="130" t="n"/>
      <c r="J523" s="153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52" t="n"/>
      <c r="B524" s="140" t="n"/>
      <c r="C524" s="140" t="n"/>
      <c r="D524" s="139" t="n"/>
      <c r="E524" s="143" t="n"/>
      <c r="F524" s="155" t="n"/>
      <c r="G524" s="156" t="n"/>
      <c r="H524" s="143" t="n"/>
      <c r="I524" s="130" t="n"/>
      <c r="J524" s="153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IF(B525="","",+A522+1)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>
      <c r="J526" s="99">
        <f>LEFT($J$111,10)&amp;"-05"</f>
        <v/>
      </c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4">
    <mergeCell ref="I165:J166"/>
    <mergeCell ref="D127:G127"/>
    <mergeCell ref="I168:J168"/>
    <mergeCell ref="D158:D159"/>
    <mergeCell ref="A131:J131"/>
    <mergeCell ref="D121:G121"/>
    <mergeCell ref="I154:J154"/>
    <mergeCell ref="I160:J160"/>
    <mergeCell ref="D162:D166"/>
    <mergeCell ref="D129:G129"/>
    <mergeCell ref="F329:G329"/>
    <mergeCell ref="H167:H168"/>
    <mergeCell ref="I161:J164"/>
    <mergeCell ref="A117:J117"/>
    <mergeCell ref="J123:J124"/>
    <mergeCell ref="F521:G521"/>
    <mergeCell ref="D123:G123"/>
    <mergeCell ref="I156:J156"/>
    <mergeCell ref="D160:D161"/>
    <mergeCell ref="H120:I121"/>
    <mergeCell ref="A319:J319"/>
    <mergeCell ref="D119:G119"/>
    <mergeCell ref="A169:J169"/>
    <mergeCell ref="H126:I127"/>
    <mergeCell ref="H158:H159"/>
    <mergeCell ref="I155:J155"/>
    <mergeCell ref="A6:J6"/>
    <mergeCell ref="H162:H166"/>
    <mergeCell ref="I158:J159"/>
    <mergeCell ref="A212:J212"/>
    <mergeCell ref="I167:J167"/>
    <mergeCell ref="J120:J121"/>
    <mergeCell ref="I157:J157"/>
    <mergeCell ref="D167:D168"/>
    <mergeCell ref="F332:G332"/>
    <mergeCell ref="A426:J426"/>
    <mergeCell ref="A125:B125"/>
    <mergeCell ref="A519:J519"/>
    <mergeCell ref="I153:J153"/>
    <mergeCell ref="J126:J127"/>
    <mergeCell ref="H160:H161"/>
    <mergeCell ref="D125:G125"/>
    <mergeCell ref="H123:I124"/>
    <mergeCell ref="F328:G328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6">
    <tabColor theme="5" tint="-0.249977111117893"/>
    <outlinePr summaryBelow="1" summaryRight="1"/>
    <pageSetUpPr/>
  </sheetPr>
  <dimension ref="A2:AI529"/>
  <sheetViews>
    <sheetView showGridLines="0" view="pageBreakPreview" zoomScale="75" zoomScaleNormal="75" zoomScaleSheetLayoutView="75" workbookViewId="0">
      <selection activeCell="C15" sqref="C1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(1L3R)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FG-240-4P1L3R-1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323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23" t="n"/>
      <c r="L117" s="323" t="n"/>
      <c r="M117" s="323" t="n"/>
      <c r="N117" s="323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สร้างสรรค์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White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2525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3060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8</v>
      </c>
      <c r="U133" s="283" t="inlineStr">
        <is>
          <t>(W-185-(113.25 × 3))/4</t>
        </is>
      </c>
      <c r="V133" s="307">
        <f>($J$126-185-(113.25*3))/4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8</v>
      </c>
      <c r="U134" s="283" t="inlineStr">
        <is>
          <t>(W-185-(113.25 × 3))/5</t>
        </is>
      </c>
      <c r="V134" s="307">
        <f>($J$126-185-(113.25*3))/4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8</v>
      </c>
      <c r="U135" s="283" t="inlineStr">
        <is>
          <t>(W-185-(113.25 × 3))/6</t>
        </is>
      </c>
      <c r="V135" s="307">
        <f>($J$126-185-(113.25*3))/4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8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8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8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 (W-60-(4+1)×4)/4</t>
        </is>
      </c>
      <c r="I141" s="178">
        <f>($J$126-60-(4+1)*4)/4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 (W-60-(4+1)×4)/4</t>
        </is>
      </c>
      <c r="I142" s="178">
        <f>($J$126-60-(4+1)*4)/4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 t="n"/>
      <c r="N152" s="287" t="n"/>
    </row>
    <row r="153" ht="18" customFormat="1" customHeight="1" s="278">
      <c r="A153" s="143">
        <f>IF(B153="","",+A152+1)</f>
        <v/>
      </c>
      <c r="B153" s="140" t="n"/>
      <c r="C153" s="140" t="n"/>
      <c r="D153" s="139" t="n"/>
      <c r="E153" s="143" t="n"/>
      <c r="F153" s="139" t="n"/>
      <c r="G153" s="143" t="n"/>
      <c r="H153" s="143" t="n"/>
      <c r="I153" s="144" t="n"/>
      <c r="J153" s="131">
        <f>$J$120*G153</f>
        <v/>
      </c>
      <c r="N153" s="287" t="n"/>
    </row>
    <row r="154" ht="18" customFormat="1" customHeight="1" s="278" thickBot="1">
      <c r="A154" s="143">
        <f>IF(B154="","",+A153+1)</f>
        <v/>
      </c>
      <c r="B154" s="207" t="n"/>
      <c r="C154" s="207" t="n"/>
      <c r="D154" s="208" t="n"/>
      <c r="E154" s="209" t="n"/>
      <c r="F154" s="208" t="n"/>
      <c r="G154" s="209" t="n"/>
      <c r="H154" s="209" t="n"/>
      <c r="I154" s="171" t="n"/>
      <c r="J154" s="172">
        <f>$J$120*G154</f>
        <v/>
      </c>
    </row>
    <row r="155" outlineLevel="1" ht="27" customFormat="1" customHeight="1" s="278" thickBot="1">
      <c r="A155" s="211" t="inlineStr">
        <is>
          <t>ITEM</t>
        </is>
      </c>
      <c r="B155" s="210" t="inlineStr">
        <is>
          <t>THAI</t>
        </is>
      </c>
      <c r="C155" s="169" t="inlineStr">
        <is>
          <t>DESCRIPTION</t>
        </is>
      </c>
      <c r="D155" s="169" t="inlineStr">
        <is>
          <t>DIE NO.</t>
        </is>
      </c>
      <c r="E155" s="169" t="inlineStr">
        <is>
          <t>KG/m</t>
        </is>
      </c>
      <c r="F155" s="177" t="inlineStr">
        <is>
          <t>TOTAL
LENGTH/SET(mm)</t>
        </is>
      </c>
      <c r="G155" s="169" t="inlineStr">
        <is>
          <t>LENGTH/SET(m)</t>
        </is>
      </c>
      <c r="H155" s="170" t="inlineStr">
        <is>
          <t>TAKE OFF/6.4M</t>
        </is>
      </c>
      <c r="I155" s="540" t="n"/>
    </row>
    <row r="156" outlineLevel="1" ht="15" customFormat="1" customHeight="1" s="278">
      <c r="A156" s="212">
        <f>IF(B133="","",1)</f>
        <v/>
      </c>
      <c r="B156" s="173">
        <f>B133</f>
        <v/>
      </c>
      <c r="C156" s="173">
        <f>C133</f>
        <v/>
      </c>
      <c r="D156" s="577">
        <f>VLOOKUP(C156,$C$133:$H$154,2,0)</f>
        <v/>
      </c>
      <c r="E156" s="175">
        <f>VLOOKUP(C156,$C$133:$H$154,3,0)</f>
        <v/>
      </c>
      <c r="F156" s="353">
        <f>VLOOKUP(C156,$C$133:$J$154,7,0)</f>
        <v/>
      </c>
      <c r="G156" s="175">
        <f>VLOOKUP(C156,$C$133:$J$154,8,0)</f>
        <v/>
      </c>
      <c r="H156" s="191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B134</f>
        <v/>
      </c>
      <c r="C157" s="173">
        <f>C134</f>
        <v/>
      </c>
      <c r="D157" s="577">
        <f>VLOOKUP(C157,$C$133:$H$154,2,0)</f>
        <v/>
      </c>
      <c r="E157" s="175">
        <f>VLOOKUP(C157,$C$133:$H$154,3,0)</f>
        <v/>
      </c>
      <c r="F157" s="353">
        <f>VLOOKUP(C157,$C$133:$I$154,7,0)</f>
        <v/>
      </c>
      <c r="G157" s="175">
        <f>VLOOKUP(C157,$C$133:$J$154,8,0)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B135</f>
        <v/>
      </c>
      <c r="C158" s="173">
        <f>C135</f>
        <v/>
      </c>
      <c r="D158" s="577">
        <f>VLOOKUP(C158,$C$133:$H$154,2,0)</f>
        <v/>
      </c>
      <c r="E158" s="175">
        <f>VLOOKUP(C158,$C$133:$H$154,3,0)</f>
        <v/>
      </c>
      <c r="F158" s="353">
        <f>VLOOKUP(C158,$C$133:$I$154,7,0)</f>
        <v/>
      </c>
      <c r="G158" s="175">
        <f>VLOOKUP(C158,$C$133:$J$154,8,0)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B136</f>
        <v/>
      </c>
      <c r="C159" s="173">
        <f>C136</f>
        <v/>
      </c>
      <c r="D159" s="577">
        <f>VLOOKUP(C159,$C$133:$H$154,2,0)</f>
        <v/>
      </c>
      <c r="E159" s="175">
        <f>VLOOKUP(C159,$C$133:$H$154,3,0)</f>
        <v/>
      </c>
      <c r="F159" s="353">
        <f>VLOOKUP(C159,$C$133:$I$154,7,0)</f>
        <v/>
      </c>
      <c r="G159" s="175">
        <f>VLOOKUP(C159,$C$133:$J$154,8,0)</f>
        <v/>
      </c>
      <c r="H159" s="192">
        <f>ROUNDUP((F159*G159)/6400,0)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B137</f>
        <v/>
      </c>
      <c r="C160" s="173">
        <f>C137</f>
        <v/>
      </c>
      <c r="D160" s="643">
        <f>VLOOKUP(C160,$C$133:$H$154,2,0)</f>
        <v/>
      </c>
      <c r="E160" s="175">
        <f>VLOOKUP(C160,$C$133:$H$154,3,0)</f>
        <v/>
      </c>
      <c r="F160" s="353">
        <f>VLOOKUP(C160,$C$133:$I$154,7,0)</f>
        <v/>
      </c>
      <c r="G160" s="175">
        <f>VLOOKUP(C160,$C$133:$J$154,8,0)</f>
        <v/>
      </c>
      <c r="H160" s="516">
        <f>ROUNDUP(((F160*G160)+(F161*G161))/6400,0)</f>
        <v/>
      </c>
      <c r="I160" s="506" t="n"/>
    </row>
    <row r="161" outlineLevel="1" ht="15" customFormat="1" customHeight="1" s="278">
      <c r="A161" s="213">
        <f>IF(B161="","",+A160+1)</f>
        <v/>
      </c>
      <c r="B161" s="173">
        <f>B138</f>
        <v/>
      </c>
      <c r="C161" s="173">
        <f>C138</f>
        <v/>
      </c>
      <c r="D161" s="625" t="n"/>
      <c r="E161" s="175">
        <f>VLOOKUP(C161,$C$133:$H$154,3,0)</f>
        <v/>
      </c>
      <c r="F161" s="353">
        <f>VLOOKUP(C161,$C$133:$I$154,7,0)</f>
        <v/>
      </c>
      <c r="G161" s="175">
        <f>VLOOKUP(C161,$C$133:$J$154,8,0)</f>
        <v/>
      </c>
      <c r="H161" s="644" t="n"/>
    </row>
    <row r="162" outlineLevel="1" ht="15" customFormat="1" customHeight="1" s="278">
      <c r="A162" s="213">
        <f>IF(B162="","",+A161+1)</f>
        <v/>
      </c>
      <c r="B162" s="173">
        <f>B139</f>
        <v/>
      </c>
      <c r="C162" s="173">
        <f>C139</f>
        <v/>
      </c>
      <c r="D162" s="643">
        <f>VLOOKUP(C162,$C$133:$H$154,2,0)</f>
        <v/>
      </c>
      <c r="E162" s="175">
        <f>VLOOKUP(C162,$C$133:$H$154,3,0)</f>
        <v/>
      </c>
      <c r="F162" s="353">
        <f>VLOOKUP(C162,$C$133:$I$154,7,0)</f>
        <v/>
      </c>
      <c r="G162" s="175">
        <f>VLOOKUP(C162,$C$133:$J$154,8,0)</f>
        <v/>
      </c>
      <c r="H162" s="516">
        <f>ROUNDUP(((F162*G162)+(F163*G163))/6400,0)</f>
        <v/>
      </c>
      <c r="I162" s="501" t="n"/>
    </row>
    <row r="163" outlineLevel="1" ht="15" customFormat="1" customHeight="1" s="278">
      <c r="A163" s="213">
        <f>IF(B163="","",+A162+1)</f>
        <v/>
      </c>
      <c r="B163" s="173">
        <f>B140</f>
        <v/>
      </c>
      <c r="C163" s="173">
        <f>C140</f>
        <v/>
      </c>
      <c r="D163" s="625" t="n"/>
      <c r="E163" s="175">
        <f>VLOOKUP(C163,$C$133:$H$154,3,0)</f>
        <v/>
      </c>
      <c r="F163" s="353">
        <f>VLOOKUP(C163,$C$133:$I$154,7,0)</f>
        <v/>
      </c>
      <c r="G163" s="175">
        <f>VLOOKUP(C163,$C$133:$J$154,8,0)</f>
        <v/>
      </c>
      <c r="H163" s="644" t="n"/>
      <c r="I163" s="506" t="n"/>
    </row>
    <row r="164" outlineLevel="1" ht="13.8" customFormat="1" customHeight="1" s="278">
      <c r="A164" s="213">
        <f>IF(B164="","",+A163+1)</f>
        <v/>
      </c>
      <c r="B164" s="173">
        <f>B141</f>
        <v/>
      </c>
      <c r="C164" s="173">
        <f>C141</f>
        <v/>
      </c>
      <c r="D164" s="643">
        <f>VLOOKUP(C164,$C$133:$H$154,2,0)</f>
        <v/>
      </c>
      <c r="E164" s="175">
        <f>VLOOKUP(C164,$C$133:$H$154,3,0)</f>
        <v/>
      </c>
      <c r="F164" s="353">
        <f>VLOOKUP(C164,$C$133:$I$154,7,0)</f>
        <v/>
      </c>
      <c r="G164" s="175">
        <f>VLOOKUP(C164,$C$133:$J$154,8,0)</f>
        <v/>
      </c>
      <c r="H164" s="516">
        <f>ROUNDUP(((F164*G164)+(F165*G165)+(F166*G166)+(F167*G167)+(F168*G168))/6400,0)</f>
        <v/>
      </c>
    </row>
    <row r="165" outlineLevel="1" ht="13.8" customFormat="1" customHeight="1" s="278">
      <c r="A165" s="213">
        <f>IF(B165="","",+A164+1)</f>
        <v/>
      </c>
      <c r="B165" s="173">
        <f>B142</f>
        <v/>
      </c>
      <c r="C165" s="173">
        <f>C142</f>
        <v/>
      </c>
      <c r="D165" s="624" t="n"/>
      <c r="E165" s="175">
        <f>VLOOKUP(C165,$C$133:$H$154,3,0)</f>
        <v/>
      </c>
      <c r="F165" s="353">
        <f>VLOOKUP(C165,$C$133:$I$154,7,0)</f>
        <v/>
      </c>
      <c r="G165" s="175">
        <f>VLOOKUP(C165,$C$133:$J$154,8,0)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B143</f>
        <v/>
      </c>
      <c r="C166" s="173">
        <f>C143</f>
        <v/>
      </c>
      <c r="D166" s="624" t="n"/>
      <c r="E166" s="175">
        <f>VLOOKUP(C166,$C$133:$H$154,3,0)</f>
        <v/>
      </c>
      <c r="F166" s="353">
        <f>VLOOKUP(C166,$C$133:$I$154,7,0)</f>
        <v/>
      </c>
      <c r="G166" s="175">
        <f>VLOOKUP(C166,$C$133:$J$154,8,0)</f>
        <v/>
      </c>
      <c r="H166" s="646" t="n"/>
    </row>
    <row r="167" outlineLevel="1" ht="13.8" customFormat="1" customHeight="1" s="278">
      <c r="A167" s="213">
        <f>IF(B167="","",+A166+1)</f>
        <v/>
      </c>
      <c r="B167" s="173">
        <f>B144</f>
        <v/>
      </c>
      <c r="C167" s="173">
        <f>C144</f>
        <v/>
      </c>
      <c r="D167" s="624" t="n"/>
      <c r="E167" s="175">
        <f>VLOOKUP(C167,$C$133:$H$154,3,0)</f>
        <v/>
      </c>
      <c r="F167" s="353">
        <f>VLOOKUP(C167,$C$133:$I$154,7,0)</f>
        <v/>
      </c>
      <c r="G167" s="175">
        <f>VLOOKUP(C167,$C$133:$J$154,8,0)</f>
        <v/>
      </c>
      <c r="H167" s="646" t="n"/>
      <c r="I167" s="506" t="n"/>
    </row>
    <row r="168" outlineLevel="1" ht="13.8" customFormat="1" customHeight="1" s="278">
      <c r="A168" s="213">
        <f>IF(B168="","",+A167+1)</f>
        <v/>
      </c>
      <c r="B168" s="173">
        <f>B145</f>
        <v/>
      </c>
      <c r="C168" s="173">
        <f>C145</f>
        <v/>
      </c>
      <c r="D168" s="625" t="n"/>
      <c r="E168" s="175">
        <f>VLOOKUP(C168,$C$133:$H$154,3,0)</f>
        <v/>
      </c>
      <c r="F168" s="353">
        <f>VLOOKUP(C168,$C$133:$I$154,7,0)</f>
        <v/>
      </c>
      <c r="G168" s="175">
        <f>VLOOKUP(C168,$C$133:$J$154,8,0)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B146</f>
        <v/>
      </c>
      <c r="C169" s="173">
        <f>C146</f>
        <v/>
      </c>
      <c r="D169" s="643">
        <f>VLOOKUP(C169,$C$133:$H$154,2,0)</f>
        <v/>
      </c>
      <c r="E169" s="175">
        <f>VLOOKUP(C169,$C$133:$H$154,3,0)</f>
        <v/>
      </c>
      <c r="F169" s="353">
        <f>VLOOKUP(C169,$C$133:$I$154,7,0)</f>
        <v/>
      </c>
      <c r="G169" s="175">
        <f>VLOOKUP(C169,$C$133:$J$154,8,0)</f>
        <v/>
      </c>
      <c r="H169" s="516">
        <f>ROUNDUP(((F169*G169)+(F170*G170))/6400,0)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B147</f>
        <v/>
      </c>
      <c r="C170" s="173">
        <f>C147</f>
        <v/>
      </c>
      <c r="D170" s="625" t="n"/>
      <c r="E170" s="175">
        <f>VLOOKUP(C170,$C$133:$H$154,3,0)</f>
        <v/>
      </c>
      <c r="F170" s="353">
        <f>VLOOKUP(C170,$C$133:$I$154,7,0)</f>
        <v/>
      </c>
      <c r="G170" s="175">
        <f>VLOOKUP(C170,$C$133:$J$154,8,0)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B148</f>
        <v/>
      </c>
      <c r="C171" s="173">
        <f>C148</f>
        <v/>
      </c>
      <c r="D171" s="647">
        <f>VLOOKUP(C171,$C$133:$H$154,2,0)</f>
        <v/>
      </c>
      <c r="E171" s="175">
        <f>VLOOKUP(C171,$C$133:$H$154,3,0)</f>
        <v/>
      </c>
      <c r="F171" s="353">
        <f>VLOOKUP(C171,$C$133:$I$154,7,0)</f>
        <v/>
      </c>
      <c r="G171" s="175">
        <f>VLOOKUP(C171,$C$133:$J$154,8,0)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B149</f>
        <v/>
      </c>
      <c r="C172" s="173">
        <f>C149</f>
        <v/>
      </c>
      <c r="D172" s="648" t="n"/>
      <c r="E172" s="175">
        <f>VLOOKUP(C172,$C$133:$H$154,3,0)</f>
        <v/>
      </c>
      <c r="F172" s="353">
        <f>VLOOKUP(C172,$C$133:$I$154,7,0)</f>
        <v/>
      </c>
      <c r="G172" s="175">
        <f>VLOOKUP(C172,$C$133:$J$154,8,0)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ตัวรับกลอน</t>
        </is>
      </c>
      <c r="C175" s="140" t="inlineStr">
        <is>
          <t xml:space="preserve">FLUSH BOLT RECEIVER </t>
        </is>
      </c>
      <c r="D175" s="139" t="inlineStr">
        <is>
          <t>04-015</t>
        </is>
      </c>
      <c r="E175" s="143" t="n"/>
      <c r="F175" s="143" t="inlineStr">
        <is>
          <t>04-015</t>
        </is>
      </c>
      <c r="G175" s="143" t="inlineStr">
        <is>
          <t>PC</t>
        </is>
      </c>
      <c r="H175" s="143" t="n">
        <v>1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ตัวรับกลอน</t>
        </is>
      </c>
      <c r="C176" s="140" t="inlineStr">
        <is>
          <t xml:space="preserve">FLUSH BOLT RECEIVER </t>
        </is>
      </c>
      <c r="D176" s="139" t="inlineStr">
        <is>
          <t>04-016</t>
        </is>
      </c>
      <c r="E176" s="143" t="n"/>
      <c r="F176" s="143" t="inlineStr">
        <is>
          <t>04-016</t>
        </is>
      </c>
      <c r="G176" s="143" t="inlineStr">
        <is>
          <t>PC</t>
        </is>
      </c>
      <c r="H176" s="143" t="n">
        <v>1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หมอนรองกระจก</t>
        </is>
      </c>
      <c r="C177" s="140" t="inlineStr">
        <is>
          <t>SETTING BLOCK</t>
        </is>
      </c>
      <c r="D177" s="139" t="inlineStr">
        <is>
          <t>02-037</t>
        </is>
      </c>
      <c r="E177" s="143" t="n"/>
      <c r="F177" s="143" t="inlineStr">
        <is>
          <t>02-037</t>
        </is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ประเก็นเฟรมบน</t>
        </is>
      </c>
      <c r="C178" s="140" t="inlineStr">
        <is>
          <t>FRAME SEAL BI-FOLD HEAD (L/R)</t>
        </is>
      </c>
      <c r="D178" s="139" t="inlineStr">
        <is>
          <t>02-015</t>
        </is>
      </c>
      <c r="E178" s="143" t="n"/>
      <c r="F178" s="143" t="inlineStr">
        <is>
          <t>02-015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ประเก็นเฟรมล่าง</t>
        </is>
      </c>
      <c r="C179" s="140" t="inlineStr">
        <is>
          <t>FRAME SEAL BI-FOLD SILL (L/R)</t>
        </is>
      </c>
      <c r="D179" s="139" t="inlineStr">
        <is>
          <t>02-016</t>
        </is>
      </c>
      <c r="E179" s="143" t="n"/>
      <c r="F179" s="143" t="inlineStr">
        <is>
          <t>02-016</t>
        </is>
      </c>
      <c r="G179" s="143" t="inlineStr">
        <is>
          <t>PC</t>
        </is>
      </c>
      <c r="H179" s="143" t="n">
        <v>2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38</t>
        </is>
      </c>
      <c r="C180" s="140" t="inlineStr">
        <is>
          <t>#8x38 mm. SS PH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8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สกรู × 12</t>
        </is>
      </c>
      <c r="C181" s="140" t="inlineStr">
        <is>
          <t>#8x12 mm. CSK SELF TAPPING SCREW</t>
        </is>
      </c>
      <c r="D181" s="139" t="n">
        <v>9</v>
      </c>
      <c r="E181" s="143" t="n"/>
      <c r="F181" s="143" t="n">
        <v>9</v>
      </c>
      <c r="G181" s="143" t="inlineStr">
        <is>
          <t>PC</t>
        </is>
      </c>
      <c r="H181" s="143" t="n">
        <v>110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ชุดล้อแขวนบานตายซ้าย</t>
        </is>
      </c>
      <c r="C182" s="140" t="inlineStr">
        <is>
          <t>Left Hand Pivot Set</t>
        </is>
      </c>
      <c r="D182" s="139" t="inlineStr">
        <is>
          <t>05-006</t>
        </is>
      </c>
      <c r="E182" s="143" t="n"/>
      <c r="F182" s="143" t="inlineStr">
        <is>
          <t>05-006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ชุดล้อแขวนบานตายขวา</t>
        </is>
      </c>
      <c r="C183" s="140" t="inlineStr">
        <is>
          <t>Right Hand Pivot Set</t>
        </is>
      </c>
      <c r="D183" s="139" t="inlineStr">
        <is>
          <t>05-007</t>
        </is>
      </c>
      <c r="E183" s="143" t="n"/>
      <c r="F183" s="143" t="inlineStr">
        <is>
          <t>05-007</t>
        </is>
      </c>
      <c r="G183" s="143" t="inlineStr">
        <is>
          <t>SET</t>
        </is>
      </c>
      <c r="H183" s="143" t="n">
        <v>1</v>
      </c>
      <c r="I183" s="144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ชุดบานพับต่างระดับมีมือจับ</t>
        </is>
      </c>
      <c r="C185" s="140" t="inlineStr">
        <is>
          <t>offset Hinge Handle Set</t>
        </is>
      </c>
      <c r="D185" s="139" t="inlineStr">
        <is>
          <t>05-005</t>
        </is>
      </c>
      <c r="E185" s="143" t="n"/>
      <c r="F185" s="143" t="inlineStr">
        <is>
          <t>05-005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ชุดสลักล็อค</t>
        </is>
      </c>
      <c r="C186" s="140" t="inlineStr">
        <is>
          <t>Twin Bolt + Rods</t>
        </is>
      </c>
      <c r="D186" s="139" t="inlineStr">
        <is>
          <t>05-014</t>
        </is>
      </c>
      <c r="E186" s="143" t="n"/>
      <c r="F186" s="143" t="inlineStr">
        <is>
          <t>05-014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ชุดมือจับล็อค</t>
        </is>
      </c>
      <c r="C187" s="140" t="inlineStr">
        <is>
          <t>Stainless steel mortise lock,handle,cylinder</t>
        </is>
      </c>
      <c r="D187" s="139" t="inlineStr">
        <is>
          <t>00-024 or 00-027</t>
        </is>
      </c>
      <c r="E187" s="143" t="n"/>
      <c r="F187" s="143" t="inlineStr">
        <is>
          <t>00-024 or 00-027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กลอนสวิง 250 มม.</t>
        </is>
      </c>
      <c r="C188" s="140" t="inlineStr">
        <is>
          <t>Surface mounted flush bolt</t>
        </is>
      </c>
      <c r="D188" s="139" t="inlineStr">
        <is>
          <t>00-020-25</t>
        </is>
      </c>
      <c r="E188" s="143" t="n"/>
      <c r="F188" s="143" t="inlineStr">
        <is>
          <t>00-020-25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IF(B189="","",+A191+1)</f>
        <v/>
      </c>
      <c r="B189" s="140" t="inlineStr">
        <is>
          <t>กลอนสวิง 900 มม.</t>
        </is>
      </c>
      <c r="C189" s="140" t="inlineStr">
        <is>
          <t>Surface mounted flush bolt</t>
        </is>
      </c>
      <c r="D189" s="139" t="inlineStr">
        <is>
          <t>00-020-90</t>
        </is>
      </c>
      <c r="E189" s="143" t="n"/>
      <c r="F189" s="143" t="inlineStr">
        <is>
          <t>00-020-90</t>
        </is>
      </c>
      <c r="G189" s="143" t="inlineStr">
        <is>
          <t>SET</t>
        </is>
      </c>
      <c r="H189" s="143" t="n">
        <v>1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IF(B190="","",+A188+1)</f>
        <v/>
      </c>
      <c r="B190" s="140" t="inlineStr">
        <is>
          <t>ตัวประคองสลักล็อค</t>
        </is>
      </c>
      <c r="C190" s="140" t="inlineStr">
        <is>
          <t>Guide twin Bolt Rods</t>
        </is>
      </c>
      <c r="D190" s="139" t="inlineStr">
        <is>
          <t>04-009</t>
        </is>
      </c>
      <c r="E190" s="143" t="n"/>
      <c r="F190" s="143" t="inlineStr">
        <is>
          <t>04-009</t>
        </is>
      </c>
      <c r="G190" s="143" t="inlineStr">
        <is>
          <t>PC</t>
        </is>
      </c>
      <c r="H190" s="143" t="n">
        <v>4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รางเสริมเปลี่ยนล้อ</t>
        </is>
      </c>
      <c r="C191" s="140" t="inlineStr">
        <is>
          <t>35 SERIES TRACK INSERT</t>
        </is>
      </c>
      <c r="D191" s="139" t="inlineStr">
        <is>
          <t>04-004</t>
        </is>
      </c>
      <c r="E191" s="143" t="n"/>
      <c r="F191" s="143" t="inlineStr">
        <is>
          <t>04-004</t>
        </is>
      </c>
      <c r="G191" s="143" t="inlineStr">
        <is>
          <t>PC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IF(B192="","",+A189+1)</f>
        <v/>
      </c>
      <c r="B192" s="140" t="inlineStr">
        <is>
          <t>สักหลาดบังใบ</t>
        </is>
      </c>
      <c r="C192" s="140" t="inlineStr">
        <is>
          <t>MOHAIR FOR SASH STOP</t>
        </is>
      </c>
      <c r="D192" s="139" t="inlineStr">
        <is>
          <t>02-028</t>
        </is>
      </c>
      <c r="E192" s="143" t="n"/>
      <c r="F192" s="143" t="inlineStr">
        <is>
          <t>02-028</t>
        </is>
      </c>
      <c r="G192" s="143" t="inlineStr">
        <is>
          <t>M</t>
        </is>
      </c>
      <c r="H192" s="652">
        <f>((($I$148*$G$148)+($I$149*$G$149))/1000)*$J$120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สักหลาดเสา</t>
        </is>
      </c>
      <c r="C193" s="140" t="inlineStr">
        <is>
          <t>MOHAIR FOR SASH (Ver)</t>
        </is>
      </c>
      <c r="D193" s="139" t="inlineStr">
        <is>
          <t>02-036</t>
        </is>
      </c>
      <c r="E193" s="143" t="n"/>
      <c r="F193" s="143" t="inlineStr">
        <is>
          <t>02-036</t>
        </is>
      </c>
      <c r="G193" s="143" t="inlineStr">
        <is>
          <t>M</t>
        </is>
      </c>
      <c r="H193" s="652">
        <f>((($I$144*$G$144)+($I$145*$G$145))/1000)*$J$120</f>
        <v/>
      </c>
      <c r="I193" s="653" t="n">
        <v>100</v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IF($D$129="Standard",$O$186,IF($D$129="Soumdproof",$O$187,))</f>
        <v/>
      </c>
      <c r="C194" s="139">
        <f>IF($D$129="Standard",$P$186,IF($D$129="Soumdproof",$P$187,))</f>
        <v/>
      </c>
      <c r="D194" s="139">
        <f>IF($D$129="Standard",$Q$186,IF($D$129="Soumdproof",$Q$187,))</f>
        <v/>
      </c>
      <c r="E194" s="143">
        <f>IF($D$129="Standard",R192,IF($D$129="Soumdproof",R193,))</f>
        <v/>
      </c>
      <c r="F194" s="143">
        <f>IF($D$129="Standard",$S$186,IF($D$129="Soumdproof",$S$187,))</f>
        <v/>
      </c>
      <c r="G194" s="143">
        <f>IF($D$129="Standard",$T$186,IF($D$129="Soumdproof",$T$187,))</f>
        <v/>
      </c>
      <c r="H194" s="652">
        <f>IF($D$129="Standard",$U$186,IF($D$129="Soumdproof",$U$187,))</f>
        <v/>
      </c>
      <c r="I194" s="653">
        <f>IF($D$129="Standard",$V$186,IF($D$129="Soumdproof",$V$187,))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139">
        <f>IF($D$129="Standard",$O$188,IF($D$129="Soumdproof",$O$189,))</f>
        <v/>
      </c>
      <c r="C195" s="139">
        <f>IF($D$129="Standard",$P$188,IF($D$129="Soumdproof",$P$189,))</f>
        <v/>
      </c>
      <c r="D195" s="139">
        <f>IF($D$129="Standard",$Q$188,IF($D$129="Soumdproof",$Q$189,))</f>
        <v/>
      </c>
      <c r="E195" s="143">
        <f>IF($D$129="Standard",R194,IF($D$129="Soumdproof",R195,))</f>
        <v/>
      </c>
      <c r="F195" s="143">
        <f>IF($D$129="Standard",$S$188,IF($D$129="Soumdproof",$S$189,))</f>
        <v/>
      </c>
      <c r="G195" s="143">
        <f>IF($D$129="Standard",$T$188,IF($D$129="Soumdproof",$T$189,))</f>
        <v/>
      </c>
      <c r="H195" s="652">
        <f>IF($D$129="Standard",$U$188,IF($D$129="Soumdproof",$U$189,))</f>
        <v/>
      </c>
      <c r="I195" s="653">
        <f>IF($D$129="Standard",$V$188,IF($D$129="Soumdproof",$V$189,))</f>
        <v/>
      </c>
      <c r="J195" s="654">
        <f>ROUNDUP((H195)/100,0)</f>
        <v/>
      </c>
      <c r="Y195" s="278" t="n"/>
      <c r="Z195" s="278" t="n"/>
      <c r="AA195" s="278" t="n"/>
      <c r="AB195" s="278" t="n"/>
      <c r="AC195" s="278" t="n"/>
      <c r="AD195" s="278" t="n"/>
      <c r="AE195" s="278" t="n"/>
      <c r="AF195" s="278" t="n"/>
      <c r="AG195" s="278" t="n"/>
      <c r="AH195" s="278" t="n"/>
      <c r="AI195" s="278" t="n"/>
    </row>
    <row r="196" ht="18" customFormat="1" customHeight="1" s="278">
      <c r="A196" s="201">
        <f>IF(B196="","",+A195+1)</f>
        <v/>
      </c>
      <c r="B196" s="296">
        <f>IF($D$127=5,$O$177,IF($D$127=6,$O$178,IF($D$127=8,$O$179,IF($D$127=10,$O$177,IF($D$127=12,$O$177,IF($D$127=14,$O$179,IF($D$127=18,$O$177,IF($D$127=20,$O$178,IF($D$127=22,"")))))))))</f>
        <v/>
      </c>
      <c r="C196" s="296">
        <f>IF($D$127=5,$P$177,IF($D$127=6,$P$178,IF($D$127=8,$P$179,IF($D$127=10,$P$177,IF($D$127=12,$P$177,IF($D$127=14,$P$179,IF($D$127=18,$P$177,IF($D$127=20,$P$178,IF($D$127=22,"")))))))))</f>
        <v/>
      </c>
      <c r="D196" s="296">
        <f>IF($D$127=5,$Q$177,IF($D$127=6,$Q$178,IF($D$127=8,$Q$179,IF($D$127=10,$Q$177,IF($D$127=12,$Q$177,IF($D$127=14,$Q$179,IF($D$127=18,$Q$177,IF($D$127=20,$Q$178,IF($D$127=22,"")))))))))</f>
        <v/>
      </c>
      <c r="E196" s="296">
        <f>IF($D$127=5,R183,IF($D$127=6,R184,IF($D$127=8,R185,IF($D$127=10,R183,IF($D$127=12,R183,IF($D$127=14,R185,IF($D$127=18,R183,IF($D$127=20,R184,IF($D$127=22,"",)))))))))</f>
        <v/>
      </c>
      <c r="F196" s="242">
        <f>IF($D$127=5,$S$177,IF($D$127=6,$S$178,IF($D$127=8,$S$179,IF($D$127=10,$S$177,IF($D$127=12,$S$177,IF($D$127=14,$S$179,IF($D$127=18,$S$177,IF($D$127=20,$S$178,IF($D$127=22,"")))))))))</f>
        <v/>
      </c>
      <c r="G196" s="242">
        <f>IF($D$127=5,$T$177,IF($D$127=6,$T$178,IF($D$127=8,$T$179,IF($D$127=10,$T$177,IF($D$127=12,$T$177,IF($D$127=14,$T$179,IF($D$127=18,$T$177,IF($D$127=20,$T$178,IF($D$127=22,"")))))))))</f>
        <v/>
      </c>
      <c r="H196" s="652">
        <f>IF($D$127=5,$U$177,IF($D$127=6,$U$178,IF($D$127=8,$U$179,IF($D$127=10,$U$177*2,IF($D$127=12,$U$177,IF($D$127=14,$U$179*2,IF($D$127=18,$U$177,IF($D$127=20,$U$178,IF($D$127=22,"")))))))))</f>
        <v/>
      </c>
      <c r="I196" s="653">
        <f>IF($D$127=5,$V$177,IF($D$127=6,$V$178,IF($D$127=8,$V$179,IF($D$127=10,$V$177,IF($D$127=12,$V$177,IF($D$127=14,$V$179,IF($D$127=18,$V$177,IF($D$127=20,$V$178,IF($D$127=22,"")))))))))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IF($D$127=5,$O$175,IF($D$127=6,$O$175,IF($D$127=8,$O$177,IF($D$127=10,"",IF($D$127=12,$O$176,IF($D$127=14,"",IF($D$127=18,$O$175,IF($D$127=20,$O$176,IF($D$127=22,"",)))))))))</f>
        <v/>
      </c>
      <c r="C197" s="296">
        <f>IF($D$127=5,$P$175,IF($D$127=6,$P$175,IF($D$127=8,$P$177,IF($D$127=10,"",IF($D$127=12,$P$176,IF($D$127=14,"",IF($D$127=18,$P$175,IF($D$127=20,$P$176,IF($D$127=22,"",)))))))))</f>
        <v/>
      </c>
      <c r="D197" s="296">
        <f>IF($D$127=5,$Q$175,IF($D$127=6,$Q$175,IF($D$127=8,$Q$177,IF($D$127=10,"",IF($D$127=12,$Q$176,IF($D$127=14,"",IF($D$127=18,$Q$175,IF($D$127=20,$Q$176,IF($D$127=22,"",)))))))))</f>
        <v/>
      </c>
      <c r="E197" s="296">
        <f>IF($D$127=5,"",IF($D$127=6,"",IF($D$127=8,R183,IF($D$127=10,"",IF($D$127=12,R182,IF($D$127=14,"",IF($D$127=18,"",IF($D$127=20,R182,IF($D$127=22,"",)))))))))</f>
        <v/>
      </c>
      <c r="F197" s="242">
        <f>IF($D$127=5,$S$175,IF($D$127=6,$S$175,IF($D$127=8,$S$177,IF($D$127=10,"",IF($D$127=12,$S$176,IF($D$127=14,"",IF($D$127=18,$S$175,IF($D$127=20,$S$176,IF($D$127=22,"",)))))))))</f>
        <v/>
      </c>
      <c r="G197" s="242">
        <f>IF($D$127=5,$T$175,IF($D$127=6,$T$175,IF($D$127=8,$T$177,IF($D$127=10,"",IF($D$127=12,$T$176,IF($D$127=14,"",IF($D$127=18,$T$175,IF($D$127=20,$T$176,IF($D$127=22,"",)))))))))</f>
        <v/>
      </c>
      <c r="H197" s="652">
        <f>IF($D$127=5,$U$175,IF($D$127=6,$U$175,IF($D$127=8,$U$177,IF($D$127=10,"",IF($D$127=12,$U$176,IF($D$127=14,"",IF($D$127=18,$U$175,IF($D$127=20,$U$176,IF($D$127=22,"")))))))))</f>
        <v/>
      </c>
      <c r="I197" s="653">
        <f>IF($D$127=5,$V$175,IF($D$127=6,$V$175,IF($D$127=8,$V$177,IF($D$127=10,"",IF($D$127=12,$V$176,IF($D$127=14,"",IF($D$127=18,$V$175,IF($D$127=20,$V$176,IF($D$127=22,"",)))))))))</f>
        <v/>
      </c>
      <c r="J197" s="654">
        <f>ROUNDUP((H197)/100,0)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278" t="n"/>
      <c r="C206" s="278" t="n"/>
      <c r="D206" s="161" t="n"/>
      <c r="E206" s="109" t="n"/>
      <c r="F206" s="109" t="n"/>
      <c r="G206" s="109" t="n"/>
      <c r="H206" s="109" t="n"/>
      <c r="I206" s="501" t="n"/>
      <c r="J206" s="318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B215" s="93" t="n"/>
      <c r="C215" s="278" t="n"/>
      <c r="D215" s="161" t="n"/>
      <c r="E215" s="35" t="n"/>
      <c r="F215" s="160" t="n"/>
      <c r="I215" s="160" t="n"/>
      <c r="J215" s="532" t="n"/>
    </row>
    <row r="216" ht="15" customFormat="1" customHeight="1" s="278">
      <c r="A216" s="109" t="n"/>
      <c r="B216" s="278" t="n"/>
      <c r="C216" s="89" t="n"/>
      <c r="D216" s="161" t="n"/>
      <c r="E216" s="35" t="n"/>
      <c r="F216" s="161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109" t="n"/>
      <c r="J228" s="109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" t="n"/>
      <c r="J229" s="40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I234" s="328" t="n"/>
      <c r="J234" s="117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J235" s="109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109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501" t="n"/>
      <c r="J237" s="501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501" t="n"/>
      <c r="J238" s="501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89" t="n"/>
      <c r="J239" s="118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328" t="n"/>
      <c r="J240" s="117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328" t="n"/>
      <c r="J241" s="117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109" t="n"/>
      <c r="J244" s="501" t="n"/>
    </row>
    <row r="245" ht="15.9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501" t="n"/>
      <c r="J247" s="501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I248" s="44" t="n"/>
      <c r="J248" s="11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I249" s="32" t="n"/>
      <c r="J249" s="40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I250" s="32" t="n"/>
      <c r="J250" s="40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J251" s="109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J252" s="109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J253" s="109" t="n"/>
    </row>
    <row r="254" ht="15.9" customFormat="1" customHeight="1" s="278">
      <c r="A254" s="40" t="n"/>
      <c r="B254" s="40" t="n"/>
      <c r="C254" s="89" t="inlineStr">
        <is>
          <t xml:space="preserve">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I266" s="501" t="n"/>
      <c r="J266" s="501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I267" s="501" t="n"/>
      <c r="J267" s="501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I269" s="501" t="n"/>
      <c r="J269" s="501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I270" s="501" t="n"/>
      <c r="J270" s="501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I271" s="501" t="n"/>
      <c r="J271" s="501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J273" s="109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J274" s="109" t="n"/>
    </row>
    <row r="275" ht="15.9" customFormat="1" customHeight="1" s="278">
      <c r="A275" s="27" t="n"/>
      <c r="B275" s="278" t="n"/>
      <c r="C275" s="89" t="inlineStr">
        <is>
          <t xml:space="preserve">                    Door Stop Jamb</t>
        </is>
      </c>
      <c r="D275" s="162" t="n"/>
      <c r="E275" s="501" t="n"/>
      <c r="F275" s="109" t="n"/>
      <c r="G275" s="109" t="n"/>
      <c r="J275" s="109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J276" s="109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J277" s="109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501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501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I280" s="501" t="n"/>
      <c r="J280" s="501" t="n"/>
    </row>
    <row r="281" ht="15.9" customFormat="1" customHeight="1" s="278">
      <c r="A281" s="27" t="n"/>
      <c r="B281" s="278" t="n"/>
      <c r="F281" s="109" t="n"/>
      <c r="G281" s="109" t="n"/>
      <c r="H281" s="109" t="n"/>
      <c r="I281" s="501" t="n"/>
      <c r="J281" s="501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I282" s="501" t="n"/>
      <c r="J282" s="501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3))/4</t>
        </is>
      </c>
      <c r="D286" s="161" t="n"/>
      <c r="E286" s="109" t="n"/>
      <c r="F286" s="109" t="n"/>
      <c r="G286" s="109" t="n"/>
      <c r="H286" s="109" t="n"/>
      <c r="I286" s="109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3))/4</t>
        </is>
      </c>
      <c r="D287" s="161" t="n"/>
      <c r="E287" s="109" t="n"/>
      <c r="F287" s="109" t="n"/>
      <c r="G287" s="109" t="n"/>
      <c r="H287" s="109" t="n"/>
      <c r="J287" s="109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J288" s="109" t="n"/>
    </row>
    <row r="289" ht="15.9" customFormat="1" customHeight="1" s="278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162" t="n"/>
      <c r="J290" s="501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109" t="n"/>
      <c r="J291" s="501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501" t="n"/>
      <c r="J295" s="501" t="n"/>
    </row>
    <row r="296" ht="15.9" customFormat="1" customHeight="1" s="23">
      <c r="A296" s="27" t="n"/>
      <c r="B296" s="278" t="n"/>
      <c r="D296" s="161" t="n"/>
      <c r="E296" s="109" t="n"/>
      <c r="F296" s="109" t="n"/>
      <c r="G296" s="109" t="n"/>
      <c r="H296" s="109" t="n"/>
      <c r="I296" s="109" t="n"/>
      <c r="J296" s="109" t="n"/>
    </row>
    <row r="297" ht="15.9" customFormat="1" customHeight="1" s="278">
      <c r="A297" s="27" t="n"/>
      <c r="B297" s="278" t="n"/>
      <c r="C297" s="89" t="inlineStr">
        <is>
          <t xml:space="preserve">                   Glazing Bead</t>
        </is>
      </c>
      <c r="D297" s="161" t="n"/>
      <c r="E297" s="109" t="n"/>
      <c r="F297" s="109" t="n"/>
      <c r="G297" s="109" t="n"/>
      <c r="H297" s="109" t="n"/>
      <c r="I297" s="44" t="n"/>
      <c r="J297" s="119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3))/4</t>
        </is>
      </c>
      <c r="D298" s="161" t="n"/>
      <c r="E298" s="109" t="n"/>
      <c r="F298" s="109" t="n"/>
      <c r="G298" s="44" t="n"/>
      <c r="H298" s="44" t="n"/>
      <c r="I298" s="32" t="n"/>
      <c r="J298" s="40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3))/4</t>
        </is>
      </c>
      <c r="D299" s="328" t="n"/>
      <c r="E299" s="328" t="n"/>
      <c r="F299" s="109" t="n"/>
      <c r="G299" s="40" t="n"/>
      <c r="H299" s="32" t="n"/>
      <c r="I299" s="501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501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$I$146</f>
        <v/>
      </c>
      <c r="D302" s="656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$J$146</f>
        <v/>
      </c>
      <c r="D303" s="657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$I$147</f>
        <v/>
      </c>
      <c r="D304" s="656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$J$147</f>
        <v/>
      </c>
      <c r="D305" s="657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$J$148+$J$149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B317" s="278" t="n"/>
      <c r="C317" s="278" t="n"/>
      <c r="D317" s="161" t="n"/>
      <c r="E317" s="109" t="n"/>
      <c r="F317" s="109" t="n"/>
      <c r="G317" s="109" t="n"/>
      <c r="H317" s="109" t="n"/>
      <c r="J317" s="91">
        <f>$J$3</f>
        <v/>
      </c>
      <c r="K317" s="37" t="n"/>
      <c r="L317" s="37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63" t="n"/>
      <c r="D323" s="345" t="n"/>
      <c r="I323" s="160" t="n"/>
      <c r="J323" s="532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30" customHeight="1" s="344">
      <c r="B425" s="278" t="n"/>
      <c r="C425" s="278" t="n"/>
      <c r="D425" s="161" t="n"/>
      <c r="E425" s="109" t="n"/>
      <c r="F425" s="109" t="n"/>
      <c r="G425" s="109" t="n"/>
      <c r="H425" s="109" t="n"/>
      <c r="I425" s="95" t="n"/>
      <c r="J425" s="91">
        <f>$J$4</f>
        <v/>
      </c>
      <c r="K425" s="35" t="n"/>
      <c r="L425" s="35" t="n"/>
      <c r="M425" s="2" t="n"/>
      <c r="N425" s="2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6" t="n"/>
      <c r="C441" s="93" t="n"/>
      <c r="D441" s="161" t="n"/>
      <c r="E441" s="109" t="n"/>
      <c r="F441" s="324" t="n"/>
      <c r="H441" s="44" t="n"/>
      <c r="I441" s="44" t="n"/>
      <c r="J441" s="119" t="n"/>
    </row>
    <row r="442" ht="15.9" customFormat="1" customHeight="1" s="278">
      <c r="A442" s="76" t="n"/>
      <c r="C442" s="93" t="n"/>
      <c r="D442" s="161" t="n"/>
      <c r="E442" s="109" t="n"/>
      <c r="F442" s="324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44" t="n"/>
      <c r="B444" s="278" t="n"/>
      <c r="C444" s="43" t="n"/>
      <c r="D444" s="161" t="n"/>
      <c r="E444" s="109" t="n"/>
      <c r="F444" s="109" t="n"/>
      <c r="H444" s="44" t="n"/>
      <c r="I444" s="44" t="n"/>
      <c r="J444" s="119" t="n"/>
    </row>
    <row r="445" ht="15.9" customFormat="1" customHeight="1" s="278">
      <c r="A445" s="40" t="n"/>
      <c r="C445" s="44" t="n"/>
      <c r="D445" s="84" t="n"/>
      <c r="E445" s="44" t="n"/>
      <c r="F445" s="44" t="n"/>
      <c r="H445" s="44" t="n"/>
      <c r="I445" s="44" t="n"/>
      <c r="J445" s="119" t="n"/>
    </row>
    <row r="446" ht="15.6" customHeight="1" s="344">
      <c r="B446" s="64" t="n"/>
      <c r="C446" s="163" t="n"/>
      <c r="D446" s="161" t="n"/>
      <c r="E446" s="109" t="n"/>
      <c r="F446" s="161" t="n"/>
      <c r="G446" s="109" t="n"/>
      <c r="H446" s="109" t="n"/>
    </row>
    <row r="451" ht="15.9" customFormat="1" customHeight="1" s="278">
      <c r="A451" s="109" t="n"/>
      <c r="D451" s="345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44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3" t="n"/>
      <c r="D457" s="161" t="n"/>
      <c r="E457" s="109" t="n"/>
      <c r="F457" s="161" t="n"/>
      <c r="G457" s="109" t="n"/>
      <c r="H457" s="109" t="n"/>
      <c r="I457" s="109" t="n"/>
      <c r="J457" s="501" t="n"/>
    </row>
    <row r="458" ht="15.9" customFormat="1" customHeight="1" s="278">
      <c r="A458" s="109" t="n"/>
      <c r="B458" s="278" t="n"/>
      <c r="C458" s="161" t="n"/>
      <c r="D458" s="161" t="n"/>
      <c r="E458" s="109" t="n"/>
      <c r="F458" s="161" t="n"/>
      <c r="G458" s="109" t="n"/>
      <c r="H458" s="109" t="n"/>
      <c r="I458" s="501" t="n"/>
      <c r="J458" s="501" t="n"/>
    </row>
    <row r="459" ht="15.9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7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109" t="n"/>
      <c r="J478" s="109" t="n"/>
    </row>
    <row r="479" ht="15.9" customFormat="1" customHeight="1" s="278">
      <c r="A479" s="44" t="n"/>
      <c r="B479" s="278" t="n"/>
      <c r="C479" s="278" t="n"/>
      <c r="D479" s="161" t="n"/>
      <c r="E479" s="109" t="n"/>
      <c r="F479" s="109" t="n"/>
      <c r="G479" s="109" t="n"/>
      <c r="H479" s="109" t="n"/>
      <c r="I479" s="44" t="n"/>
      <c r="J479" s="119" t="n"/>
    </row>
    <row r="480" ht="15.9" customFormat="1" customHeight="1" s="278">
      <c r="A480" s="40" t="n"/>
      <c r="B480" s="44" t="n"/>
      <c r="C480" s="44" t="n"/>
      <c r="D480" s="84" t="n"/>
      <c r="E480" s="44" t="n"/>
      <c r="F480" s="44" t="n"/>
      <c r="G480" s="44" t="n"/>
      <c r="H480" s="44" t="n"/>
      <c r="I480" s="32" t="n"/>
      <c r="J480" s="40" t="n"/>
    </row>
    <row r="481" ht="15.9" customFormat="1" customHeight="1" s="278">
      <c r="A481" s="27" t="n"/>
      <c r="B481" s="40" t="n"/>
      <c r="C481" s="44" t="n"/>
      <c r="D481" s="85" t="n"/>
      <c r="E481" s="40" t="n"/>
      <c r="F481" s="32" t="n"/>
      <c r="G481" s="40" t="n"/>
      <c r="H481" s="32" t="n"/>
      <c r="I481" s="501" t="n"/>
      <c r="J481" s="501" t="n"/>
    </row>
    <row r="482" ht="15.9" customFormat="1" customHeight="1" s="278">
      <c r="A482" s="27" t="n"/>
      <c r="B482" s="278" t="n"/>
      <c r="C482" s="93" t="n"/>
      <c r="D482" s="161" t="n"/>
      <c r="E482" s="109" t="n"/>
      <c r="F482" s="109" t="n"/>
      <c r="G482" s="109" t="n"/>
      <c r="H482" s="93" t="n"/>
      <c r="I482" s="287" t="n"/>
      <c r="J482" s="302" t="n"/>
    </row>
    <row r="483" ht="15.9" customFormat="1" customHeight="1" s="278">
      <c r="A483" s="27" t="n"/>
      <c r="B483" s="278" t="n"/>
      <c r="C483" s="163" t="n"/>
      <c r="D483" s="161" t="n"/>
      <c r="E483" s="109" t="n"/>
      <c r="F483" s="109" t="n"/>
      <c r="G483" s="109" t="n"/>
      <c r="H483" s="287" t="n"/>
      <c r="I483" s="278" t="n"/>
      <c r="J483" s="109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278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87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D496" s="161" t="n"/>
      <c r="E496" s="109" t="n"/>
      <c r="F496" s="109" t="n"/>
      <c r="G496" s="278" t="n"/>
      <c r="H496" s="278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63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87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161" t="n"/>
      <c r="D503" s="161" t="n"/>
      <c r="E503" s="109" t="n"/>
      <c r="F503" s="109" t="n"/>
      <c r="G503" s="109" t="n"/>
      <c r="H503" s="93" t="n"/>
      <c r="I503" s="287" t="n"/>
      <c r="J503" s="302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87" t="n"/>
      <c r="I504" s="278" t="n"/>
      <c r="J504" s="109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66" t="n"/>
      <c r="I513" s="278" t="n"/>
      <c r="J513" s="109" t="n"/>
    </row>
    <row r="514" ht="15.9" customFormat="1" customHeight="1" s="278">
      <c r="A514" s="44" t="n"/>
      <c r="B514" s="278" t="n"/>
      <c r="C514" s="278" t="n"/>
      <c r="D514" s="161" t="n"/>
      <c r="E514" s="109" t="n"/>
      <c r="F514" s="109" t="n"/>
      <c r="G514" s="109" t="n"/>
      <c r="H514" s="287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3)/4)-13</t>
        </is>
      </c>
      <c r="I521" s="124">
        <f>(($J$126-185-(113.25*3))/4)-13</f>
        <v/>
      </c>
      <c r="J521" s="151">
        <f>$J$120*4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8" t="n"/>
      <c r="E522" s="242" t="n"/>
      <c r="F522" s="337" t="n"/>
      <c r="G522" s="338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8" t="n"/>
      <c r="E523" s="242" t="n"/>
      <c r="F523" s="337" t="n"/>
      <c r="G523" s="338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58:J158"/>
    <mergeCell ref="H171:H172"/>
    <mergeCell ref="D127:G127"/>
    <mergeCell ref="I168:J168"/>
    <mergeCell ref="D121:G121"/>
    <mergeCell ref="A131:J131"/>
    <mergeCell ref="D129:G129"/>
    <mergeCell ref="D123:G123"/>
    <mergeCell ref="A117:J117"/>
    <mergeCell ref="J123:J124"/>
    <mergeCell ref="F521:G521"/>
    <mergeCell ref="I156:J156"/>
    <mergeCell ref="A173:J173"/>
    <mergeCell ref="D160:D161"/>
    <mergeCell ref="A320:J320"/>
    <mergeCell ref="F331:G331"/>
    <mergeCell ref="D164:D168"/>
    <mergeCell ref="H120:I121"/>
    <mergeCell ref="H169:H170"/>
    <mergeCell ref="I159:J159"/>
    <mergeCell ref="F334:G334"/>
    <mergeCell ref="F330:G330"/>
    <mergeCell ref="D119:G119"/>
    <mergeCell ref="I162:J162"/>
    <mergeCell ref="H126:I127"/>
    <mergeCell ref="D162:D163"/>
    <mergeCell ref="C308:E308"/>
    <mergeCell ref="D171:D172"/>
    <mergeCell ref="A6:J6"/>
    <mergeCell ref="I155:J155"/>
    <mergeCell ref="A427:J427"/>
    <mergeCell ref="I167:J167"/>
    <mergeCell ref="J120:J121"/>
    <mergeCell ref="I157:J157"/>
    <mergeCell ref="A125:B125"/>
    <mergeCell ref="A519:J519"/>
    <mergeCell ref="I160:J161"/>
    <mergeCell ref="J126:J127"/>
    <mergeCell ref="H160:H161"/>
    <mergeCell ref="D169:D170"/>
    <mergeCell ref="I163:J166"/>
    <mergeCell ref="H164:H168"/>
    <mergeCell ref="H162:H163"/>
    <mergeCell ref="D125:G125"/>
    <mergeCell ref="H123:I124"/>
    <mergeCell ref="A213:J213"/>
  </mergeCells>
  <dataValidations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7">
    <tabColor theme="5" tint="-0.249977111117893"/>
    <outlinePr summaryBelow="1" summaryRight="1"/>
    <pageSetUpPr/>
  </sheetPr>
  <dimension ref="A1:AJ528"/>
  <sheetViews>
    <sheetView showGridLines="0" view="pageBreakPreview" topLeftCell="A109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11.88671875" customWidth="1" style="344" min="5" max="5"/>
    <col collapsed="1" width="20.6640625" customWidth="1" style="344" min="6" max="6"/>
    <col width="7.5546875" customWidth="1" style="344" min="7" max="7"/>
    <col width="27.6640625" customWidth="1" style="344" min="8" max="8"/>
    <col width="11.109375" bestFit="1" customWidth="1" style="344" min="9" max="9"/>
    <col width="11.6640625" customWidth="1" style="112" min="10" max="10"/>
    <col width="10.6640625" customWidth="1" style="344" min="11" max="11"/>
    <col width="10" bestFit="1" customWidth="1" style="344" min="12" max="12"/>
    <col outlineLevel="1" width="22.5546875" customWidth="1" style="344" min="14" max="14"/>
    <col outlineLevel="1" width="25.6640625" customWidth="1" style="344" min="15" max="15"/>
    <col outlineLevel="1" width="41.5546875" customWidth="1" style="344" min="16" max="16"/>
    <col outlineLevel="1" width="9.33203125" customWidth="1" style="344" min="17" max="17"/>
    <col outlineLevel="1" width="13.88671875" customWidth="1" style="344" min="18" max="18"/>
    <col outlineLevel="1" width="17.6640625" customWidth="1" style="344" min="19" max="19"/>
    <col outlineLevel="1" width="15" customWidth="1" style="344" min="20" max="20"/>
    <col outlineLevel="1" width="23.44140625" customWidth="1" style="344" min="21" max="21"/>
    <col outlineLevel="1" width="10.6640625" customWidth="1" style="344" min="22" max="22"/>
    <col outlineLevel="1" width="10.5546875" customWidth="1" style="344" min="23" max="23"/>
  </cols>
  <sheetData>
    <row r="1" ht="12.75" customHeight="1" s="344">
      <c r="A1" t="inlineStr">
        <is>
          <t>ส</t>
        </is>
      </c>
    </row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(2L2R)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FG-240-4P2L2R-01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8" customFormat="1" customHeight="1" s="278">
      <c r="A119" s="109" t="n"/>
      <c r="C119" s="110" t="inlineStr">
        <is>
          <t>Project Name :</t>
        </is>
      </c>
      <c r="D119" s="663" t="inlineStr">
        <is>
          <t>D3 บาน 4-2-2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2195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275" t="inlineStr">
        <is>
          <t>Silver</t>
        </is>
      </c>
      <c r="E125" s="276" t="n"/>
      <c r="F125" s="276" t="n"/>
      <c r="G125" s="277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3275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  <c r="P129" s="109" t="inlineStr">
        <is>
          <t>POWDER COAT</t>
        </is>
      </c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  <c r="P130" s="109" t="inlineStr">
        <is>
          <t>-</t>
        </is>
      </c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8</v>
      </c>
      <c r="U133" s="283" t="inlineStr">
        <is>
          <t>(W-185-(113.25 × 3))/4</t>
        </is>
      </c>
      <c r="V133" s="307">
        <f>($J$126-185-(113.25*3))/4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8</v>
      </c>
      <c r="U134" s="283" t="inlineStr">
        <is>
          <t>(W-185-(113.25 × 3))/4</t>
        </is>
      </c>
      <c r="V134" s="307">
        <f>($J$126-185-(113.25*3))/4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1.377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8</v>
      </c>
      <c r="U135" s="283" t="inlineStr">
        <is>
          <t>(W-185-(113.25 × 3))/4</t>
        </is>
      </c>
      <c r="V135" s="307">
        <f>($J$126-185-(113.25*3))/4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8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8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0.169</v>
      </c>
      <c r="S138" s="142" t="inlineStr">
        <is>
          <t>B24013-002</t>
        </is>
      </c>
      <c r="T138" s="240" t="n">
        <v>8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45°แยกฝั่ง (W/2-60-(2+1)×4)/2</t>
        </is>
      </c>
      <c r="I141" s="178">
        <f>(($J$126/2)-60-(2+1)*4)/2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45°แยกฝั่ง (W/2-60-(2+1)×4)/2</t>
        </is>
      </c>
      <c r="I142" s="178">
        <f>(($J$126/2)-60-(2+1)*4)/2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211" t="inlineStr">
        <is>
          <t>ITEM</t>
        </is>
      </c>
      <c r="B154" s="210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664" t="inlineStr">
        <is>
          <t>Aluminum Cost/per unit</t>
        </is>
      </c>
      <c r="J154" s="635" t="n"/>
      <c r="K154" s="278" t="n">
        <v>110</v>
      </c>
    </row>
    <row r="155" outlineLevel="1" ht="15" customFormat="1" customHeight="1" s="278">
      <c r="A155" s="212">
        <f>IF(B133="","",1)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66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450">
        <f>ROUNDUP((F155*G155)/6400,0)</f>
        <v/>
      </c>
      <c r="I155" s="556">
        <f>$K$154*K155</f>
        <v/>
      </c>
      <c r="J155" s="666" t="n"/>
      <c r="K155" s="442">
        <f>((F155*G155)/1000)*E155</f>
        <v/>
      </c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66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75">
        <f>ROUNDUP((F156*G156)/6400,0)</f>
        <v/>
      </c>
      <c r="I156" s="557">
        <f>$K$154*K156</f>
        <v/>
      </c>
      <c r="J156" s="619" t="n"/>
      <c r="K156" s="442">
        <f>((F156*G156)/1000)*E156</f>
        <v/>
      </c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66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75">
        <f>ROUNDUP((F157*G157)/6400,0)</f>
        <v/>
      </c>
      <c r="I157" s="557">
        <f>$K$154*K157</f>
        <v/>
      </c>
      <c r="J157" s="619" t="n"/>
      <c r="K157" s="442">
        <f>((F157*G157)/1000)*E157</f>
        <v/>
      </c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66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75">
        <f>ROUNDUP((F158*G158)/6400,0)</f>
        <v/>
      </c>
      <c r="I158" s="557">
        <f>$K$154*K158</f>
        <v/>
      </c>
      <c r="J158" s="619" t="n"/>
      <c r="K158" s="442">
        <f>((F158*G158)/1000)*E158</f>
        <v/>
      </c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66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46">
        <f>ROUNDUP(((F159*G159)+(F160*G160))/6400,0)</f>
        <v/>
      </c>
      <c r="I159" s="557">
        <f>$K$154*K159</f>
        <v/>
      </c>
      <c r="J159" s="619" t="n"/>
      <c r="K159" s="442">
        <f>((F159*G159)/1000)*E159</f>
        <v/>
      </c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66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25" t="n"/>
      <c r="I160" s="557">
        <f>$K$154*K160</f>
        <v/>
      </c>
      <c r="J160" s="619" t="n"/>
      <c r="K160" s="442">
        <f>((F160*G160)/1000)*E160</f>
        <v/>
      </c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66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46">
        <f>ROUNDUP(((F161*G161)+(F162*G162))/6400,0)</f>
        <v/>
      </c>
      <c r="I161" s="557">
        <f>$K$154*K161</f>
        <v/>
      </c>
      <c r="J161" s="619" t="n"/>
      <c r="K161" s="442">
        <f>((F161*G161)/1000)*E161</f>
        <v/>
      </c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66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25" t="n"/>
      <c r="I162" s="557">
        <f>$K$154*K162</f>
        <v/>
      </c>
      <c r="J162" s="619" t="n"/>
      <c r="K162" s="442">
        <f>((F162*G162)/1000)*E162</f>
        <v/>
      </c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66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46">
        <f>ROUNDUP(((F163*G163)+(F164*G164)+(F165*G165)+(F166*G166)+(F167*G167))/6400,0)</f>
        <v/>
      </c>
      <c r="I163" s="557">
        <f>$K$154*K163</f>
        <v/>
      </c>
      <c r="J163" s="619" t="n"/>
      <c r="K163" s="442">
        <f>((F163*G163)/1000)*E163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66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24" t="n"/>
      <c r="I164" s="557">
        <f>$K$154*K164</f>
        <v/>
      </c>
      <c r="J164" s="619" t="n"/>
      <c r="K164" s="442">
        <f>((F164*G164)/1000)*E164</f>
        <v/>
      </c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66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24" t="n"/>
      <c r="I165" s="557">
        <f>$K$154*K165</f>
        <v/>
      </c>
      <c r="J165" s="619" t="n"/>
      <c r="K165" s="442">
        <f>((F165*G165)/1000)*E165</f>
        <v/>
      </c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66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24" t="n"/>
      <c r="I166" s="557">
        <f>$K$154*K166</f>
        <v/>
      </c>
      <c r="J166" s="619" t="n"/>
      <c r="K166" s="442">
        <f>((F166*G166)/1000)*E166</f>
        <v/>
      </c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66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25" t="n"/>
      <c r="I167" s="557">
        <f>$K$154*K167</f>
        <v/>
      </c>
      <c r="J167" s="619" t="n"/>
      <c r="K167" s="442">
        <f>((F167*G167)/1000)*E167</f>
        <v/>
      </c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66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46">
        <f>ROUNDUP(((F168*G168)+(F169*G169))/6400,0)</f>
        <v/>
      </c>
      <c r="I168" s="557">
        <f>$K$154*K168</f>
        <v/>
      </c>
      <c r="J168" s="619" t="n"/>
      <c r="K168" s="442">
        <f>((F168*G168)/1000)*E168</f>
        <v/>
      </c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66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25" t="n"/>
      <c r="I169" s="557">
        <f>$K$154*K169</f>
        <v/>
      </c>
      <c r="J169" s="619" t="n"/>
      <c r="K169" s="442">
        <f>((F169*G169)/1000)*E169</f>
        <v/>
      </c>
    </row>
    <row r="170" outlineLevel="1" ht="15" customFormat="1" customHeight="1" s="23" thickBot="1">
      <c r="A170" s="213" t="n"/>
      <c r="B170" s="173">
        <f>B148</f>
        <v/>
      </c>
      <c r="C170" s="173">
        <f>C148</f>
        <v/>
      </c>
      <c r="D170" s="577">
        <f>IFERROR(VLOOKUP(C170,$C$133:$H$153,2,0),"")</f>
        <v/>
      </c>
      <c r="E170" s="175">
        <f>IFERROR(VLOOKUP(C170,$C$133:$H$153,3,0),"")</f>
        <v/>
      </c>
      <c r="F170" s="353">
        <f>IFERROR(VLOOKUP(C170,$C$133:$I$153,7,0),"")</f>
        <v/>
      </c>
      <c r="G170" s="175">
        <f>IFERROR(VLOOKUP(C170,$C$133:$J$153,8,0),"")</f>
        <v/>
      </c>
      <c r="H170" s="449" t="inlineStr">
        <is>
          <t>Total price</t>
        </is>
      </c>
      <c r="I170" s="667">
        <f>SUM(I155:J169)</f>
        <v/>
      </c>
      <c r="J170" s="619" t="n"/>
      <c r="K170" s="278" t="n"/>
      <c r="L170" s="278" t="n"/>
      <c r="M170" s="278" t="n"/>
      <c r="N170" s="278" t="n"/>
      <c r="O170" s="278" t="n"/>
      <c r="P170" s="278" t="n"/>
      <c r="Q170" s="278" t="n"/>
      <c r="R170" s="278" t="n"/>
      <c r="S170" s="278" t="n"/>
      <c r="T170" s="278" t="n"/>
      <c r="U170" s="278" t="n"/>
      <c r="V170" s="278" t="n"/>
      <c r="Y170" s="278" t="n"/>
      <c r="Z170" s="278" t="n"/>
      <c r="AA170" s="278" t="n"/>
      <c r="AB170" s="278" t="n"/>
      <c r="AC170" s="278" t="n"/>
      <c r="AD170" s="278" t="n"/>
      <c r="AE170" s="278" t="n"/>
      <c r="AF170" s="278" t="n"/>
      <c r="AG170" s="278" t="n"/>
      <c r="AH170" s="278" t="n"/>
      <c r="AI170" s="278" t="n"/>
      <c r="AJ170" s="278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664" t="inlineStr">
        <is>
          <t>Hardware Cost/per unit</t>
        </is>
      </c>
      <c r="J172" s="635" t="n"/>
      <c r="K172" s="443" t="n">
        <v>0.2</v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ตัวรับกลอน</t>
        </is>
      </c>
      <c r="C173" s="140" t="inlineStr">
        <is>
          <t xml:space="preserve">FLUSH BOLT RECEIVER </t>
        </is>
      </c>
      <c r="D173" s="139" t="inlineStr">
        <is>
          <t>04-016</t>
        </is>
      </c>
      <c r="E173" s="143" t="n"/>
      <c r="F173" s="143" t="inlineStr">
        <is>
          <t>04-016</t>
        </is>
      </c>
      <c r="G173" s="143" t="inlineStr">
        <is>
          <t>PC</t>
        </is>
      </c>
      <c r="H173" s="143" t="n">
        <v>2</v>
      </c>
      <c r="I173" s="668">
        <f>(K173+$K$172)*H173</f>
        <v/>
      </c>
      <c r="J173" s="669" t="n"/>
      <c r="K173" s="444" t="n">
        <v>1.673</v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8</v>
      </c>
      <c r="I174" s="670">
        <f>(K174+$K$172)*H174</f>
        <v/>
      </c>
      <c r="J174" s="671" t="n"/>
      <c r="K174" s="444" t="n">
        <v>3</v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670">
        <f>(K175+$K$172)*H175</f>
        <v/>
      </c>
      <c r="J175" s="671" t="n"/>
      <c r="K175" s="444" t="n">
        <v>2.873</v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Paa</t>
        </is>
      </c>
      <c r="H176" s="143" t="n">
        <v>1</v>
      </c>
      <c r="I176" s="670">
        <f>(K176+$K$172)*H176</f>
        <v/>
      </c>
      <c r="J176" s="671" t="n"/>
      <c r="K176" s="444" t="n">
        <v>5.3196</v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32</v>
      </c>
      <c r="I177" s="672" t="n">
        <v>0</v>
      </c>
      <c r="J177" s="673" t="n"/>
      <c r="K177" s="444" t="n">
        <v>0</v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64</v>
      </c>
      <c r="I178" s="672" t="n">
        <v>0</v>
      </c>
      <c r="J178" s="673" t="n"/>
      <c r="K178" s="444" t="n">
        <v>0</v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2</v>
      </c>
      <c r="I179" s="670">
        <f>(K179+$K$172)*H179</f>
        <v/>
      </c>
      <c r="J179" s="671" t="n"/>
      <c r="K179" s="447" t="n">
        <v>764.4400000000001</v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670">
        <f>(K180+$K$172)*H180</f>
        <v/>
      </c>
      <c r="J180" s="671" t="n"/>
      <c r="K180" s="447" t="n">
        <v>1199.47</v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670">
        <f>(K181+$K$172)*H181</f>
        <v/>
      </c>
      <c r="J181" s="671" t="n"/>
      <c r="K181" s="447" t="n">
        <v>1199.47</v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Meetimg Set</t>
        </is>
      </c>
      <c r="D182" s="139" t="inlineStr">
        <is>
          <t>05-010</t>
        </is>
      </c>
      <c r="E182" s="143" t="n"/>
      <c r="F182" s="143" t="inlineStr">
        <is>
          <t>05-010</t>
        </is>
      </c>
      <c r="G182" s="143" t="inlineStr">
        <is>
          <t>SET</t>
        </is>
      </c>
      <c r="H182" s="143" t="n">
        <v>1</v>
      </c>
      <c r="I182" s="670">
        <f>(K182+$K$172)*H182</f>
        <v/>
      </c>
      <c r="J182" s="671" t="n"/>
      <c r="K182" s="447" t="n">
        <v>1969.28</v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2</v>
      </c>
      <c r="I183" s="670">
        <f>(K183+$K$172)*H183</f>
        <v/>
      </c>
      <c r="J183" s="671" t="n"/>
      <c r="K183" s="447" t="n">
        <v>1969.28</v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ตัวประคองสลักล็อค</t>
        </is>
      </c>
      <c r="C184" s="140" t="inlineStr">
        <is>
          <t>Guide twin Bolt Rods</t>
        </is>
      </c>
      <c r="D184" s="139" t="inlineStr">
        <is>
          <t>04-009</t>
        </is>
      </c>
      <c r="E184" s="143" t="n"/>
      <c r="F184" s="143" t="inlineStr">
        <is>
          <t>04-009</t>
        </is>
      </c>
      <c r="G184" s="143" t="inlineStr">
        <is>
          <t>PC</t>
        </is>
      </c>
      <c r="H184" s="143" t="n">
        <v>4</v>
      </c>
      <c r="I184" s="670">
        <f>(K184+$K$172)*H184</f>
        <v/>
      </c>
      <c r="J184" s="671" t="n"/>
      <c r="K184" s="444" t="n">
        <v>7.644</v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รางเสริมเปลี่ยนล้อ</t>
        </is>
      </c>
      <c r="C185" s="140" t="inlineStr">
        <is>
          <t>35 SERIES TRACK INSERT</t>
        </is>
      </c>
      <c r="D185" s="139" t="inlineStr">
        <is>
          <t>04-004</t>
        </is>
      </c>
      <c r="E185" s="143" t="n"/>
      <c r="F185" s="143" t="inlineStr">
        <is>
          <t>04-004</t>
        </is>
      </c>
      <c r="G185" s="143" t="inlineStr">
        <is>
          <t>PC</t>
        </is>
      </c>
      <c r="H185" s="143" t="n">
        <v>1</v>
      </c>
      <c r="I185" s="670">
        <f>(K185+$K$172)*H185</f>
        <v/>
      </c>
      <c r="J185" s="671" t="n"/>
      <c r="K185" s="444" t="n">
        <v>12.1</v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IF($D$129="Standard",$O$184,IF($D$129="Soumdproof",$O$185,))</f>
        <v/>
      </c>
      <c r="C186" s="139">
        <f>IF($D$129="Standard",$P$184,IF($D$129="Soumdproof",$P$185,))</f>
        <v/>
      </c>
      <c r="D186" s="139">
        <f>IF($D$129="Standard",$Q$184,IF($D$129="Soumdproof",$Q$185,))</f>
        <v/>
      </c>
      <c r="E186" s="143">
        <f>IF($D$129="Standard",R185,IF($D$129="Soumdproof",R186,))</f>
        <v/>
      </c>
      <c r="F186" s="143">
        <f>IF($D$129="Standard",$S$184,IF($D$129="Soumdproof",$S$185,))</f>
        <v/>
      </c>
      <c r="G186" s="143">
        <f>IF($D$129="Standard",$T$184,IF($D$129="Soumdproof",$T$185,))</f>
        <v/>
      </c>
      <c r="H186" s="652">
        <f>IF($D$129="Standard",$U$184,IF($D$129="Soumdproof",$U$185,))</f>
        <v/>
      </c>
      <c r="I186" s="670">
        <f>(K186+$K$172)*H186</f>
        <v/>
      </c>
      <c r="J186" s="671" t="n"/>
      <c r="K186" s="444" t="n">
        <v>7.8055</v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((($I$141*$G$141*2)+($I$143*$G$143*2)+($I$144*$G$144*2)+($I$145*$G$145*2))/1000)*$J$120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IF($D$129="Standard",$O$186,IF($D$129="Soumdproof",$O$187,))</f>
        <v/>
      </c>
      <c r="C187" s="139">
        <f>IF($D$129="Standard",$P$186,IF($D$129="Soumdproof",$P$187,))</f>
        <v/>
      </c>
      <c r="D187" s="139">
        <f>IF($D$129="Standard",$Q$186,IF($D$129="Soumdproof",$Q$187,))</f>
        <v/>
      </c>
      <c r="E187" s="143">
        <f>IF($D$129="Standard",R187,IF($D$129="Soumdproof",R188,))</f>
        <v/>
      </c>
      <c r="F187" s="143">
        <f>IF($D$129="Standard",$S$186,IF($D$129="Soumdproof",$S$187,))</f>
        <v/>
      </c>
      <c r="G187" s="143">
        <f>IF($D$129="Standard",$T$186,IF($D$129="Soumdproof",$T$187,))</f>
        <v/>
      </c>
      <c r="H187" s="652">
        <f>IF($D$129="Standard",$U$186,IF($D$129="Soumdproof",$U$187,))</f>
        <v/>
      </c>
      <c r="I187" s="670">
        <f>(K187+$K$172)*H187</f>
        <v/>
      </c>
      <c r="J187" s="671" t="n"/>
      <c r="K187" s="444" t="n">
        <v>6.3</v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((($I$141*$G$141*2)+($I$143*$G$143*2)+($I$144*$G$144*2)+($I$145*$G$145*2))/1000)*$J$120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296">
        <f>IF($D$127=5,$O$175,IF($D$127=6,$O$176,IF($D$127=8,$O$177,IF($D$127=10,$O$175,IF($D$127=12,$O$175,IF($D$127=14,$O$177,IF($D$127=18,$O$175,IF($D$127=20,$O$176,IF($D$127=22,"")))))))))</f>
        <v/>
      </c>
      <c r="C188" s="296">
        <f>IF($D$127=5,$P$175,IF($D$127=6,$P$176,IF($D$127=8,$P$177,IF($D$127=10,$P$175,IF($D$127=12,$P$175,IF($D$127=14,$P$177,IF($D$127=18,$P$175,IF($D$127=20,$P$176,IF($D$127=22,"")))))))))</f>
        <v/>
      </c>
      <c r="D188" s="296">
        <f>IF($D$127=5,$Q$175,IF($D$127=6,$Q$176,IF($D$127=8,$Q$177,IF($D$127=10,$Q$175,IF($D$127=12,$Q$175,IF($D$127=14,$Q$177,IF($D$127=18,$Q$175,IF($D$127=20,$Q$176,IF($D$127=22,"")))))))))</f>
        <v/>
      </c>
      <c r="E188" s="296">
        <f>IF($D$127=5,R176,IF($D$127=6,R177,IF($D$127=8,R178,IF($D$127=10,R176,IF($D$127=12,R176,IF($D$127=14,R178,IF($D$127=18,R176,IF($D$127=20,R177,IF($D$127=22,"",)))))))))</f>
        <v/>
      </c>
      <c r="F188" s="242">
        <f>IF($D$127=5,$S$175,IF($D$127=6,$S$176,IF($D$127=8,$S$177,IF($D$127=10,$S$175,IF($D$127=12,$S$175,IF($D$127=14,$S$177,IF($D$127=18,$S$175,IF($D$127=20,$S$176,IF($D$127=22,"")))))))))</f>
        <v/>
      </c>
      <c r="G188" s="242">
        <f>IF($D$127=5,$T$175,IF($D$127=6,$T$176,IF($D$127=8,$T$177,IF($D$127=10,$T$175,IF($D$127=12,$T$175,IF($D$127=14,$T$177,IF($D$127=18,$T$175,IF($D$127=20,$T$176,IF($D$127=22,"")))))))))</f>
        <v/>
      </c>
      <c r="H188" s="652">
        <f>IF($D$127=5,$U$175,IF($D$127=6,$U$176,IF($D$127=8,$U$177,IF($D$127=10,$U$175*2,IF($D$127=12,$U$175,IF($D$127=14,$U$177*2,IF($D$127=18,$U$175,IF($D$127=20,$U$176,IF($D$127=22,"")))))))))</f>
        <v/>
      </c>
      <c r="I188" s="670">
        <f>(K188+$K$172)*H188</f>
        <v/>
      </c>
      <c r="J188" s="671" t="n"/>
      <c r="K188" s="444" t="n">
        <v>11.54</v>
      </c>
    </row>
    <row r="189" ht="18" customFormat="1" customHeight="1" s="278">
      <c r="A189" s="201">
        <f>IF(B189="","",+A188+1)</f>
        <v/>
      </c>
      <c r="B189" s="296">
        <f>IF($D$127=5,$O$173,IF($D$127=6,$O$173,IF($D$127=8,$O$175,IF($D$127=10,"",IF($D$127=12,$O$174,IF($D$127=14,"",IF($D$127=18,$O$173,IF($D$127=20,$O$174,IF($D$127=22,"",)))))))))</f>
        <v/>
      </c>
      <c r="C189" s="296">
        <f>IF($D$127=5,$P$173,IF($D$127=6,$P$173,IF($D$127=8,$P$175,IF($D$127=10,"",IF($D$127=12,$P$174,IF($D$127=14,"",IF($D$127=18,$P$173,IF($D$127=20,$P$174,IF($D$127=22,"",)))))))))</f>
        <v/>
      </c>
      <c r="D189" s="296">
        <f>IF($D$127=5,$Q$173,IF($D$127=6,$Q$173,IF($D$127=8,$Q$175,IF($D$127=10,"",IF($D$127=12,$Q$174,IF($D$127=14,"",IF($D$127=18,$Q$173,IF($D$127=20,$Q$174,IF($D$127=22,"",)))))))))</f>
        <v/>
      </c>
      <c r="E189" s="296">
        <f>IF($D$127=5,R174,IF($D$127=6,R174,IF($D$127=8,R176,IF($D$127=10,"",IF($D$127=12,R175,IF($D$127=14,"",IF($D$127=18,R174,IF($D$127=20,R175,IF($D$127=22,"",)))))))))</f>
        <v/>
      </c>
      <c r="F189" s="242">
        <f>IF($D$127=5,$S$173,IF($D$127=6,$S$173,IF($D$127=8,$S$175,IF($D$127=10,"",IF($D$127=12,$S$174,IF($D$127=14,"",IF($D$127=18,$S$173,IF($D$127=20,$S$174,IF($D$127=22,"",)))))))))</f>
        <v/>
      </c>
      <c r="G189" s="242">
        <f>IF($D$127=5,$T$173,IF($D$127=6,$T$173,IF($D$127=8,$T$175,IF($D$127=10,"",IF($D$127=12,$T$174,IF($D$127=14,"",IF($D$127=18,$T$173,IF($D$127=20,$T$174,IF($D$127=22,"",)))))))))</f>
        <v/>
      </c>
      <c r="H189" s="652">
        <f>IF($D$127=5,$U$173,IF($D$127=6,$U$173,IF($D$127=8,$U$175,IF($D$127=10,"",IF($D$127=12,$U$174,IF($D$127=14,"",IF($D$127=18,$U$173,IF($D$127=20,$U$174,IF($D$127=22,"")))))))))</f>
        <v/>
      </c>
      <c r="I189" s="670">
        <f>(K189+$K$172)*H189</f>
        <v/>
      </c>
      <c r="J189" s="671" t="n"/>
      <c r="K189" s="444" t="n">
        <v>9.66</v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446" t="inlineStr">
        <is>
          <t>Total price</t>
        </is>
      </c>
      <c r="I190" s="674">
        <f>SUM(I173:J189)</f>
        <v/>
      </c>
      <c r="J190" s="619" t="n"/>
      <c r="K190" s="675" t="n"/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Height="1" s="344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  <c r="Y193" s="278" t="n"/>
      <c r="Z193" s="278" t="n"/>
      <c r="AA193" s="278" t="n"/>
      <c r="AB193" s="278" t="n"/>
      <c r="AC193" s="278" t="n"/>
      <c r="AD193" s="278" t="n"/>
      <c r="AE193" s="278" t="n"/>
      <c r="AF193" s="278" t="n"/>
      <c r="AG193" s="278" t="n"/>
      <c r="AH193" s="278" t="n"/>
      <c r="AI193" s="278" t="n"/>
      <c r="AJ193" s="278" t="n"/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IF(B201="","",+""+1)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LEFT($J$111,13)&amp;"-02"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B214" s="93" t="n"/>
      <c r="C214" s="278" t="n"/>
      <c r="D214" s="161" t="n"/>
      <c r="E214" s="35" t="n"/>
      <c r="F214" s="160" t="n"/>
      <c r="I214" s="160" t="n"/>
      <c r="J214" s="532" t="n"/>
    </row>
    <row r="215" ht="15" customFormat="1" customHeight="1" s="278">
      <c r="A215" s="109" t="n"/>
      <c r="B215" s="278" t="n"/>
      <c r="C215" s="89" t="n"/>
      <c r="D215" s="161" t="n"/>
      <c r="E215" s="35" t="n"/>
      <c r="F215" s="161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3))/4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((ความกว้างวงกบ - 185-(113.25 × 3))/4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3))/4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3))/4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6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657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n"/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89" t="n"/>
      <c r="D309" s="161" t="n"/>
      <c r="E309" s="109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LEFT($J$111,13)&amp;"-03"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LEFT($J$111,13)&amp;"-04"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44" t="n"/>
      <c r="B443" s="278" t="n"/>
      <c r="C443" s="43" t="n"/>
      <c r="D443" s="161" t="n"/>
      <c r="E443" s="109" t="n"/>
      <c r="F443" s="109" t="n"/>
      <c r="H443" s="44" t="n"/>
      <c r="I443" s="44" t="n"/>
      <c r="J443" s="119" t="n"/>
    </row>
    <row r="444" ht="15.9" customFormat="1" customHeight="1" s="278">
      <c r="A444" s="40" t="n"/>
      <c r="C444" s="44" t="n"/>
      <c r="D444" s="84" t="n"/>
      <c r="E444" s="44" t="n"/>
      <c r="F444" s="44" t="n"/>
      <c r="H444" s="44" t="n"/>
      <c r="I444" s="44" t="n"/>
      <c r="J444" s="119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3)/4)-13</t>
        </is>
      </c>
      <c r="I520" s="124">
        <f>(($J$126-185-(113.25*3))/4)-13</f>
        <v/>
      </c>
      <c r="J520" s="151">
        <f>$J$120*4</f>
        <v/>
      </c>
      <c r="K520" s="278">
        <f>(D520*I520)/10^6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K521" s="278">
        <f>K520*J520</f>
        <v/>
      </c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68">
    <mergeCell ref="I178:J178"/>
    <mergeCell ref="I158:J158"/>
    <mergeCell ref="I174:J174"/>
    <mergeCell ref="D127:G127"/>
    <mergeCell ref="I168:J168"/>
    <mergeCell ref="H163:H167"/>
    <mergeCell ref="I164:J164"/>
    <mergeCell ref="D121:G121"/>
    <mergeCell ref="A131:J131"/>
    <mergeCell ref="H161:H162"/>
    <mergeCell ref="H168:H169"/>
    <mergeCell ref="I189:J189"/>
    <mergeCell ref="I160:J160"/>
    <mergeCell ref="A171:J171"/>
    <mergeCell ref="I154:J154"/>
    <mergeCell ref="I183:J183"/>
    <mergeCell ref="I163:J163"/>
    <mergeCell ref="D129:G129"/>
    <mergeCell ref="I179:J179"/>
    <mergeCell ref="I188:J188"/>
    <mergeCell ref="D123:G123"/>
    <mergeCell ref="I175:J175"/>
    <mergeCell ref="A117:J117"/>
    <mergeCell ref="J123:J124"/>
    <mergeCell ref="F329:G329"/>
    <mergeCell ref="I156:J156"/>
    <mergeCell ref="A518:J518"/>
    <mergeCell ref="I185:J185"/>
    <mergeCell ref="H159:H160"/>
    <mergeCell ref="H120:I121"/>
    <mergeCell ref="I159:J159"/>
    <mergeCell ref="A319:J319"/>
    <mergeCell ref="I184:J184"/>
    <mergeCell ref="F330:G330"/>
    <mergeCell ref="D119:G119"/>
    <mergeCell ref="I165:J165"/>
    <mergeCell ref="I162:J162"/>
    <mergeCell ref="I181:J181"/>
    <mergeCell ref="H126:I127"/>
    <mergeCell ref="I176:J176"/>
    <mergeCell ref="I190:J190"/>
    <mergeCell ref="I186:J186"/>
    <mergeCell ref="I161:J161"/>
    <mergeCell ref="I155:J155"/>
    <mergeCell ref="A6:J6"/>
    <mergeCell ref="D161:D162"/>
    <mergeCell ref="I177:J177"/>
    <mergeCell ref="I173:J173"/>
    <mergeCell ref="I180:J180"/>
    <mergeCell ref="D168:D169"/>
    <mergeCell ref="I170:J170"/>
    <mergeCell ref="I167:J167"/>
    <mergeCell ref="A212:J212"/>
    <mergeCell ref="F333:G333"/>
    <mergeCell ref="J120:J121"/>
    <mergeCell ref="I157:J157"/>
    <mergeCell ref="I166:J166"/>
    <mergeCell ref="A426:J426"/>
    <mergeCell ref="A125:B125"/>
    <mergeCell ref="I182:J182"/>
    <mergeCell ref="I172:J172"/>
    <mergeCell ref="I169:J169"/>
    <mergeCell ref="D159:D160"/>
    <mergeCell ref="J126:J127"/>
    <mergeCell ref="F520:G520"/>
    <mergeCell ref="H123:I124"/>
    <mergeCell ref="I187:J187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$AA$173:$AA$191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$P$119:$P$130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AJ529"/>
  <sheetViews>
    <sheetView showGridLines="0" view="pageBreakPreview" topLeftCell="A112" zoomScale="75" zoomScaleNormal="75" zoomScaleSheetLayoutView="75" workbookViewId="0">
      <selection activeCell="C115" sqref="C11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6640625" customWidth="1" style="344" min="8" max="8"/>
    <col width="11.109375" bestFit="1" customWidth="1" style="344" min="9" max="9"/>
    <col width="11.6640625" customWidth="1" style="112" min="10" max="10"/>
    <col width="10" bestFit="1" customWidth="1" style="344" min="12" max="12"/>
    <col hidden="1" outlineLevel="1" width="22.5546875" customWidth="1" style="344" min="14" max="14"/>
    <col hidden="1" outlineLevel="1" width="25.6640625" customWidth="1" style="344" min="15" max="15"/>
    <col hidden="1" outlineLevel="1" width="41.554687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(2L2R)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FG-240-4P2L2R-01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8" customFormat="1" customHeight="1" s="278">
      <c r="A119" s="109" t="n"/>
      <c r="C119" s="110" t="inlineStr">
        <is>
          <t>Project Name :</t>
        </is>
      </c>
      <c r="D119" s="637" t="inlineStr">
        <is>
          <t>Profilo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Golden Teak Wood Grain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2600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275" t="inlineStr">
        <is>
          <t>Silver</t>
        </is>
      </c>
      <c r="E125" s="276" t="n"/>
      <c r="F125" s="276" t="n"/>
      <c r="G125" s="277" t="n"/>
      <c r="H125" s="101" t="n"/>
      <c r="I125" s="109" t="inlineStr">
        <is>
          <t>P1</t>
        </is>
      </c>
      <c r="J125" s="109" t="inlineStr">
        <is>
          <t>P2</t>
        </is>
      </c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I126" s="366" t="n">
        <v>600</v>
      </c>
      <c r="J126" s="372" t="n">
        <v>2000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H128" s="519" t="inlineStr">
        <is>
          <t>Width
ความกว้าง</t>
        </is>
      </c>
      <c r="J128" s="366" t="n">
        <v>4150</v>
      </c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J129" s="640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$J$128-60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24</v>
      </c>
      <c r="U133" s="283" t="inlineStr">
        <is>
          <t>(W-185-(113.25 × 3))/4</t>
        </is>
      </c>
      <c r="V133" s="307">
        <f>($J$128-185-(113.25*3))/4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$J$128-86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24</v>
      </c>
      <c r="U134" s="283" t="inlineStr">
        <is>
          <t>(W-185-(113.25 × 3))/4</t>
        </is>
      </c>
      <c r="V134" s="307">
        <f>($J$128-185-(113.25*3))/4</f>
        <v/>
      </c>
      <c r="W134" s="286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$J$128-60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24</v>
      </c>
      <c r="U135" s="283" t="inlineStr">
        <is>
          <t>(W-185-(113.25 × 3))/4</t>
        </is>
      </c>
      <c r="V135" s="307">
        <f>($J$128-185-(113.25*3))/4</f>
        <v/>
      </c>
      <c r="W135" s="286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$J$128-60</f>
        <v/>
      </c>
      <c r="J136" s="131">
        <f>$J$120*G136</f>
        <v/>
      </c>
      <c r="N136" s="101" t="inlineStr">
        <is>
          <t>P1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 P1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16</v>
      </c>
      <c r="U136" s="213" t="inlineStr">
        <is>
          <t>SASH -P1-P2-112.5</t>
        </is>
      </c>
      <c r="V136" s="307">
        <f>$I$143-$I$126-$J$126-112.5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 P1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16</v>
      </c>
      <c r="U137" s="213" t="inlineStr">
        <is>
          <t>SASH -P1-P2-112.5</t>
        </is>
      </c>
      <c r="V137" s="307">
        <f>$I$143-$I$126-$J$126-112.5</f>
        <v/>
      </c>
      <c r="W137" s="286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 P1</t>
        </is>
      </c>
      <c r="Q138" s="141" t="inlineStr">
        <is>
          <t>B24013</t>
        </is>
      </c>
      <c r="R138" s="240" t="n">
        <v>0.169</v>
      </c>
      <c r="S138" s="142" t="inlineStr">
        <is>
          <t>B24013-001</t>
        </is>
      </c>
      <c r="T138" s="240" t="n">
        <v>16</v>
      </c>
      <c r="U138" s="213" t="inlineStr">
        <is>
          <t>SASH -P1-P2-112.5</t>
        </is>
      </c>
      <c r="V138" s="307">
        <f>$I$143-$I$126-$J$126-112.5</f>
        <v/>
      </c>
      <c r="W138" s="286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101" t="inlineStr">
        <is>
          <t>P2</t>
        </is>
      </c>
      <c r="O139" s="281" t="inlineStr">
        <is>
          <t>5-6mm คิ้วตบกระจกแนวตั้ง</t>
        </is>
      </c>
      <c r="P139" s="281" t="inlineStr">
        <is>
          <t>5-6mm GLAZING BEAD VERTICAL P2</t>
        </is>
      </c>
      <c r="Q139" s="284" t="inlineStr">
        <is>
          <t>B24008</t>
        </is>
      </c>
      <c r="R139" s="283" t="n">
        <v>0.231</v>
      </c>
      <c r="S139" s="284" t="inlineStr">
        <is>
          <t>B24008-002</t>
        </is>
      </c>
      <c r="T139" s="283" t="n">
        <v>8</v>
      </c>
      <c r="U139" s="283" t="inlineStr">
        <is>
          <t>SASH -(2P1)-75</t>
        </is>
      </c>
      <c r="V139" s="307">
        <f>$I$143-($I$126*2)-75</f>
        <v/>
      </c>
      <c r="W139" s="286">
        <f>$J$120*T139</f>
        <v/>
      </c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  <c r="O140" s="140" t="inlineStr">
        <is>
          <t>8-12mm คิ้วตบกระจกแนวตั้ง</t>
        </is>
      </c>
      <c r="P140" s="140" t="inlineStr">
        <is>
          <t>8-12mm GLAZING BEAD VERTICAL P2</t>
        </is>
      </c>
      <c r="Q140" s="140" t="inlineStr">
        <is>
          <t>B24016</t>
        </is>
      </c>
      <c r="R140" s="143" t="n">
        <v>0.215</v>
      </c>
      <c r="S140" s="140" t="inlineStr">
        <is>
          <t>B24016-002</t>
        </is>
      </c>
      <c r="T140" s="143" t="n">
        <v>8</v>
      </c>
      <c r="U140" s="283" t="inlineStr">
        <is>
          <t>SASH -(2P1)-75</t>
        </is>
      </c>
      <c r="V140" s="307">
        <f>$I$143-($I$126*2)-75</f>
        <v/>
      </c>
      <c r="W140" s="286">
        <f>$J$120*T140</f>
        <v/>
      </c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 (W-60-(4+1)×4)/4</t>
        </is>
      </c>
      <c r="I141" s="178">
        <f>($J$128-60-(4+1)*4)/4</f>
        <v/>
      </c>
      <c r="J141" s="131">
        <f>$J$120*G141</f>
        <v/>
      </c>
      <c r="N141" s="287" t="n"/>
      <c r="O141" s="142" t="inlineStr">
        <is>
          <t>14-22mm คิ้วตบกระจกแนวตั้ง</t>
        </is>
      </c>
      <c r="P141" s="142" t="inlineStr">
        <is>
          <t>14-22mm GLAZING BEAD VERTICAL P2</t>
        </is>
      </c>
      <c r="Q141" s="141" t="inlineStr">
        <is>
          <t>B24013</t>
        </is>
      </c>
      <c r="R141" s="240" t="n">
        <v>0.169</v>
      </c>
      <c r="S141" s="142" t="inlineStr">
        <is>
          <t>B24013-001</t>
        </is>
      </c>
      <c r="T141" s="240" t="n">
        <v>8</v>
      </c>
      <c r="U141" s="213" t="inlineStr">
        <is>
          <t>SASH -(2P1)-75</t>
        </is>
      </c>
      <c r="V141" s="367">
        <f>$I$143-($I$126*2)-75</f>
        <v/>
      </c>
      <c r="W141" s="373">
        <f>$J$120*T141</f>
        <v/>
      </c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 (W-60-(4+1)×4)/4</t>
        </is>
      </c>
      <c r="I142" s="178">
        <f>($J$128-60-(4+1)*4)/4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375" t="inlineStr">
        <is>
          <t>B24007</t>
        </is>
      </c>
      <c r="E143" s="376" t="n">
        <v>1.106</v>
      </c>
      <c r="F143" s="375" t="inlineStr">
        <is>
          <t>B24007-007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375" t="inlineStr">
        <is>
          <t>B24007</t>
        </is>
      </c>
      <c r="E144" s="376" t="n">
        <v>1.106</v>
      </c>
      <c r="F144" s="375" t="inlineStr">
        <is>
          <t>B24007-008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375" t="inlineStr">
        <is>
          <t>B24007</t>
        </is>
      </c>
      <c r="E145" s="376" t="n">
        <v>1.106</v>
      </c>
      <c r="F145" s="375" t="inlineStr">
        <is>
          <t>B24007-009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44">
        <f>IF($D$127=5,W133,IF($D$127=6,W133,IF($D$127=8,W134,IF($D$127=10,W134,IF($D$127=12,W134,IF($D$127=14,W135,IF($D$127=18,W135,IF($D$127=20,W135,IF($D$127=22,W135,)))))))))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44">
        <f>IF($D$127=5,W136,IF($D$127=6,W136,IF($D$127=8,W137,IF($D$127=10,W137,IF($D$127=12,W137,IF($D$127=14,W138,IF($D$127=18,W138,IF($D$127=20,W138,IF($D$127=22,W138,)))))))))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IF($D$127=5,O139,IF($D$127=6,O139,IF($D$127=8,O140,IF($D$127=10,O140,IF($D$127=12,O140,IF($D$127=14,O141,IF($D$127=18,O141,IF($D$127=20,O141,IF($D$127=22,O141,)))))))))</f>
        <v/>
      </c>
      <c r="C148" s="140">
        <f>IF($D$127=5,P139,IF($D$127=6,P139,IF($D$127=8,P140,IF($D$127=10,P140,IF($D$127=12,P140,IF($D$127=14,P141,IF($D$127=18,P141,IF($D$127=20,P141,IF($D$127=22,P141,)))))))))</f>
        <v/>
      </c>
      <c r="D148" s="140">
        <f>IF($D$127=5,Q139,IF($D$127=6,Q139,IF($D$127=8,Q140,IF($D$127=10,Q140,IF($D$127=12,Q140,IF($D$127=14,Q141,IF($D$127=18,Q141,IF($D$127=20,Q141,IF($D$127=22,Q141,)))))))))</f>
        <v/>
      </c>
      <c r="E148" s="140">
        <f>IF($D$127=5,R139,IF($D$127=6,R139,IF($D$127=8,R140,IF($D$127=10,R140,IF($D$127=12,R140,IF($D$127=14,R141,IF($D$127=18,R141,IF($D$127=20,R141,IF($D$127=22,R141,)))))))))</f>
        <v/>
      </c>
      <c r="F148" s="140">
        <f>IF($D$127=5,S139,IF($D$127=6,S139,IF($D$127=8,S140,IF($D$127=10,S140,IF($D$127=12,S140,IF($D$127=14,S141,IF($D$127=18,S141,IF($D$127=20,S141,IF($D$127=22,S141,)))))))))</f>
        <v/>
      </c>
      <c r="G148" s="143">
        <f>IF($D$127=5,T139,IF($D$127=6,T139,IF($D$127=8,T140,IF($D$127=10,T140,IF($D$127=12,T140,IF($D$127=14,T141,IF($D$127=18,T141,IF($D$127=20,T141,IF($D$127=22,T141,)))))))))</f>
        <v/>
      </c>
      <c r="H148" s="143">
        <f>IF($D$127=5,U139,IF($D$127=6,U139,IF($D$127=8,U140,IF($D$127=10,U140,IF($D$127=12,U140,IF($D$127=14,U141,IF($D$127=18,U141,IF($D$127=20,U141,IF($D$127=22,U141,)))))))))</f>
        <v/>
      </c>
      <c r="I148" s="144">
        <f>IF($D$127=5,V139,IF($D$127=6,V139,IF($D$127=8,V140,IF($D$127=10,V140,IF($D$127=12,V140,IF($D$127=14,V141,IF($D$127=18,V141,IF($D$127=20,V141,IF($D$127=22,V141,)))))))))</f>
        <v/>
      </c>
      <c r="J148" s="144">
        <f>IF($D$127=5,W139,IF($D$127=6,W139,IF($D$127=8,W140,IF($D$127=10,W140,IF($D$127=12,W140,IF($D$127=14,W141,IF($D$127=18,W141,IF($D$127=20,W141,IF($D$127=22,W141,)))))))))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ตัวแบ่งบาน</t>
        </is>
      </c>
      <c r="C149" s="140" t="inlineStr">
        <is>
          <t>Door Middle</t>
        </is>
      </c>
      <c r="D149" s="139" t="inlineStr">
        <is>
          <t>B25006</t>
        </is>
      </c>
      <c r="E149" s="143" t="n">
        <v>0.9320000000000001</v>
      </c>
      <c r="F149" s="139" t="inlineStr">
        <is>
          <t>B25006-001</t>
        </is>
      </c>
      <c r="G149" s="143" t="n">
        <v>8</v>
      </c>
      <c r="H149" s="143" t="inlineStr">
        <is>
          <t>(W-185-(113.25 × 3))/4</t>
        </is>
      </c>
      <c r="I149" s="178">
        <f>($J$128-185-(113.25*3))/4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211" t="inlineStr">
        <is>
          <t>ITEM</t>
        </is>
      </c>
      <c r="B154" s="210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2">
        <f>IF(B133="","",1)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ROUNDUP(((F168*G168)+(F169*G169)+(F170*G170))/6400,0)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4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6" t="n"/>
      <c r="I169" s="501" t="n"/>
      <c r="J169" s="501" t="n"/>
    </row>
    <row r="170" outlineLevel="1" ht="15" customFormat="1" customHeight="1" s="23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0" t="n"/>
      <c r="K170" s="278" t="n"/>
      <c r="L170" s="278" t="n"/>
      <c r="M170" s="278" t="n"/>
      <c r="N170" s="278" t="n"/>
      <c r="O170" s="278" t="n"/>
      <c r="P170" s="278" t="n"/>
      <c r="Q170" s="278" t="n"/>
      <c r="R170" s="278" t="n"/>
      <c r="S170" s="278" t="n"/>
      <c r="T170" s="278" t="n"/>
      <c r="U170" s="278" t="n"/>
      <c r="V170" s="278" t="n"/>
      <c r="Y170" s="278" t="n"/>
      <c r="Z170" s="278" t="n"/>
      <c r="AA170" s="278" t="n"/>
      <c r="AB170" s="278" t="n"/>
      <c r="AC170" s="278" t="n"/>
      <c r="AD170" s="278" t="n"/>
      <c r="AE170" s="278" t="n"/>
      <c r="AF170" s="278" t="n"/>
      <c r="AG170" s="278" t="n"/>
      <c r="AH170" s="278" t="n"/>
      <c r="AI170" s="278" t="n"/>
      <c r="AJ170" s="278" t="n"/>
    </row>
    <row r="171" outlineLevel="1" ht="15" customFormat="1" customHeight="1" s="23" thickBot="1">
      <c r="A171" s="213">
        <f>IF(B171="","",+A170+1)</f>
        <v/>
      </c>
      <c r="B171" s="173">
        <f>B149</f>
        <v/>
      </c>
      <c r="C171" s="173">
        <f>C149</f>
        <v/>
      </c>
      <c r="D171" s="570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192">
        <f>ROUNDUP((F171*G171)/6400,0)</f>
        <v/>
      </c>
      <c r="I171" s="501" t="n"/>
      <c r="J171" s="501" t="n"/>
      <c r="K171" s="278" t="n"/>
      <c r="L171" s="278" t="n"/>
      <c r="M171" s="278" t="n"/>
      <c r="N171" s="278" t="n"/>
      <c r="O171" s="278" t="n"/>
      <c r="P171" s="278" t="n"/>
      <c r="Q171" s="278" t="n"/>
      <c r="R171" s="278" t="n"/>
      <c r="S171" s="278" t="n"/>
      <c r="T171" s="278" t="n"/>
      <c r="U171" s="278" t="n"/>
      <c r="V171" s="278" t="n"/>
      <c r="Y171" s="278" t="n"/>
      <c r="Z171" s="278" t="n"/>
      <c r="AA171" s="278" t="n"/>
      <c r="AB171" s="278" t="n"/>
      <c r="AC171" s="278" t="n"/>
      <c r="AD171" s="278" t="n"/>
      <c r="AE171" s="278" t="n"/>
      <c r="AF171" s="278" t="n"/>
      <c r="AG171" s="278" t="n"/>
      <c r="AH171" s="278" t="n"/>
      <c r="AI171" s="278" t="n"/>
      <c r="AJ171" s="278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ตัวรับกลอน</t>
        </is>
      </c>
      <c r="C174" s="140" t="inlineStr">
        <is>
          <t xml:space="preserve">FLUSH BOLT RECEIVER </t>
        </is>
      </c>
      <c r="D174" s="139" t="inlineStr">
        <is>
          <t>04-016</t>
        </is>
      </c>
      <c r="E174" s="143" t="n"/>
      <c r="F174" s="143" t="inlineStr">
        <is>
          <t>04-016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((($I$141*$G$141)+($I$142*$G$142)+($I$143*$G$143)+($I$144*$G$144)+($I$145*$G$145)+($G$149*$I$149*2))/1000)*$J$120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8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((($I$141*$G$141)+($I$142*$G$142)+($I$143*$G$143)+($I$144*$G$144)+($I$145*$G$145)+($G$149*$I$149*2))/1000)*$J$120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((($I$141*$G$141)+($I$142*$G$142)+($I$143*$G$143)+($I$144*$G$144)+($I$145*$G$145)+($G$149*$I$149*2))/1000)*$J$120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((($I$141*$G$141)+($I$142*$G$142)+($I$143*$G$143)+($I$144*$G$144)+($I$145*$G$145)+($G$149*$I$149*2))/1000)*$J$120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64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((($I$141*$G$141)+($I$142*$G$142)+($I$143*$G$143)+($I$144*$G$144)+($I$145*$G$145)+($G$149*$I$149*2))/1000)*$J$120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64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Meetimg Set</t>
        </is>
      </c>
      <c r="D182" s="139" t="inlineStr">
        <is>
          <t>05-010</t>
        </is>
      </c>
      <c r="E182" s="143" t="n"/>
      <c r="F182" s="143" t="inlineStr">
        <is>
          <t>05-010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ชุดบานพับระดับเดียวกัน</t>
        </is>
      </c>
      <c r="C183" s="140" t="inlineStr">
        <is>
          <t>Standard Hinge Handle Set</t>
        </is>
      </c>
      <c r="D183" s="139" t="inlineStr">
        <is>
          <t>05-004</t>
        </is>
      </c>
      <c r="E183" s="143" t="n"/>
      <c r="F183" s="143" t="inlineStr">
        <is>
          <t>05-004</t>
        </is>
      </c>
      <c r="G183" s="143" t="inlineStr">
        <is>
          <t>SET</t>
        </is>
      </c>
      <c r="H183" s="143" t="n">
        <v>2</v>
      </c>
      <c r="I183" s="130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4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44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IF($D$129="Standard",$O$185,IF($D$129="Soumdproof",$O$186,))</f>
        <v/>
      </c>
      <c r="C187" s="139">
        <f>IF($D$129="Standard",$P$185,IF($D$129="Soumdproof",$P$186,))</f>
        <v/>
      </c>
      <c r="D187" s="139">
        <f>IF($D$129="Standard",$Q$185,IF($D$129="Soumdproof",$Q$186,))</f>
        <v/>
      </c>
      <c r="E187" s="143">
        <f>IF($D$129="Standard",R186,IF($D$129="Soumdproof",R187,))</f>
        <v/>
      </c>
      <c r="F187" s="143">
        <f>IF($D$129="Standard",$S$185,IF($D$129="Soumdproof",$S$186,))</f>
        <v/>
      </c>
      <c r="G187" s="143">
        <f>IF($D$129="Standard",$T$185,IF($D$129="Soumdproof",$T$186,))</f>
        <v/>
      </c>
      <c r="H187" s="652">
        <f>IF($D$129="Standard",$U$185,IF($D$129="Soumdproof",$U$186,))</f>
        <v/>
      </c>
      <c r="I187" s="653">
        <f>IF($D$129="Standard",$V$185,IF($D$129="Soumdproof",$V$186,))</f>
        <v/>
      </c>
      <c r="J187" s="654">
        <f>ROUNDUP((H187)/100,0)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((($I$141*$G$141*2)+($I$143*$G$143*2)+($I$144*$G$144*2)+($I$145*$G$145*2))/1000)*$J$120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39">
        <f>IF($D$129="Standard",$O$187,IF($D$129="Soumdproof",$O$188,))</f>
        <v/>
      </c>
      <c r="C188" s="139">
        <f>IF($D$129="Standard",$P$187,IF($D$129="Soumdproof",$P$188,))</f>
        <v/>
      </c>
      <c r="D188" s="139">
        <f>IF($D$129="Standard",$Q$187,IF($D$129="Soumdproof",$Q$188,))</f>
        <v/>
      </c>
      <c r="E188" s="143">
        <f>IF($D$129="Standard",R188,IF($D$129="Soumdproof",R189,))</f>
        <v/>
      </c>
      <c r="F188" s="143">
        <f>IF($D$129="Standard",$S$187,IF($D$129="Soumdproof",$S$188,))</f>
        <v/>
      </c>
      <c r="G188" s="143">
        <f>IF($D$129="Standard",$T$187,IF($D$129="Soumdproof",$T$188,))</f>
        <v/>
      </c>
      <c r="H188" s="652">
        <f>IF($D$129="Standard",$U$187,IF($D$129="Soumdproof",$U$188,))</f>
        <v/>
      </c>
      <c r="I188" s="653">
        <f>IF($D$129="Standard",$V$187,IF($D$129="Soumdproof",$V$188,))</f>
        <v/>
      </c>
      <c r="J188" s="654">
        <f>ROUNDUP((H188)/100,0)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((($I$141*$G$141*2)+($I$143*$G$143*2)+($I$144*$G$144*2)+($I$145*$G$145*2))/1000)*$J$120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296">
        <f>IF($D$127=5,$O$176,IF($D$127=6,$O$177,IF($D$127=8,$O$178,IF($D$127=10,$O$176,IF($D$127=12,$O$176,IF($D$127=14,$O$178,IF($D$127=18,$O$176,IF($D$127=20,$O$177,IF($D$127=22,"")))))))))</f>
        <v/>
      </c>
      <c r="C189" s="296">
        <f>IF($D$127=5,$P$176,IF($D$127=6,$P$177,IF($D$127=8,$P$178,IF($D$127=10,$P$176,IF($D$127=12,$P$176,IF($D$127=14,$P$178,IF($D$127=18,$P$176,IF($D$127=20,$P$177,IF($D$127=22,"")))))))))</f>
        <v/>
      </c>
      <c r="D189" s="296">
        <f>IF($D$127=5,$Q$176,IF($D$127=6,$Q$177,IF($D$127=8,$Q$178,IF($D$127=10,$Q$176,IF($D$127=12,$Q$176,IF($D$127=14,$Q$178,IF($D$127=18,$Q$176,IF($D$127=20,$Q$177,IF($D$127=22,"")))))))))</f>
        <v/>
      </c>
      <c r="E189" s="296">
        <f>IF($D$127=5,R177,IF($D$127=6,R178,IF($D$127=8,R179,IF($D$127=10,R177,IF($D$127=12,R177,IF($D$127=14,R179,IF($D$127=18,R177,IF($D$127=20,R178,IF($D$127=22,"",)))))))))</f>
        <v/>
      </c>
      <c r="F189" s="242">
        <f>IF($D$127=5,$S$176,IF($D$127=6,$S$177,IF($D$127=8,$S$178,IF($D$127=10,$S$176,IF($D$127=12,$S$176,IF($D$127=14,$S$178,IF($D$127=18,$S$176,IF($D$127=20,$S$177,IF($D$127=22,"")))))))))</f>
        <v/>
      </c>
      <c r="G189" s="242">
        <f>IF($D$127=5,$T$176,IF($D$127=6,$T$177,IF($D$127=8,$T$178,IF($D$127=10,$T$176,IF($D$127=12,$T$176,IF($D$127=14,$T$178,IF($D$127=18,$T$176,IF($D$127=20,$T$177,IF($D$127=22,"")))))))))</f>
        <v/>
      </c>
      <c r="H189" s="652">
        <f>IF($D$127=5,$U$176,IF($D$127=6,$U$177,IF($D$127=8,$U$178,IF($D$127=10,$U$176*2,IF($D$127=12,$U$176,IF($D$127=14,$U$178*2,IF($D$127=18,$U$176,IF($D$127=20,$U$177,IF($D$127=22,"")))))))))</f>
        <v/>
      </c>
      <c r="I189" s="653">
        <f>IF($D$127=5,$V$176,IF($D$127=6,$V$177,IF($D$127=8,$V$178,IF($D$127=10,$V$176,IF($D$127=12,$V$176,IF($D$127=14,$V$178,IF($D$127=18,$V$176,IF($D$127=20,$V$177,IF($D$127=22,"")))))))))</f>
        <v/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296">
        <f>IF($D$127=5,$O$174,IF($D$127=6,$O$174,IF($D$127=8,$O$176,IF($D$127=10,"",IF($D$127=12,$O$175,IF($D$127=14,"",IF($D$127=18,$O$174,IF($D$127=20,$O$175,IF($D$127=22,"",)))))))))</f>
        <v/>
      </c>
      <c r="C190" s="296">
        <f>IF($D$127=5,$P$174,IF($D$127=6,$P$174,IF($D$127=8,$P$176,IF($D$127=10,"",IF($D$127=12,$P$175,IF($D$127=14,"",IF($D$127=18,$P$174,IF($D$127=20,$P$175,IF($D$127=22,"",)))))))))</f>
        <v/>
      </c>
      <c r="D190" s="296">
        <f>IF($D$127=5,$Q$174,IF($D$127=6,$Q$174,IF($D$127=8,$Q$176,IF($D$127=10,"",IF($D$127=12,$Q$175,IF($D$127=14,"",IF($D$127=18,$Q$174,IF($D$127=20,$Q$175,IF($D$127=22,"",)))))))))</f>
        <v/>
      </c>
      <c r="E190" s="296">
        <f>IF($D$127=5,R175,IF($D$127=6,R175,IF($D$127=8,R177,IF($D$127=10,"",IF($D$127=12,R176,IF($D$127=14,"",IF($D$127=18,R175,IF($D$127=20,R176,IF($D$127=22,"",)))))))))</f>
        <v/>
      </c>
      <c r="F190" s="242">
        <f>IF($D$127=5,$S$174,IF($D$127=6,$S$174,IF($D$127=8,$S$176,IF($D$127=10,"",IF($D$127=12,$S$175,IF($D$127=14,"",IF($D$127=18,$S$174,IF($D$127=20,$S$175,IF($D$127=22,"",)))))))))</f>
        <v/>
      </c>
      <c r="G190" s="242">
        <f>IF($D$127=5,$T$174,IF($D$127=6,$T$174,IF($D$127=8,$T$176,IF($D$127=10,"",IF($D$127=12,$T$175,IF($D$127=14,"",IF($D$127=18,$T$174,IF($D$127=20,$T$175,IF($D$127=22,"",)))))))))</f>
        <v/>
      </c>
      <c r="H190" s="652">
        <f>IF($D$127=5,$U$174,IF($D$127=6,$U$174,IF($D$127=8,$U$176,IF($D$127=10,"",IF($D$127=12,$U$175,IF($D$127=14,"",IF($D$127=18,$U$174,IF($D$127=20,$U$175,IF($D$127=22,"")))))))))</f>
        <v/>
      </c>
      <c r="I190" s="653">
        <f>IF($D$127=5,$V$174,IF($D$127=6,$V$174,IF($D$127=8,$V$176,IF($D$127=10,"",IF($D$127=12,$V$175,IF($D$127=14,"",IF($D$127=18,$V$174,IF($D$127=20,$V$175,IF($D$127=22,"",)))))))))</f>
        <v/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44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Height="1" s="344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  <c r="Y194" s="278" t="n"/>
      <c r="Z194" s="278" t="n"/>
      <c r="AA194" s="278" t="n"/>
      <c r="AB194" s="278" t="n"/>
      <c r="AC194" s="278" t="n"/>
      <c r="AD194" s="278" t="n"/>
      <c r="AE194" s="278" t="n"/>
      <c r="AF194" s="278" t="n"/>
      <c r="AG194" s="278" t="n"/>
      <c r="AH194" s="278" t="n"/>
      <c r="AI194" s="278" t="n"/>
      <c r="AJ194" s="278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IF(B197="","",+""+1)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 t="n"/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 t="n"/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 t="n"/>
    </row>
    <row r="200" ht="18" customFormat="1" customHeight="1" s="278">
      <c r="A200" s="201" t="n"/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 t="n"/>
    </row>
    <row r="201" ht="18" customFormat="1" customHeight="1" s="278">
      <c r="A201" s="201" t="n"/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 t="n"/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 t="n"/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IF(B204="","",+""+1)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B215" s="93" t="n"/>
      <c r="C215" s="278" t="n"/>
      <c r="D215" s="161" t="n"/>
      <c r="E215" s="35" t="n"/>
      <c r="F215" s="160" t="n"/>
      <c r="I215" s="160" t="n"/>
      <c r="J215" s="532" t="n"/>
    </row>
    <row r="216" ht="15" customFormat="1" customHeight="1" s="278">
      <c r="A216" s="109" t="n"/>
      <c r="B216" s="278" t="n"/>
      <c r="C216" s="89" t="n"/>
      <c r="D216" s="161" t="n"/>
      <c r="E216" s="35" t="n"/>
      <c r="F216" s="161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H220" s="89" t="inlineStr">
        <is>
          <t>Door Middle</t>
        </is>
      </c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94" t="inlineStr">
        <is>
          <t>= ((Frame Width - 185-(113.25 × 3))/4</t>
        </is>
      </c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H222" s="542" t="inlineStr">
        <is>
          <t xml:space="preserve"> ((ความกว้างวงกบ - 185-(113.25 × 3))/4</t>
        </is>
      </c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H223" s="656">
        <f>$I$149</f>
        <v/>
      </c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H224" s="657">
        <f>$J$149</f>
        <v/>
      </c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J272" s="109" t="n"/>
    </row>
    <row r="273" ht="15.9" customFormat="1" customHeight="1" s="278">
      <c r="A273" s="27" t="n"/>
      <c r="D273" s="328" t="n"/>
      <c r="E273" s="328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328" t="n"/>
      <c r="E274" s="328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278" t="n"/>
      <c r="D275" s="161" t="n"/>
      <c r="E275" s="109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89" t="inlineStr">
        <is>
          <t xml:space="preserve">                   Door Stop Jamb</t>
        </is>
      </c>
      <c r="D276" s="162" t="n"/>
      <c r="E276" s="501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328" t="inlineStr">
        <is>
          <t xml:space="preserve">                          = FAME HIGHT - 96</t>
        </is>
      </c>
      <c r="D277" s="328" t="n"/>
      <c r="E277" s="328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542" t="inlineStr">
        <is>
          <t xml:space="preserve">                          ความสูง (วงกบ) - 96</t>
        </is>
      </c>
      <c r="D278" s="542" t="n"/>
      <c r="E278" s="542" t="n"/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6">
        <f>$I$139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657">
        <f>$J$139+$J$140</f>
        <v/>
      </c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C284" s="278" t="n"/>
      <c r="D284" s="161" t="n"/>
      <c r="E284" s="109" t="n"/>
      <c r="F284" s="109" t="n"/>
      <c r="G284" s="109" t="n"/>
      <c r="H284" s="109" t="n"/>
      <c r="J284" s="109" t="n"/>
    </row>
    <row r="285" ht="15.9" customFormat="1" customHeight="1" s="278">
      <c r="A285" s="27" t="n"/>
      <c r="B285" s="278" t="n"/>
      <c r="F285" s="109" t="n"/>
      <c r="G285" s="109" t="n"/>
      <c r="H285" s="109" t="n"/>
      <c r="J285" s="109" t="n"/>
    </row>
    <row r="286" ht="15.9" customFormat="1" customHeight="1" s="278">
      <c r="A286" s="27" t="n"/>
      <c r="B286" s="278" t="n"/>
      <c r="F286" s="109" t="n"/>
      <c r="G286" s="109" t="n"/>
      <c r="H286" s="109" t="n"/>
      <c r="I286" s="162" t="n"/>
      <c r="J286" s="501" t="n"/>
    </row>
    <row r="287" ht="15.9" customFormat="1" customHeight="1" s="278">
      <c r="A287" s="27" t="n"/>
      <c r="B287" s="278" t="n"/>
      <c r="C287" s="89" t="inlineStr">
        <is>
          <t xml:space="preserve">                   Sash</t>
        </is>
      </c>
      <c r="F287" s="109" t="n"/>
      <c r="G287" s="109" t="n"/>
      <c r="H287" s="109" t="n"/>
      <c r="I287" s="109" t="n"/>
      <c r="J287" s="501" t="n"/>
    </row>
    <row r="288" ht="15.9" customFormat="1" customHeight="1" s="278">
      <c r="A288" s="27" t="n"/>
      <c r="B288" s="278" t="n"/>
      <c r="C288" s="94" t="inlineStr">
        <is>
          <t xml:space="preserve">                          = ((Frame Width - 185-(113.25 × 3))/4</t>
        </is>
      </c>
      <c r="D288" s="161" t="n"/>
      <c r="E288" s="109" t="n"/>
      <c r="F288" s="109" t="n"/>
      <c r="G288" s="109" t="n"/>
      <c r="H288" s="109" t="n"/>
      <c r="I288" s="501" t="n"/>
      <c r="J288" s="501" t="n"/>
    </row>
    <row r="289" ht="15.9" customFormat="1" customHeight="1" s="278">
      <c r="A289" s="27" t="n"/>
      <c r="B289" s="278" t="n"/>
      <c r="C289" s="542" t="inlineStr">
        <is>
          <t xml:space="preserve">                          ((ความกว้างวงกบ - 185-(113.25 × 3))/4</t>
        </is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328" t="inlineStr">
        <is>
          <t xml:space="preserve">                          = FAME HIGHT - 92.00</t>
        </is>
      </c>
      <c r="D290" s="328" t="n"/>
      <c r="E290" s="328" t="n"/>
      <c r="F290" s="109" t="n"/>
      <c r="G290" s="109" t="n"/>
      <c r="I290" s="501" t="n"/>
      <c r="J290" s="501" t="n"/>
    </row>
    <row r="291" ht="15.9" customFormat="1" customHeight="1" s="23">
      <c r="A291" s="27" t="n"/>
      <c r="B291" s="278" t="n"/>
      <c r="C291" s="542" t="inlineStr">
        <is>
          <t xml:space="preserve">                          ความสูง (วงกบ) - 92.00</t>
        </is>
      </c>
      <c r="D291" s="542" t="n"/>
      <c r="E291" s="542" t="n"/>
      <c r="F291" s="109" t="n"/>
      <c r="G291" s="109" t="n"/>
      <c r="H291" s="278" t="n"/>
      <c r="I291" s="109" t="n"/>
      <c r="J291" s="109" t="n"/>
    </row>
    <row r="292" ht="15.9" customFormat="1" customHeight="1" s="278">
      <c r="A292" s="27" t="n"/>
      <c r="B292" s="278" t="n"/>
      <c r="C292" s="656">
        <f>$I$141</f>
        <v/>
      </c>
      <c r="F292" s="109" t="n"/>
      <c r="G292" s="109" t="n"/>
      <c r="I292" s="44" t="n"/>
      <c r="J292" s="119" t="n"/>
    </row>
    <row r="293" ht="15.9" customFormat="1" customHeight="1" s="278">
      <c r="A293" s="27" t="n"/>
      <c r="B293" s="278" t="n"/>
      <c r="C293" s="657">
        <f>$J$141+$J$142</f>
        <v/>
      </c>
      <c r="D293" s="161" t="n"/>
      <c r="E293" s="109" t="n"/>
      <c r="F293" s="109" t="n"/>
      <c r="G293" s="109" t="n"/>
      <c r="H293" s="161" t="n"/>
      <c r="I293" s="32" t="n"/>
      <c r="J293" s="40" t="n"/>
    </row>
    <row r="294" ht="15.9" customFormat="1" customHeight="1" s="278">
      <c r="A294" s="27" t="n"/>
      <c r="B294" s="278" t="n"/>
      <c r="C294" s="656">
        <f>$I$143</f>
        <v/>
      </c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657">
        <f>$J$143+$J$144+$J$145</f>
        <v/>
      </c>
      <c r="D295" s="161" t="n"/>
      <c r="E295" s="109" t="n"/>
      <c r="F295" s="109" t="n"/>
      <c r="G295" s="109" t="n"/>
      <c r="H295" s="109" t="n"/>
      <c r="I295" s="501" t="n"/>
      <c r="J295" s="501" t="n"/>
    </row>
    <row r="296" ht="15.9" customFormat="1" customHeight="1" s="278">
      <c r="A296" s="27" t="n"/>
      <c r="B296" s="278" t="n"/>
      <c r="D296" s="161" t="n"/>
      <c r="E296" s="109" t="n"/>
      <c r="F296" s="109" t="n"/>
      <c r="G296" s="109" t="n"/>
      <c r="H296" s="109" t="n"/>
      <c r="I296" s="501" t="n"/>
      <c r="J296" s="501" t="n"/>
    </row>
    <row r="297" ht="15.9" customFormat="1" customHeight="1" s="278">
      <c r="A297" s="27" t="n"/>
      <c r="B297" s="278" t="n"/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78">
      <c r="A298" s="27" t="n"/>
      <c r="B298" s="278" t="n"/>
      <c r="C298" s="278" t="n"/>
      <c r="D298" s="161" t="n"/>
      <c r="E298" s="109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27" t="n"/>
      <c r="B299" s="278" t="n"/>
      <c r="C299" s="23" t="n"/>
      <c r="D299" s="161" t="n"/>
      <c r="E299" s="109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27" t="n"/>
      <c r="B300" s="278" t="n"/>
      <c r="C300" s="89" t="inlineStr">
        <is>
          <t xml:space="preserve">                   Glazing Bead</t>
        </is>
      </c>
      <c r="D300" s="161" t="n"/>
      <c r="E300" s="109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27" t="n"/>
      <c r="B301" s="278" t="n"/>
      <c r="C301" s="94" t="inlineStr">
        <is>
          <t xml:space="preserve">                          = ((Frame Width - 185-(113.25 × 3))/4</t>
        </is>
      </c>
      <c r="D301" s="161" t="n"/>
      <c r="E301" s="109" t="n"/>
      <c r="F301" s="109" t="n"/>
      <c r="G301" s="44" t="n"/>
      <c r="H301" s="44" t="n"/>
      <c r="I301" s="109" t="n"/>
      <c r="J301" s="501" t="n"/>
    </row>
    <row r="302" ht="15.9" customFormat="1" customHeight="1" s="278">
      <c r="A302" s="27" t="n"/>
      <c r="B302" s="278" t="n"/>
      <c r="C302" s="542" t="inlineStr">
        <is>
          <t xml:space="preserve">                          ((ความกว้าง (วงกบ) - 185-(113.25 × 3))/4</t>
        </is>
      </c>
      <c r="D302" s="328" t="n"/>
      <c r="E302" s="328" t="n"/>
      <c r="F302" s="109" t="n"/>
      <c r="G302" s="40" t="n"/>
      <c r="H302" s="32" t="n"/>
      <c r="I302" s="109" t="n"/>
      <c r="J302" s="501" t="n"/>
    </row>
    <row r="303" ht="15.9" customFormat="1" customHeight="1" s="278">
      <c r="A303" s="101" t="n"/>
      <c r="B303" s="278" t="n"/>
      <c r="C303" s="328" t="inlineStr">
        <is>
          <t xml:space="preserve">                          = FAME HIGHT - 242.00</t>
        </is>
      </c>
      <c r="D303" s="542" t="n"/>
      <c r="E303" s="542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44" t="n"/>
      <c r="B304" s="44" t="n"/>
      <c r="C304" s="542" t="inlineStr">
        <is>
          <t xml:space="preserve">                          ความสูง (วงกบ) - 242.00</t>
        </is>
      </c>
      <c r="D304" s="86" t="n"/>
      <c r="E304" s="79" t="n"/>
      <c r="F304" s="44" t="n"/>
      <c r="G304" s="109" t="n"/>
      <c r="H304" s="109" t="n"/>
      <c r="I304" s="109" t="n"/>
      <c r="J304" s="501" t="n"/>
    </row>
    <row r="305" ht="15.9" customFormat="1" customHeight="1" s="278">
      <c r="A305" s="40" t="n"/>
      <c r="B305" s="40" t="n"/>
      <c r="C305" s="656">
        <f>$I$146</f>
        <v/>
      </c>
      <c r="D305" s="87" t="n"/>
      <c r="E305" s="80" t="n"/>
      <c r="F305" s="32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657">
        <f>$J$146</f>
        <v/>
      </c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656">
        <f>$I$147</f>
        <v/>
      </c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7">
        <f>$J$147</f>
        <v/>
      </c>
      <c r="D308" s="161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89" t="n"/>
      <c r="D312" s="161" t="n"/>
      <c r="E312" s="109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44" t="n"/>
      <c r="B444" s="278" t="n"/>
      <c r="C444" s="43" t="n"/>
      <c r="D444" s="161" t="n"/>
      <c r="E444" s="109" t="n"/>
      <c r="F444" s="109" t="n"/>
      <c r="H444" s="44" t="n"/>
      <c r="I444" s="44" t="n"/>
      <c r="J444" s="119" t="n"/>
    </row>
    <row r="445" ht="15.9" customFormat="1" customHeight="1" s="278">
      <c r="A445" s="40" t="n"/>
      <c r="C445" s="44" t="n"/>
      <c r="D445" s="84" t="n"/>
      <c r="E445" s="44" t="n"/>
      <c r="F445" s="44" t="n"/>
      <c r="H445" s="44" t="n"/>
      <c r="I445" s="44" t="n"/>
      <c r="J445" s="119" t="n"/>
    </row>
    <row r="446" ht="15.6" customHeight="1" s="344">
      <c r="B446" s="64" t="n"/>
      <c r="C446" s="163" t="n"/>
      <c r="D446" s="161" t="n"/>
      <c r="E446" s="109" t="n"/>
      <c r="F446" s="161" t="n"/>
      <c r="G446" s="109" t="n"/>
      <c r="H446" s="109" t="n"/>
    </row>
    <row r="451" ht="15.9" customFormat="1" customHeight="1" s="278">
      <c r="A451" s="109" t="n"/>
      <c r="D451" s="345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44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3" t="n"/>
      <c r="D457" s="161" t="n"/>
      <c r="E457" s="109" t="n"/>
      <c r="F457" s="161" t="n"/>
      <c r="G457" s="109" t="n"/>
      <c r="H457" s="109" t="n"/>
      <c r="I457" s="109" t="n"/>
      <c r="J457" s="501" t="n"/>
    </row>
    <row r="458" ht="15.9" customFormat="1" customHeight="1" s="278">
      <c r="A458" s="109" t="n"/>
      <c r="B458" s="278" t="n"/>
      <c r="C458" s="161" t="n"/>
      <c r="D458" s="161" t="n"/>
      <c r="E458" s="109" t="n"/>
      <c r="F458" s="161" t="n"/>
      <c r="G458" s="109" t="n"/>
      <c r="H458" s="109" t="n"/>
      <c r="I458" s="501" t="n"/>
      <c r="J458" s="501" t="n"/>
    </row>
    <row r="459" ht="15.9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7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109" t="n"/>
      <c r="J478" s="109" t="n"/>
    </row>
    <row r="479" ht="15.9" customFormat="1" customHeight="1" s="278">
      <c r="A479" s="44" t="n"/>
      <c r="B479" s="278" t="n"/>
      <c r="C479" s="278" t="n"/>
      <c r="D479" s="161" t="n"/>
      <c r="E479" s="109" t="n"/>
      <c r="F479" s="109" t="n"/>
      <c r="G479" s="109" t="n"/>
      <c r="H479" s="109" t="n"/>
      <c r="I479" s="44" t="n"/>
      <c r="J479" s="119" t="n"/>
    </row>
    <row r="480" ht="15.9" customFormat="1" customHeight="1" s="278">
      <c r="A480" s="40" t="n"/>
      <c r="B480" s="44" t="n"/>
      <c r="C480" s="44" t="n"/>
      <c r="D480" s="84" t="n"/>
      <c r="E480" s="44" t="n"/>
      <c r="F480" s="44" t="n"/>
      <c r="G480" s="44" t="n"/>
      <c r="H480" s="44" t="n"/>
      <c r="I480" s="32" t="n"/>
      <c r="J480" s="40" t="n"/>
    </row>
    <row r="481" ht="15.9" customFormat="1" customHeight="1" s="278">
      <c r="A481" s="27" t="n"/>
      <c r="B481" s="40" t="n"/>
      <c r="C481" s="44" t="n"/>
      <c r="D481" s="85" t="n"/>
      <c r="E481" s="40" t="n"/>
      <c r="F481" s="32" t="n"/>
      <c r="G481" s="40" t="n"/>
      <c r="H481" s="32" t="n"/>
      <c r="I481" s="501" t="n"/>
      <c r="J481" s="501" t="n"/>
    </row>
    <row r="482" ht="15.9" customFormat="1" customHeight="1" s="278">
      <c r="A482" s="27" t="n"/>
      <c r="B482" s="278" t="n"/>
      <c r="C482" s="93" t="n"/>
      <c r="D482" s="161" t="n"/>
      <c r="E482" s="109" t="n"/>
      <c r="F482" s="109" t="n"/>
      <c r="G482" s="109" t="n"/>
      <c r="H482" s="93" t="n"/>
      <c r="I482" s="287" t="n"/>
      <c r="J482" s="302" t="n"/>
    </row>
    <row r="483" ht="15.9" customFormat="1" customHeight="1" s="278">
      <c r="A483" s="27" t="n"/>
      <c r="B483" s="278" t="n"/>
      <c r="C483" s="163" t="n"/>
      <c r="D483" s="161" t="n"/>
      <c r="E483" s="109" t="n"/>
      <c r="F483" s="109" t="n"/>
      <c r="G483" s="109" t="n"/>
      <c r="H483" s="287" t="n"/>
      <c r="I483" s="278" t="n"/>
      <c r="J483" s="109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278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87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D496" s="161" t="n"/>
      <c r="E496" s="109" t="n"/>
      <c r="F496" s="109" t="n"/>
      <c r="G496" s="278" t="n"/>
      <c r="H496" s="278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63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87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161" t="n"/>
      <c r="D503" s="161" t="n"/>
      <c r="E503" s="109" t="n"/>
      <c r="F503" s="109" t="n"/>
      <c r="G503" s="109" t="n"/>
      <c r="H503" s="93" t="n"/>
      <c r="I503" s="287" t="n"/>
      <c r="J503" s="302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87" t="n"/>
      <c r="I504" s="278" t="n"/>
      <c r="J504" s="109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501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109" t="n"/>
      <c r="I515" s="109" t="n"/>
      <c r="J515" s="501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368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370">
        <f>$I$126-85.5</f>
        <v/>
      </c>
      <c r="E521" s="186" t="inlineStr">
        <is>
          <t>-</t>
        </is>
      </c>
      <c r="F521" s="658" t="inlineStr">
        <is>
          <t>PANEL 1 Height - 85.5</t>
        </is>
      </c>
      <c r="G521" s="659" t="n"/>
      <c r="H521" s="186" t="inlineStr">
        <is>
          <t>((W-185-(113.25 × 3)/4)-13</t>
        </is>
      </c>
      <c r="I521" s="370">
        <f>(($J$128-185-(113.25*3))/4)-13</f>
        <v/>
      </c>
      <c r="J521" s="151">
        <f>$J$120*8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143">
        <f>IF(C522="","",+A521+1)</f>
        <v/>
      </c>
      <c r="B522" s="295">
        <f>IF($D$127=5,N521,IF($D$127=6,N522,IF($D$127=8,N523,IF($D$127=10,N524,IF($D$127=12,N525,IF($D$127=14,N526,IF($D$127=18,N527,IF($D$127=20,N528,IF($D$127=22,N529,)))))))))</f>
        <v/>
      </c>
      <c r="C522" s="295">
        <f>IF($D$127=5,O521,IF($D$127=6,O522,IF($D$127=8,O523,IF($D$127=10,O524,IF($D$127=12,O525,IF($D$127=14,O526,IF($D$127=18,O527,IF($D$127=20,O528,IF($D$127=22,O529,)))))))))</f>
        <v/>
      </c>
      <c r="D522" s="371">
        <f>$J$126-48</f>
        <v/>
      </c>
      <c r="E522" s="242" t="n"/>
      <c r="F522" s="676" t="inlineStr">
        <is>
          <t>PANEL 2 Height - 48</t>
        </is>
      </c>
      <c r="G522" s="671" t="n"/>
      <c r="H522" s="242" t="inlineStr">
        <is>
          <t>((W-185-(113.25 × 3)/4)-13</t>
        </is>
      </c>
      <c r="I522" s="371">
        <f>(($J$128-185-(113.25*3))/4)-13</f>
        <v/>
      </c>
      <c r="J522" s="299">
        <f>$J$120*4</f>
        <v/>
      </c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143">
        <f>IF(C523="","",+A522+1)</f>
        <v/>
      </c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IF(C524="","",+A523+1)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IF(C525="","",+A524+1)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4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28:I129"/>
    <mergeCell ref="I154:J154"/>
    <mergeCell ref="F522:G522"/>
    <mergeCell ref="D129:G129"/>
    <mergeCell ref="D123:G123"/>
    <mergeCell ref="A117:J117"/>
    <mergeCell ref="J123:J124"/>
    <mergeCell ref="I166:J167"/>
    <mergeCell ref="F521:G521"/>
    <mergeCell ref="I156:J156"/>
    <mergeCell ref="A320:J320"/>
    <mergeCell ref="H159:H160"/>
    <mergeCell ref="F331:G331"/>
    <mergeCell ref="H120:I121"/>
    <mergeCell ref="F334:G334"/>
    <mergeCell ref="F330:G330"/>
    <mergeCell ref="D119:G119"/>
    <mergeCell ref="J128:J129"/>
    <mergeCell ref="H168:H170"/>
    <mergeCell ref="I155:J155"/>
    <mergeCell ref="A6:J6"/>
    <mergeCell ref="I161:J161"/>
    <mergeCell ref="D161:D162"/>
    <mergeCell ref="A427:J427"/>
    <mergeCell ref="I170:J170"/>
    <mergeCell ref="A172:J172"/>
    <mergeCell ref="J120:J121"/>
    <mergeCell ref="I157:J157"/>
    <mergeCell ref="A125:B125"/>
    <mergeCell ref="A519:J519"/>
    <mergeCell ref="D159:D160"/>
    <mergeCell ref="I159:J160"/>
    <mergeCell ref="H123:I124"/>
    <mergeCell ref="A213:J213"/>
    <mergeCell ref="D163:D167"/>
    <mergeCell ref="D168:D170"/>
  </mergeCells>
  <dataValidations count="4">
    <dataValidation sqref="D123:G123" showDropDown="0" showInputMessage="1" showErrorMessage="1" allowBlank="1" type="list">
      <formula1>$P$119:$P$128</formula1>
    </dataValidation>
    <dataValidation sqref="D129:G129" showDropDown="0" showInputMessage="1" showErrorMessage="1" allowBlank="1" type="list">
      <formula1>$O$120</formula1>
    </dataValidation>
    <dataValidation sqref="C206" showDropDown="0" showInputMessage="1" showErrorMessage="1" allowBlank="1" type="list">
      <formula1>$AA$174:$AA$192</formula1>
    </dataValidation>
    <dataValidation sqref="D127:G127" showDropDown="0" showInputMessage="1" showErrorMessage="1" allowBlank="1" type="list">
      <formula1>$N$120:$N$128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8">
    <tabColor theme="5" tint="-0.249977111117893"/>
    <outlinePr summaryBelow="1" summaryRight="1"/>
    <pageSetUpPr/>
  </sheetPr>
  <dimension ref="A2:AI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width="9.109375" customWidth="1" style="344" min="13" max="13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1093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(3L1R)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FG-240-4P3L1R-01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275" t="inlineStr">
        <is>
          <t>Black</t>
        </is>
      </c>
      <c r="E125" s="276" t="n"/>
      <c r="F125" s="276" t="n"/>
      <c r="G125" s="277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8</v>
      </c>
      <c r="U133" s="283" t="inlineStr">
        <is>
          <t>(W-185-(113.25 × 3))/4</t>
        </is>
      </c>
      <c r="V133" s="307">
        <f>($J$126-185-(113.25*3))/4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8</v>
      </c>
      <c r="U134" s="283" t="inlineStr">
        <is>
          <t>(W-185-(113.25 × 3))/5</t>
        </is>
      </c>
      <c r="V134" s="307">
        <f>($J$126-185-(113.25*3))/4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8</v>
      </c>
      <c r="U135" s="283" t="inlineStr">
        <is>
          <t>(W-185-(113.25 × 3))/6</t>
        </is>
      </c>
      <c r="V135" s="307">
        <f>($J$126-185-(113.25*3))/4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8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8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8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 (W-60-(4+1)×4)/4</t>
        </is>
      </c>
      <c r="I141" s="178">
        <f>($J$126-60-(4+1)*4)/4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 (W-60-(4+1)×4)/4</t>
        </is>
      </c>
      <c r="I142" s="178">
        <f>($J$126-60-(4+1)*4)/4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ตัวรับกลอน</t>
        </is>
      </c>
      <c r="C174" s="140" t="inlineStr">
        <is>
          <t xml:space="preserve">FLUSH BOLT RECEIVER </t>
        </is>
      </c>
      <c r="D174" s="139" t="inlineStr">
        <is>
          <t>04-015</t>
        </is>
      </c>
      <c r="E174" s="143" t="n"/>
      <c r="F174" s="143" t="inlineStr">
        <is>
          <t>04-015</t>
        </is>
      </c>
      <c r="G174" s="143" t="inlineStr">
        <is>
          <t>PC</t>
        </is>
      </c>
      <c r="H174" s="143" t="n">
        <v>1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ตัวรับกลอน</t>
        </is>
      </c>
      <c r="C175" s="140" t="inlineStr">
        <is>
          <t xml:space="preserve">FLUSH BOLT RECEIVER </t>
        </is>
      </c>
      <c r="D175" s="139" t="inlineStr">
        <is>
          <t>04-016</t>
        </is>
      </c>
      <c r="E175" s="143" t="n"/>
      <c r="F175" s="143" t="inlineStr">
        <is>
          <t>04-016</t>
        </is>
      </c>
      <c r="G175" s="143" t="inlineStr">
        <is>
          <t>PC</t>
        </is>
      </c>
      <c r="H175" s="143" t="n">
        <v>1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หมอนรองกระจก</t>
        </is>
      </c>
      <c r="C176" s="140" t="inlineStr">
        <is>
          <t>SETTING BLOCK</t>
        </is>
      </c>
      <c r="D176" s="139" t="inlineStr">
        <is>
          <t>02-037</t>
        </is>
      </c>
      <c r="E176" s="143" t="n"/>
      <c r="F176" s="143" t="inlineStr">
        <is>
          <t>02-037</t>
        </is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ประเก็นเฟรมบน</t>
        </is>
      </c>
      <c r="C177" s="140" t="inlineStr">
        <is>
          <t>FRAME SEAL BI-FOLD HEAD (L/R)</t>
        </is>
      </c>
      <c r="D177" s="139" t="inlineStr">
        <is>
          <t>02-015</t>
        </is>
      </c>
      <c r="E177" s="143" t="n"/>
      <c r="F177" s="143" t="inlineStr">
        <is>
          <t>02-015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ประเก็นเฟรมล่าง</t>
        </is>
      </c>
      <c r="C178" s="140" t="inlineStr">
        <is>
          <t>FRAME SEAL BI-FOLD SILL (L/R)</t>
        </is>
      </c>
      <c r="D178" s="139" t="inlineStr">
        <is>
          <t>02-016</t>
        </is>
      </c>
      <c r="E178" s="143" t="n"/>
      <c r="F178" s="143" t="inlineStr">
        <is>
          <t>02-016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38</t>
        </is>
      </c>
      <c r="C179" s="140" t="inlineStr">
        <is>
          <t>#8x38 mm. SS PH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8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12</t>
        </is>
      </c>
      <c r="C180" s="140" t="inlineStr">
        <is>
          <t>#8x12 mm. CSK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110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ชุดล้อแขวนบานเปิด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1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ชุดบานพับต่างระดับมีมือจับ</t>
        </is>
      </c>
      <c r="C184" s="140" t="inlineStr">
        <is>
          <t>offset Hinge Handle Set</t>
        </is>
      </c>
      <c r="D184" s="139" t="inlineStr">
        <is>
          <t>05-005</t>
        </is>
      </c>
      <c r="E184" s="143" t="n"/>
      <c r="F184" s="143" t="inlineStr">
        <is>
          <t>05-005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กลอนสวิง 250 มม.</t>
        </is>
      </c>
      <c r="C187" s="140" t="inlineStr">
        <is>
          <t>Surface mounted flush bolt</t>
        </is>
      </c>
      <c r="D187" s="139" t="inlineStr">
        <is>
          <t>00-020-25</t>
        </is>
      </c>
      <c r="E187" s="143" t="n"/>
      <c r="F187" s="143" t="inlineStr">
        <is>
          <t>00-020-25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((($I$141*$G$141*2)+($I$142*$G$142*2)+($I$143*$G$143*2))/1000)*$J$120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กลอนสวิง 900 มม.</t>
        </is>
      </c>
      <c r="C188" s="140" t="inlineStr">
        <is>
          <t>Surface mounted flush bolt</t>
        </is>
      </c>
      <c r="D188" s="139" t="inlineStr">
        <is>
          <t>00-020-90</t>
        </is>
      </c>
      <c r="E188" s="143" t="n"/>
      <c r="F188" s="143" t="inlineStr">
        <is>
          <t>00-020-90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((($I$141*$G$141*2)+($I$142*$G$142*2)+($I$143*$G$143*2))/1000)*$J$120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ตัวประคองสลักล็อค</t>
        </is>
      </c>
      <c r="C189" s="140" t="inlineStr">
        <is>
          <t>Guide twin Bolt Rods</t>
        </is>
      </c>
      <c r="D189" s="139" t="inlineStr">
        <is>
          <t>04-009</t>
        </is>
      </c>
      <c r="E189" s="143" t="n"/>
      <c r="F189" s="143" t="inlineStr">
        <is>
          <t>04-009</t>
        </is>
      </c>
      <c r="G189" s="143" t="inlineStr">
        <is>
          <t>PC</t>
        </is>
      </c>
      <c r="H189" s="143" t="n">
        <v>4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รางเสริมเปลี่ยนล้อ</t>
        </is>
      </c>
      <c r="C190" s="140" t="inlineStr">
        <is>
          <t>35 SERIES TRACK INSERT</t>
        </is>
      </c>
      <c r="D190" s="139" t="inlineStr">
        <is>
          <t>04-004</t>
        </is>
      </c>
      <c r="E190" s="143" t="n"/>
      <c r="F190" s="143" t="inlineStr">
        <is>
          <t>04-004</t>
        </is>
      </c>
      <c r="G190" s="143" t="inlineStr">
        <is>
          <t>PC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((($I$148*$G$148)+($I$149*$G$149))/1000)*$J$120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((($I$144*$G$144)+($I$145*$G$145))/1000)*$J$120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IF($D$129="Standard",$O$185,IF($D$129="Soumdproof",$O$186,))</f>
        <v/>
      </c>
      <c r="C193" s="139">
        <f>IF($D$129="Standard",$P$185,IF($D$129="Soumdproof",$P$186,))</f>
        <v/>
      </c>
      <c r="D193" s="139">
        <f>IF($D$129="Standard",$Q$185,IF($D$129="Soumdproof",$Q$186,))</f>
        <v/>
      </c>
      <c r="E193" s="143">
        <f>IF($D$129="Standard",R191,IF($D$129="Soumdproof",R192,))</f>
        <v/>
      </c>
      <c r="F193" s="143">
        <f>IF($D$129="Standard",$S$185,IF($D$129="Soumdproof",$S$186,))</f>
        <v/>
      </c>
      <c r="G193" s="143">
        <f>IF($D$129="Standard",$T$185,IF($D$129="Soumdproof",$T$186,))</f>
        <v/>
      </c>
      <c r="H193" s="652">
        <f>IF($D$129="Standard",$U$185,IF($D$129="Soumdproof",$U$186,))</f>
        <v/>
      </c>
      <c r="I193" s="653">
        <f>IF($D$129="Standard",$V$185,IF($D$129="Soumdproof",$V$186,))</f>
        <v/>
      </c>
      <c r="J193" s="654">
        <f>ROUNDUP((H193)/100,0)</f>
        <v/>
      </c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</row>
    <row r="194" ht="18" customHeight="1" s="344">
      <c r="A194" s="201">
        <f>IF(B194="","",+A193+1)</f>
        <v/>
      </c>
      <c r="B194" s="139">
        <f>IF($D$129="Standard",$O$187,IF($D$129="Soumdproof",$O$188,))</f>
        <v/>
      </c>
      <c r="C194" s="139">
        <f>IF($D$129="Standard",$P$187,IF($D$129="Soumdproof",$P$188,))</f>
        <v/>
      </c>
      <c r="D194" s="139">
        <f>IF($D$129="Standard",$Q$187,IF($D$129="Soumdproof",$Q$188,))</f>
        <v/>
      </c>
      <c r="E194" s="143">
        <f>IF($D$129="Standard",R193,IF($D$129="Soumdproof",R194,))</f>
        <v/>
      </c>
      <c r="F194" s="143">
        <f>IF($D$129="Standard",$S$187,IF($D$129="Soumdproof",$S$188,))</f>
        <v/>
      </c>
      <c r="G194" s="143">
        <f>IF($D$129="Standard",$T$187,IF($D$129="Soumdproof",$T$188,))</f>
        <v/>
      </c>
      <c r="H194" s="652">
        <f>IF($D$129="Standard",$U$187,IF($D$129="Soumdproof",$U$188,))</f>
        <v/>
      </c>
      <c r="I194" s="653">
        <f>IF($D$129="Standard",$V$187,IF($D$129="Soumdproof",$V$188,))</f>
        <v/>
      </c>
      <c r="J194" s="654">
        <f>ROUNDUP((H194)/100,0)</f>
        <v/>
      </c>
      <c r="Y194" s="278" t="n"/>
      <c r="Z194" s="278" t="n"/>
      <c r="AA194" s="278" t="n"/>
      <c r="AB194" s="278" t="n"/>
      <c r="AC194" s="278" t="n"/>
      <c r="AD194" s="278" t="n"/>
      <c r="AE194" s="278" t="n"/>
      <c r="AF194" s="278" t="n"/>
      <c r="AG194" s="278" t="n"/>
      <c r="AH194" s="278" t="n"/>
      <c r="AI194" s="278" t="n"/>
    </row>
    <row r="195" ht="18" customFormat="1" customHeight="1" s="278">
      <c r="A195" s="201">
        <f>IF(B195="","",+A194+1)</f>
        <v/>
      </c>
      <c r="B195" s="296">
        <f>IF($D$127=5,$O$176,IF($D$127=6,$O$177,IF($D$127=8,$O$178,IF($D$127=10,$O$176,IF($D$127=12,$O$176,IF($D$127=14,$O$178,IF($D$127=18,$O$176,IF($D$127=20,$O$177,IF($D$127=22,"")))))))))</f>
        <v/>
      </c>
      <c r="C195" s="296">
        <f>IF($D$127=5,$P$176,IF($D$127=6,$P$177,IF($D$127=8,$P$178,IF($D$127=10,$P$176,IF($D$127=12,$P$176,IF($D$127=14,$P$178,IF($D$127=18,$P$176,IF($D$127=20,$P$177,IF($D$127=22,"")))))))))</f>
        <v/>
      </c>
      <c r="D195" s="296">
        <f>IF($D$127=5,$Q$176,IF($D$127=6,$Q$177,IF($D$127=8,$Q$178,IF($D$127=10,$Q$176,IF($D$127=12,$Q$176,IF($D$127=14,$Q$178,IF($D$127=18,$Q$176,IF($D$127=20,$Q$177,IF($D$127=22,"")))))))))</f>
        <v/>
      </c>
      <c r="E195" s="296">
        <f>IF($D$127=5,R182,IF($D$127=6,R183,IF($D$127=8,R184,IF($D$127=10,R182,IF($D$127=12,R182,IF($D$127=14,R184,IF($D$127=18,R182,IF($D$127=20,R183,IF($D$127=22,"",)))))))))</f>
        <v/>
      </c>
      <c r="F195" s="242">
        <f>IF($D$127=5,$S$176,IF($D$127=6,$S$177,IF($D$127=8,$S$178,IF($D$127=10,$S$176,IF($D$127=12,$S$176,IF($D$127=14,$S$178,IF($D$127=18,$S$176,IF($D$127=20,$S$177,IF($D$127=22,"")))))))))</f>
        <v/>
      </c>
      <c r="G195" s="242">
        <f>IF($D$127=5,$T$176,IF($D$127=6,$T$177,IF($D$127=8,$T$178,IF($D$127=10,$T$176,IF($D$127=12,$T$176,IF($D$127=14,$T$178,IF($D$127=18,$T$176,IF($D$127=20,$T$177,IF($D$127=22,"")))))))))</f>
        <v/>
      </c>
      <c r="H195" s="652">
        <f>IF($D$127=5,$U$176,IF($D$127=6,$U$177,IF($D$127=8,$U$178,IF($D$127=10,$U$176*2,IF($D$127=12,$U$176,IF($D$127=14,$U$178*2,IF($D$127=18,$U$176,IF($D$127=20,$U$177,IF($D$127=22,"")))))))))</f>
        <v/>
      </c>
      <c r="I195" s="653">
        <f>IF($D$127=5,$V$176,IF($D$127=6,$V$177,IF($D$127=8,$V$178,IF($D$127=10,$V$176,IF($D$127=12,$V$176,IF($D$127=14,$V$178,IF($D$127=18,$V$176,IF($D$127=20,$V$177,IF($D$127=22,"")))))))))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296">
        <f>IF($D$127=5,$O$174,IF($D$127=6,$O$174,IF($D$127=8,$O$176,IF($D$127=10,"",IF($D$127=12,$O$175,IF($D$127=14,"",IF($D$127=18,$O$174,IF($D$127=20,$O$175,IF($D$127=22,"",)))))))))</f>
        <v/>
      </c>
      <c r="C196" s="296">
        <f>IF($D$127=5,$P$174,IF($D$127=6,$P$174,IF($D$127=8,$P$176,IF($D$127=10,"",IF($D$127=12,$P$175,IF($D$127=14,"",IF($D$127=18,$P$174,IF($D$127=20,$P$175,IF($D$127=22,"",)))))))))</f>
        <v/>
      </c>
      <c r="D196" s="296">
        <f>IF($D$127=5,$Q$174,IF($D$127=6,$Q$174,IF($D$127=8,$Q$176,IF($D$127=10,"",IF($D$127=12,$Q$175,IF($D$127=14,"",IF($D$127=18,$Q$174,IF($D$127=20,$Q$175,IF($D$127=22,"",)))))))))</f>
        <v/>
      </c>
      <c r="E196" s="296">
        <f>IF($D$127=5,R180,IF($D$127=6,R180,IF($D$127=8,R182,IF($D$127=10,"",IF($D$127=12,R181,IF($D$127=14,"",IF($D$127=18,R180,IF($D$127=20,R181,IF($D$127=22,"",)))))))))</f>
        <v/>
      </c>
      <c r="F196" s="242">
        <f>IF($D$127=5,$S$174,IF($D$127=6,$S$174,IF($D$127=8,$S$176,IF($D$127=10,"",IF($D$127=12,$S$175,IF($D$127=14,"",IF($D$127=18,$S$174,IF($D$127=20,$S$175,IF($D$127=22,"",)))))))))</f>
        <v/>
      </c>
      <c r="G196" s="242">
        <f>IF($D$127=5,$T$174,IF($D$127=6,$T$174,IF($D$127=8,$T$176,IF($D$127=10,"",IF($D$127=12,$T$175,IF($D$127=14,"",IF($D$127=18,$T$174,IF($D$127=20,$T$175,IF($D$127=22,"",)))))))))</f>
        <v/>
      </c>
      <c r="H196" s="652">
        <f>IF($D$127=5,$U$174,IF($D$127=6,$U$174,IF($D$127=8,$U$176,IF($D$127=10,"",IF($D$127=12,$U$175,IF($D$127=14,"",IF($D$127=18,$U$174,IF($D$127=20,$U$175,IF($D$127=22,"")))))))))</f>
        <v/>
      </c>
      <c r="I196" s="653">
        <f>IF($D$127=5,$V$174,IF($D$127=6,$V$174,IF($D$127=8,$V$176,IF($D$127=10,"",IF($D$127=12,$V$175,IF($D$127=14,"",IF($D$127=18,$V$174,IF($D$127=20,$V$175,IF($D$127=22,"",)))))))))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 t="n"/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3))/4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3))/4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3))/4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3))/4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$J$148+$J$149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63" t="n"/>
      <c r="D323" s="345" t="n"/>
      <c r="I323" s="160" t="n"/>
      <c r="J323" s="532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3)/4)-13</t>
        </is>
      </c>
      <c r="I520" s="124">
        <f>(($J$126-185-(113.25*3))/4)-13</f>
        <v/>
      </c>
      <c r="J520" s="151">
        <f>$J$120*4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5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D123:G123"/>
    <mergeCell ref="A117:J117"/>
    <mergeCell ref="J123:J124"/>
    <mergeCell ref="I166:J167"/>
    <mergeCell ref="D170:D171"/>
    <mergeCell ref="I156:J156"/>
    <mergeCell ref="A518:J518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C308:E308"/>
    <mergeCell ref="A6:J6"/>
    <mergeCell ref="I161:J161"/>
    <mergeCell ref="I155:J155"/>
    <mergeCell ref="D161:D162"/>
    <mergeCell ref="A427:J427"/>
    <mergeCell ref="D168:D169"/>
    <mergeCell ref="A172:J172"/>
    <mergeCell ref="H170:H171"/>
    <mergeCell ref="J120:J121"/>
    <mergeCell ref="I157:J157"/>
    <mergeCell ref="A125:B125"/>
    <mergeCell ref="J126:J127"/>
    <mergeCell ref="D159:D160"/>
    <mergeCell ref="F520:G520"/>
    <mergeCell ref="I159:J160"/>
    <mergeCell ref="H123:I124"/>
    <mergeCell ref="A213:J213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$Z$174:$Z$192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9">
    <tabColor theme="5" tint="-0.249977111117893"/>
    <outlinePr summaryBelow="1" summaryRight="1"/>
    <pageSetUpPr/>
  </sheetPr>
  <dimension ref="A2:Y528"/>
  <sheetViews>
    <sheetView showGridLines="0" view="pageBreakPreview" topLeftCell="A148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12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width="10.44140625" customWidth="1" style="344" min="11" max="11"/>
    <col width="10" bestFit="1" customWidth="1" style="344" min="12" max="12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(4L)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FG-240-4P4L-01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63" t="inlineStr">
        <is>
          <t>บางใหญ่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Black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2385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2385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D128" s="161" t="n"/>
      <c r="E128" s="109" t="n"/>
      <c r="F128" s="37" t="n"/>
      <c r="G128" s="278" t="n"/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  <c r="P129" s="278" t="inlineStr">
        <is>
          <t>POWDER COATED</t>
        </is>
      </c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8</v>
      </c>
      <c r="U133" s="283" t="inlineStr">
        <is>
          <t>(W-182-(113.25 × 3))/4</t>
        </is>
      </c>
      <c r="V133" s="285">
        <f>($J$126-182-(113.25*3))/4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8</v>
      </c>
      <c r="U134" s="283" t="inlineStr">
        <is>
          <t>(W-182-(113.25 × 3))/4</t>
        </is>
      </c>
      <c r="V134" s="285">
        <f>($J$126-182-(113.25*3))/4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1.377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8</v>
      </c>
      <c r="U135" s="283" t="inlineStr">
        <is>
          <t>(W-182-(113.25 × 3))/4</t>
        </is>
      </c>
      <c r="V135" s="285">
        <f>($J$126-182-(113.25*3))/4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8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8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8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 (W-60-(4+1)×4)/4</t>
        </is>
      </c>
      <c r="I141" s="178">
        <f>($J$126-60-(4+1)*4)/4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 (W-60-(4+1)×4)/4</t>
        </is>
      </c>
      <c r="I142" s="178">
        <f>($J$126-60-(4+1)*4)/4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30" t="n"/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664" t="inlineStr">
        <is>
          <t>Aluminum Cost/per unit</t>
        </is>
      </c>
      <c r="J154" s="635" t="n"/>
      <c r="K154" s="278" t="n">
        <v>110</v>
      </c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66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450">
        <f>ROUNDUP((F155*G155)/6400,0)</f>
        <v/>
      </c>
      <c r="I155" s="556">
        <f>$K$154*K155</f>
        <v/>
      </c>
      <c r="J155" s="666" t="n"/>
      <c r="K155" s="442">
        <f>(F155/1000)*E155</f>
        <v/>
      </c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66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75">
        <f>ROUNDUP((F156*G156)/6400,0)</f>
        <v/>
      </c>
      <c r="I156" s="557">
        <f>$K$154*K156</f>
        <v/>
      </c>
      <c r="J156" s="619" t="n"/>
      <c r="K156" s="442">
        <f>(F156/1000)*E156</f>
        <v/>
      </c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66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75">
        <f>ROUNDUP((F157*G157)/6400,0)</f>
        <v/>
      </c>
      <c r="I157" s="557">
        <f>$K$154*K157</f>
        <v/>
      </c>
      <c r="J157" s="619" t="n"/>
      <c r="K157" s="442">
        <f>(F157/1000)*E157</f>
        <v/>
      </c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66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75">
        <f>ROUNDUP((F158*G158)/6400,0)</f>
        <v/>
      </c>
      <c r="I158" s="557">
        <f>$K$154*K158</f>
        <v/>
      </c>
      <c r="J158" s="619" t="n"/>
      <c r="K158" s="442">
        <f>(F158/1000)*E158</f>
        <v/>
      </c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66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46">
        <f>ROUNDUP(((F159*G159)+(F160*G160))/6400,0)</f>
        <v/>
      </c>
      <c r="I159" s="557">
        <f>$K$154*K159</f>
        <v/>
      </c>
      <c r="J159" s="619" t="n"/>
      <c r="K159" s="442">
        <f>(F159/1000)*E159</f>
        <v/>
      </c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66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25" t="n"/>
      <c r="I160" s="557">
        <f>$K$154*K160</f>
        <v/>
      </c>
      <c r="J160" s="619" t="n"/>
      <c r="K160" s="442">
        <f>(F160/1000)*E160</f>
        <v/>
      </c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66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46">
        <f>ROUNDUP(((F161*G161)+(F162*G162))/6400,0)</f>
        <v/>
      </c>
      <c r="I161" s="557">
        <f>$K$154*K161</f>
        <v/>
      </c>
      <c r="J161" s="619" t="n"/>
      <c r="K161" s="442">
        <f>(F161/1000)*E161</f>
        <v/>
      </c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66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25" t="n"/>
      <c r="I162" s="557">
        <f>$K$154*K162</f>
        <v/>
      </c>
      <c r="J162" s="619" t="n"/>
      <c r="K162" s="442">
        <f>(F162/1000)*E162</f>
        <v/>
      </c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66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46">
        <f>ROUNDUP(((F163*G163)+(F164*G164)+(F165*G165)+(F166*G166))/6400,0)</f>
        <v/>
      </c>
      <c r="I163" s="557">
        <f>$K$154*K163</f>
        <v/>
      </c>
      <c r="J163" s="619" t="n"/>
      <c r="K163" s="442">
        <f>(F163/1000)*E163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66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24" t="n"/>
      <c r="I164" s="557">
        <f>$K$154*K164</f>
        <v/>
      </c>
      <c r="J164" s="619" t="n"/>
      <c r="K164" s="442">
        <f>(F164/1000)*E164</f>
        <v/>
      </c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66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24" t="n"/>
      <c r="I165" s="557">
        <f>$K$154*K165</f>
        <v/>
      </c>
      <c r="J165" s="619" t="n"/>
      <c r="K165" s="442">
        <f>(F165/1000)*E165</f>
        <v/>
      </c>
    </row>
    <row r="166" outlineLevel="1" ht="15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5" t="n"/>
      <c r="E166" s="66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25" t="n"/>
      <c r="I166" s="557">
        <f>$K$154*K166</f>
        <v/>
      </c>
      <c r="J166" s="619" t="n"/>
      <c r="K166" s="442">
        <f>(F166/1000)*E166</f>
        <v/>
      </c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546">
        <f>VLOOKUP(C167,$C$133:$H$153,2,0)</f>
        <v/>
      </c>
      <c r="E167" s="66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546">
        <f>ROUNDUP(((F167*G167)+(F168*G168))/6400,0)</f>
        <v/>
      </c>
      <c r="I167" s="557">
        <f>$K$154*K167</f>
        <v/>
      </c>
      <c r="J167" s="619" t="n"/>
      <c r="K167" s="442">
        <f>(F167/1000)*E167</f>
        <v/>
      </c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66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25" t="n"/>
      <c r="I168" s="557">
        <f>$K$154*K168</f>
        <v/>
      </c>
      <c r="J168" s="619" t="n"/>
      <c r="K168" s="442">
        <f>(F168/1000)*E168</f>
        <v/>
      </c>
    </row>
    <row r="169" outlineLevel="1" customFormat="1" s="278" thickBot="1">
      <c r="D169" s="448" t="n"/>
      <c r="H169" s="449" t="inlineStr">
        <is>
          <t>Total price</t>
        </is>
      </c>
      <c r="I169" s="667">
        <f>SUM(I155:J168)</f>
        <v/>
      </c>
      <c r="J169" s="619" t="n"/>
    </row>
    <row r="170" ht="24.9" customFormat="1" customHeight="1" s="278" thickBot="1">
      <c r="A170" s="642" t="inlineStr">
        <is>
          <t>PARTS LIST HARDWARE &amp; ACCESSORIES</t>
        </is>
      </c>
      <c r="B170" s="634" t="n"/>
      <c r="C170" s="634" t="n"/>
      <c r="D170" s="634" t="n"/>
      <c r="E170" s="634" t="n"/>
      <c r="F170" s="634" t="n"/>
      <c r="G170" s="634" t="n"/>
      <c r="H170" s="634" t="n"/>
      <c r="I170" s="634" t="n"/>
      <c r="J170" s="635" t="n"/>
    </row>
    <row r="171" ht="35.1" customFormat="1" customHeight="1" s="278" thickBot="1">
      <c r="A171" s="102" t="inlineStr">
        <is>
          <t>ITEM</t>
        </is>
      </c>
      <c r="B171" s="103" t="inlineStr">
        <is>
          <t>THAI</t>
        </is>
      </c>
      <c r="C171" s="103" t="inlineStr">
        <is>
          <t>DESCRIPTION</t>
        </is>
      </c>
      <c r="D171" s="103" t="inlineStr">
        <is>
          <t>PART NO.</t>
        </is>
      </c>
      <c r="E171" s="103" t="inlineStr">
        <is>
          <t>KG/m</t>
        </is>
      </c>
      <c r="F171" s="104" t="inlineStr">
        <is>
          <t>DRAWING</t>
        </is>
      </c>
      <c r="G171" s="103" t="inlineStr">
        <is>
          <t>PER</t>
        </is>
      </c>
      <c r="H171" s="104" t="inlineStr">
        <is>
          <t>QUANTITY</t>
        </is>
      </c>
      <c r="I171" s="664" t="inlineStr">
        <is>
          <t>Hardware Cost/per unit</t>
        </is>
      </c>
      <c r="J171" s="635" t="n"/>
      <c r="K171" s="443" t="n">
        <v>0.2</v>
      </c>
      <c r="N171" s="101" t="inlineStr">
        <is>
          <t>Glass size</t>
        </is>
      </c>
      <c r="O171" s="246" t="inlineStr">
        <is>
          <t>THAI</t>
        </is>
      </c>
      <c r="P171" s="246" t="inlineStr">
        <is>
          <t>DESCRIPTION</t>
        </is>
      </c>
      <c r="Q171" s="246" t="inlineStr">
        <is>
          <t>PART NO.</t>
        </is>
      </c>
      <c r="R171" s="246" t="inlineStr">
        <is>
          <t>KG/m</t>
        </is>
      </c>
      <c r="S171" s="246" t="inlineStr">
        <is>
          <t>DRAWING</t>
        </is>
      </c>
      <c r="T171" s="246" t="inlineStr">
        <is>
          <t>PER</t>
        </is>
      </c>
      <c r="U171" s="246" t="inlineStr">
        <is>
          <t>QUANTITY</t>
        </is>
      </c>
      <c r="V171" s="246" t="inlineStr">
        <is>
          <t>Pack QTY</t>
        </is>
      </c>
      <c r="W171" s="246" t="inlineStr">
        <is>
          <t>TOTAL</t>
        </is>
      </c>
    </row>
    <row r="172" ht="18" customFormat="1" customHeight="1" s="278">
      <c r="A172" s="200">
        <f>IF(B172="","",1)</f>
        <v/>
      </c>
      <c r="B172" s="140" t="inlineStr">
        <is>
          <t>ตัวรับกลอน</t>
        </is>
      </c>
      <c r="C172" s="140" t="inlineStr">
        <is>
          <t xml:space="preserve">FLUSH BOLT RECEIVER </t>
        </is>
      </c>
      <c r="D172" s="139" t="inlineStr">
        <is>
          <t>04-016</t>
        </is>
      </c>
      <c r="E172" s="143" t="n"/>
      <c r="F172" s="143" t="inlineStr">
        <is>
          <t>04-016</t>
        </is>
      </c>
      <c r="G172" s="143" t="inlineStr">
        <is>
          <t>PC</t>
        </is>
      </c>
      <c r="H172" s="143" t="n">
        <v>2</v>
      </c>
      <c r="I172" s="668">
        <f>(K172+$K$172)*H172</f>
        <v/>
      </c>
      <c r="J172" s="669" t="n"/>
      <c r="K172" s="444" t="n">
        <v>1.673</v>
      </c>
      <c r="N172" s="101" t="inlineStr">
        <is>
          <t>5,6,18</t>
        </is>
      </c>
      <c r="O172" s="280" t="inlineStr">
        <is>
          <t>5,6,18 mm ยางรองกระจก</t>
        </is>
      </c>
      <c r="P172" s="415" t="inlineStr">
        <is>
          <t>5,6,18 mm CAPTIVE WEDGE</t>
        </is>
      </c>
      <c r="Q172" s="280" t="inlineStr">
        <is>
          <t>02-022</t>
        </is>
      </c>
      <c r="R172" s="213" t="n"/>
      <c r="S172" s="213" t="inlineStr">
        <is>
          <t>02-022</t>
        </is>
      </c>
      <c r="T172" s="213" t="inlineStr">
        <is>
          <t>M</t>
        </is>
      </c>
      <c r="U172" s="650">
        <f>((($I$141*$G$141)+($I$142*$G$142)+($I$143*$G$143)+($I$144*$G$144))/1000)*$J$120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8</v>
      </c>
      <c r="I173" s="670">
        <f>(K173+$K$172)*H173</f>
        <v/>
      </c>
      <c r="J173" s="671" t="n"/>
      <c r="K173" s="444" t="n">
        <v>3</v>
      </c>
      <c r="N173" s="101" t="inlineStr">
        <is>
          <t>12,20</t>
        </is>
      </c>
      <c r="O173" s="280" t="inlineStr">
        <is>
          <t>12,20 mm ยางรองกระจก</t>
        </is>
      </c>
      <c r="P173" s="415" t="inlineStr">
        <is>
          <t>12,20 mm CAPTIVE WEDGE</t>
        </is>
      </c>
      <c r="Q173" s="280" t="inlineStr">
        <is>
          <t>02-032</t>
        </is>
      </c>
      <c r="R173" s="213" t="n"/>
      <c r="S173" s="213" t="inlineStr">
        <is>
          <t>02-032</t>
        </is>
      </c>
      <c r="T173" s="213" t="inlineStr">
        <is>
          <t>M</t>
        </is>
      </c>
      <c r="U173" s="650">
        <f>((($I$141*$G$141)+($I$142*$G$142)+($I$143*$G$143)+($I$144*$G$144))/1000)*$J$120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670">
        <f>(K174+$K$172)*H174</f>
        <v/>
      </c>
      <c r="J174" s="671" t="n"/>
      <c r="K174" s="444" t="n">
        <v>2.873</v>
      </c>
      <c r="N174" s="101" t="inlineStr">
        <is>
          <t>5,8,10,12,18</t>
        </is>
      </c>
      <c r="O174" s="415" t="inlineStr">
        <is>
          <t>5,8,10,12,18 mmยางอัดกระจก</t>
        </is>
      </c>
      <c r="P174" s="415" t="inlineStr">
        <is>
          <t>5,8,10,12,18 mm ROLL IN WEDGE</t>
        </is>
      </c>
      <c r="Q174" s="280" t="inlineStr">
        <is>
          <t>02-033</t>
        </is>
      </c>
      <c r="R174" s="213" t="n"/>
      <c r="S174" s="213" t="inlineStr">
        <is>
          <t>02-033</t>
        </is>
      </c>
      <c r="T174" s="213" t="inlineStr">
        <is>
          <t>M</t>
        </is>
      </c>
      <c r="U174" s="650">
        <f>((($I$141*$G$141)+($I$142*$G$142)+($I$143*$G$143)+($I$144*$G$144))/1000)*$J$120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670">
        <f>(K175+$K$172)*H175</f>
        <v/>
      </c>
      <c r="J175" s="671" t="n"/>
      <c r="K175" s="444" t="n">
        <v>5.3196</v>
      </c>
      <c r="N175" s="101" t="inlineStr">
        <is>
          <t>6,20</t>
        </is>
      </c>
      <c r="O175" s="415" t="inlineStr">
        <is>
          <t>6,20 mm ยางอัดกระจก</t>
        </is>
      </c>
      <c r="P175" s="415" t="inlineStr">
        <is>
          <t>6,20 mm ROLL IN WEDGE</t>
        </is>
      </c>
      <c r="Q175" s="280" t="inlineStr">
        <is>
          <t>02-034</t>
        </is>
      </c>
      <c r="R175" s="213" t="n"/>
      <c r="S175" s="213" t="inlineStr">
        <is>
          <t>02-034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16</v>
      </c>
      <c r="I176" s="672" t="n">
        <v>0</v>
      </c>
      <c r="J176" s="673" t="n"/>
      <c r="K176" s="444" t="n">
        <v>0</v>
      </c>
      <c r="N176" s="101" t="inlineStr">
        <is>
          <t>8,14</t>
        </is>
      </c>
      <c r="O176" s="415" t="inlineStr">
        <is>
          <t>8,14 mm ยางอัดกระจก</t>
        </is>
      </c>
      <c r="P176" s="415" t="inlineStr">
        <is>
          <t>8,14 mm ROLL IN WEDGE</t>
        </is>
      </c>
      <c r="Q176" s="280" t="inlineStr">
        <is>
          <t>02-045</t>
        </is>
      </c>
      <c r="R176" s="213" t="n"/>
      <c r="S176" s="213" t="inlineStr">
        <is>
          <t>02-045</t>
        </is>
      </c>
      <c r="T176" s="213" t="inlineStr">
        <is>
          <t>M</t>
        </is>
      </c>
      <c r="U176" s="650">
        <f>((($I$141*$G$141)+($I$142*$G$142)+($I$143*$G$143)+($I$144*$G$144))/1000)*$J$120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32</v>
      </c>
      <c r="I177" s="672" t="n">
        <v>0</v>
      </c>
      <c r="J177" s="673" t="n"/>
      <c r="K177" s="444" t="n">
        <v>0</v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ชุดล้อแขวนบานตายซ้าย</t>
        </is>
      </c>
      <c r="C178" s="140" t="inlineStr">
        <is>
          <t>Left Hand Pivot Set</t>
        </is>
      </c>
      <c r="D178" s="139" t="inlineStr">
        <is>
          <t>05-006</t>
        </is>
      </c>
      <c r="E178" s="143" t="n"/>
      <c r="F178" s="143" t="inlineStr">
        <is>
          <t>05-006</t>
        </is>
      </c>
      <c r="G178" s="143" t="inlineStr">
        <is>
          <t>SET</t>
        </is>
      </c>
      <c r="H178" s="143" t="n">
        <v>1</v>
      </c>
      <c r="I178" s="670">
        <f>(K178+$K$172)*H178</f>
        <v/>
      </c>
      <c r="J178" s="671" t="n"/>
      <c r="K178" s="447" t="n">
        <v>1199.47</v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ชุดล้อแขวนบานสุดท้าย</t>
        </is>
      </c>
      <c r="C179" s="140" t="inlineStr">
        <is>
          <t>Right Hand End Carriert Set</t>
        </is>
      </c>
      <c r="D179" s="139" t="inlineStr">
        <is>
          <t>05-009</t>
        </is>
      </c>
      <c r="E179" s="143" t="n"/>
      <c r="F179" s="143" t="inlineStr">
        <is>
          <t>05-009</t>
        </is>
      </c>
      <c r="G179" s="143" t="inlineStr">
        <is>
          <t>SET</t>
        </is>
      </c>
      <c r="H179" s="143" t="n">
        <v>1</v>
      </c>
      <c r="I179" s="670">
        <f>(K179+$K$172)*H179</f>
        <v/>
      </c>
      <c r="J179" s="671" t="n"/>
      <c r="K179" s="447" t="n">
        <v>939.88</v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ชุดล้อแขวนบานกลาง</t>
        </is>
      </c>
      <c r="C180" s="140" t="inlineStr">
        <is>
          <t>Intermediate Carrier Set</t>
        </is>
      </c>
      <c r="D180" s="139" t="inlineStr">
        <is>
          <t>05-011</t>
        </is>
      </c>
      <c r="E180" s="143" t="n"/>
      <c r="F180" s="143" t="inlineStr">
        <is>
          <t>05-011</t>
        </is>
      </c>
      <c r="G180" s="143" t="inlineStr">
        <is>
          <t>SET</t>
        </is>
      </c>
      <c r="H180" s="143" t="n">
        <v>1</v>
      </c>
      <c r="I180" s="670">
        <f>(K180+$K$172)*H180</f>
        <v/>
      </c>
      <c r="J180" s="671" t="n"/>
      <c r="K180" s="447" t="n">
        <v>1199.47</v>
      </c>
    </row>
    <row r="181" ht="18" customFormat="1" customHeight="1" s="278">
      <c r="A181" s="201">
        <f>IF(B181="","",+A180+1)</f>
        <v/>
      </c>
      <c r="B181" s="140" t="inlineStr">
        <is>
          <t>ชุดบานพับต่างระดับมีมือจับ</t>
        </is>
      </c>
      <c r="C181" s="140" t="inlineStr">
        <is>
          <t>offset Hinge Handle Set</t>
        </is>
      </c>
      <c r="D181" s="139" t="inlineStr">
        <is>
          <t>05-005</t>
        </is>
      </c>
      <c r="E181" s="143" t="n"/>
      <c r="F181" s="143" t="inlineStr">
        <is>
          <t>05-005</t>
        </is>
      </c>
      <c r="G181" s="143" t="inlineStr">
        <is>
          <t>SET</t>
        </is>
      </c>
      <c r="H181" s="143" t="n">
        <v>1</v>
      </c>
      <c r="I181" s="670">
        <f>(K181+$K$172)*H181</f>
        <v/>
      </c>
      <c r="J181" s="671" t="n"/>
      <c r="K181" s="447" t="n">
        <v>764.4400000000001</v>
      </c>
      <c r="N181" s="278" t="n"/>
      <c r="O181" s="278" t="n"/>
      <c r="P181" s="278" t="n"/>
      <c r="Q181" s="442" t="n"/>
      <c r="R181" s="442" t="n"/>
      <c r="S181" s="442" t="n"/>
      <c r="T181" s="109" t="n"/>
      <c r="U181" s="109" t="n"/>
      <c r="V181" s="109" t="n"/>
      <c r="W181" s="278" t="n"/>
    </row>
    <row r="182" ht="18" customFormat="1" customHeight="1" s="278">
      <c r="A182" s="201">
        <f>IF(B182="","",+A181+1)</f>
        <v/>
      </c>
      <c r="B182" s="140" t="inlineStr">
        <is>
          <t>ชุดสลักล็อค</t>
        </is>
      </c>
      <c r="C182" s="140" t="inlineStr">
        <is>
          <t>Twin Bolt + Rods</t>
        </is>
      </c>
      <c r="D182" s="139" t="inlineStr">
        <is>
          <t>05-014</t>
        </is>
      </c>
      <c r="E182" s="143" t="n"/>
      <c r="F182" s="143" t="inlineStr">
        <is>
          <t>05-014</t>
        </is>
      </c>
      <c r="G182" s="143" t="inlineStr">
        <is>
          <t>SET</t>
        </is>
      </c>
      <c r="H182" s="143" t="n">
        <v>2</v>
      </c>
      <c r="I182" s="670">
        <f>(K182+$K$172)*H182</f>
        <v/>
      </c>
      <c r="J182" s="671" t="n"/>
      <c r="K182" s="447" t="n">
        <v>1969.28</v>
      </c>
      <c r="N182" s="101" t="inlineStr">
        <is>
          <t>FRAME SEAL</t>
        </is>
      </c>
      <c r="O182" s="246" t="inlineStr">
        <is>
          <t>THAI</t>
        </is>
      </c>
      <c r="P182" s="246" t="inlineStr">
        <is>
          <t>DESCRIPTION</t>
        </is>
      </c>
      <c r="Q182" s="246" t="inlineStr">
        <is>
          <t>PART NO.</t>
        </is>
      </c>
      <c r="R182" s="246" t="inlineStr">
        <is>
          <t>KG/m</t>
        </is>
      </c>
      <c r="S182" s="246" t="inlineStr">
        <is>
          <t>DRAWING</t>
        </is>
      </c>
      <c r="T182" s="246" t="inlineStr">
        <is>
          <t>PER</t>
        </is>
      </c>
      <c r="U182" s="246" t="inlineStr">
        <is>
          <t>QUANTITY</t>
        </is>
      </c>
      <c r="V182" s="246" t="inlineStr">
        <is>
          <t>Pack QTY</t>
        </is>
      </c>
      <c r="W182" s="246" t="inlineStr">
        <is>
          <t>TOTAL</t>
        </is>
      </c>
    </row>
    <row r="183" ht="18" customFormat="1" customHeight="1" s="278">
      <c r="A183" s="201">
        <f>IF(B183="","",+A182+1)</f>
        <v/>
      </c>
      <c r="B183" s="140" t="inlineStr">
        <is>
          <t>ตัวประคองสลักล็อค</t>
        </is>
      </c>
      <c r="C183" s="140" t="inlineStr">
        <is>
          <t>Guide twin Bolt Rods</t>
        </is>
      </c>
      <c r="D183" s="139" t="inlineStr">
        <is>
          <t>04-009</t>
        </is>
      </c>
      <c r="E183" s="143" t="n"/>
      <c r="F183" s="143" t="inlineStr">
        <is>
          <t>04-009</t>
        </is>
      </c>
      <c r="G183" s="143" t="inlineStr">
        <is>
          <t>PC</t>
        </is>
      </c>
      <c r="H183" s="143" t="n">
        <v>4</v>
      </c>
      <c r="I183" s="670">
        <f>(K183+$K$172)*H183</f>
        <v/>
      </c>
      <c r="J183" s="671" t="n"/>
      <c r="K183" s="447" t="n">
        <v>7.644</v>
      </c>
      <c r="N183" s="101" t="inlineStr">
        <is>
          <t>ธรรมดา</t>
        </is>
      </c>
      <c r="O183" s="415" t="inlineStr">
        <is>
          <t>ยางเฟรมกันน้ำ (ธรรมดา)</t>
        </is>
      </c>
      <c r="P183" s="415" t="inlineStr">
        <is>
          <t>FRAME SEAL (Standard)</t>
        </is>
      </c>
      <c r="Q183" s="280" t="inlineStr">
        <is>
          <t>02-026</t>
        </is>
      </c>
      <c r="R183" s="213" t="n"/>
      <c r="S183" s="213" t="inlineStr">
        <is>
          <t>02-026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300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รางเสริมเปลี่ยนล้อ</t>
        </is>
      </c>
      <c r="C184" s="140" t="inlineStr">
        <is>
          <t>35 SERIES TRACK INSERT</t>
        </is>
      </c>
      <c r="D184" s="139" t="inlineStr">
        <is>
          <t>04-004</t>
        </is>
      </c>
      <c r="E184" s="143" t="n"/>
      <c r="F184" s="143" t="inlineStr">
        <is>
          <t>04-004</t>
        </is>
      </c>
      <c r="G184" s="143" t="inlineStr">
        <is>
          <t>PC</t>
        </is>
      </c>
      <c r="H184" s="143" t="n">
        <v>1</v>
      </c>
      <c r="I184" s="670">
        <f>(K184+$K$172)*H184</f>
        <v/>
      </c>
      <c r="J184" s="671" t="n"/>
      <c r="K184" s="447" t="n">
        <v>12.1</v>
      </c>
      <c r="N184" s="101" t="inlineStr">
        <is>
          <t>กันเสียง</t>
        </is>
      </c>
      <c r="O184" s="415" t="inlineStr">
        <is>
          <t>ยางเฟรมกันน้ำ (กันเสียง)</t>
        </is>
      </c>
      <c r="P184" s="415" t="inlineStr">
        <is>
          <t>FRAME SEAL (Soumdproof)</t>
        </is>
      </c>
      <c r="Q184" s="280" t="inlineStr">
        <is>
          <t>02-025</t>
        </is>
      </c>
      <c r="R184" s="213" t="n"/>
      <c r="S184" s="213" t="inlineStr">
        <is>
          <t>02-025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100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39">
        <f>IF($D$129="Standard",$O$183,IF($D$129="Soumdproof",$O$184,))</f>
        <v/>
      </c>
      <c r="C185" s="139">
        <f>IF($D$129="Standard",$P$183,IF($D$129="Soumdproof",$P$184,))</f>
        <v/>
      </c>
      <c r="D185" s="139">
        <f>IF($D$129="Standard",$Q$183,IF($D$129="Soumdproof",$Q$184,))</f>
        <v/>
      </c>
      <c r="E185" s="143">
        <f>IF($D$129="Standard",R184,IF($D$129="Soumdproof",R185,))</f>
        <v/>
      </c>
      <c r="F185" s="143">
        <f>IF($D$129="Standard",$S$183,IF($D$129="Soumdproof",$S$184,))</f>
        <v/>
      </c>
      <c r="G185" s="143">
        <f>IF($D$129="Standard",$T$183,IF($D$129="Soumdproof",$T$184,))</f>
        <v/>
      </c>
      <c r="H185" s="652">
        <f>IF($D$129="Standard",$U$183,IF($D$129="Soumdproof",$U$184,))</f>
        <v/>
      </c>
      <c r="I185" s="670">
        <f>(K185+$K$172)*H185</f>
        <v/>
      </c>
      <c r="J185" s="671" t="n"/>
      <c r="K185" s="444" t="n">
        <v>7.8055</v>
      </c>
      <c r="N185" s="101" t="inlineStr">
        <is>
          <t>ธรรมดา</t>
        </is>
      </c>
      <c r="O185" s="415" t="inlineStr">
        <is>
          <t>ยางแซชกันน้ำ (ธรรมดา)</t>
        </is>
      </c>
      <c r="P185" s="415" t="inlineStr">
        <is>
          <t>SASH SEAL FOAM (Standard)</t>
        </is>
      </c>
      <c r="Q185" s="280" t="inlineStr">
        <is>
          <t>02-031</t>
        </is>
      </c>
      <c r="R185" s="213" t="n"/>
      <c r="S185" s="213" t="inlineStr">
        <is>
          <t>02-031</t>
        </is>
      </c>
      <c r="T185" s="213" t="inlineStr">
        <is>
          <t>M</t>
        </is>
      </c>
      <c r="U185" s="650">
        <f>((($I$141*$G$141*2)+($I$143*$G$143*2)+($I$144*$G$144*2))/1000)*$J$120</f>
        <v/>
      </c>
      <c r="V185" s="650" t="n">
        <v>350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IF($D$129="Standard",$O$185,IF($D$129="Soumdproof",$O$186,))</f>
        <v/>
      </c>
      <c r="C186" s="139">
        <f>IF($D$129="Standard",$P$185,IF($D$129="Soumdproof",$P$186,))</f>
        <v/>
      </c>
      <c r="D186" s="139">
        <f>IF($D$129="Standard",$Q$185,IF($D$129="Soumdproof",$Q$186,))</f>
        <v/>
      </c>
      <c r="E186" s="143">
        <f>IF($D$129="Standard",R186,IF($D$129="Soumdproof",R187,))</f>
        <v/>
      </c>
      <c r="F186" s="143">
        <f>IF($D$129="Standard",$S$185,IF($D$129="Soumdproof",$S$186,))</f>
        <v/>
      </c>
      <c r="G186" s="143">
        <f>IF($D$129="Standard",$T$185,IF($D$129="Soumdproof",$T$186,))</f>
        <v/>
      </c>
      <c r="H186" s="652">
        <f>IF($D$129="Standard",$U$185,IF($D$129="Soumdproof",$U$186,))</f>
        <v/>
      </c>
      <c r="I186" s="670">
        <f>(K186+$K$172)*H186</f>
        <v/>
      </c>
      <c r="J186" s="671" t="n"/>
      <c r="K186" s="444" t="n">
        <v>6.3</v>
      </c>
      <c r="N186" s="101" t="inlineStr">
        <is>
          <t>กันเสียง</t>
        </is>
      </c>
      <c r="O186" s="415" t="inlineStr">
        <is>
          <t>ยางแซชกันน้ำ (กันเสียง)</t>
        </is>
      </c>
      <c r="P186" s="415" t="inlineStr">
        <is>
          <t>SASH SEAL FOAM (Soumdproof)</t>
        </is>
      </c>
      <c r="Q186" s="280" t="inlineStr">
        <is>
          <t>02-035</t>
        </is>
      </c>
      <c r="R186" s="213" t="n"/>
      <c r="S186" s="213" t="inlineStr">
        <is>
          <t>02-035</t>
        </is>
      </c>
      <c r="T186" s="213" t="inlineStr">
        <is>
          <t>M</t>
        </is>
      </c>
      <c r="U186" s="650">
        <f>((($I$141*$G$141*2)+($I$143*$G$143*2)+($I$144*$G$144*2))/1000)*$J$120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296">
        <f>IF($D$127=5,$O$174,IF($D$127=6,$O$175,IF($D$127=8,$O$176,IF($D$127=10,$O$174,IF($D$127=12,$O$174,IF($D$127=14,$O$176,IF($D$127=18,$O$174,IF($D$127=20,$O$175,IF($D$127=22,"")))))))))</f>
        <v/>
      </c>
      <c r="C187" s="296">
        <f>IF($D$127=5,$P$174,IF($D$127=6,$P$175,IF($D$127=8,$P$176,IF($D$127=10,$P$174,IF($D$127=12,$P$174,IF($D$127=14,$P$176,IF($D$127=18,$P$174,IF($D$127=20,$P$175,IF($D$127=22,"")))))))))</f>
        <v/>
      </c>
      <c r="D187" s="296">
        <f>IF($D$127=5,$Q$174,IF($D$127=6,$Q$175,IF($D$127=8,$Q$176,IF($D$127=10,$Q$174,IF($D$127=12,$Q$174,IF($D$127=14,$Q$176,IF($D$127=18,$Q$174,IF($D$127=20,$Q$175,IF($D$127=22,"")))))))))</f>
        <v/>
      </c>
      <c r="E187" s="296">
        <f>IF($D$127=5,R175,IF($D$127=6,R176,IF($D$127=8,R177,IF($D$127=10,R175,IF($D$127=12,R175,IF($D$127=14,R177,IF($D$127=18,R175,IF($D$127=20,R176,IF($D$127=22,"",)))))))))</f>
        <v/>
      </c>
      <c r="F187" s="242">
        <f>IF($D$127=5,$S$174,IF($D$127=6,$S$175,IF($D$127=8,$S$176,IF($D$127=10,$S$174,IF($D$127=12,$S$174,IF($D$127=14,$S$176,IF($D$127=18,$S$174,IF($D$127=20,$S$175,IF($D$127=22,"")))))))))</f>
        <v/>
      </c>
      <c r="G187" s="242">
        <f>IF($D$127=5,$T$174,IF($D$127=6,$T$175,IF($D$127=8,$T$176,IF($D$127=10,$T$174,IF($D$127=12,$T$174,IF($D$127=14,$T$176,IF($D$127=18,$T$174,IF($D$127=20,$T$175,IF($D$127=22,"")))))))))</f>
        <v/>
      </c>
      <c r="H187" s="652">
        <f>IF($D$127=5,$U$174,IF($D$127=6,$U$175,IF($D$127=8,$U$176,IF($D$127=10,$U$174*2,IF($D$127=12,$U$174,IF($D$127=14,$U$176*2,IF($D$127=18,$U$174,IF($D$127=20,$U$175,IF($D$127=22,"")))))))))</f>
        <v/>
      </c>
      <c r="I187" s="670">
        <f>(K187+$K$172)*H187</f>
        <v/>
      </c>
      <c r="J187" s="671" t="n"/>
      <c r="K187" s="444" t="n">
        <v>11.54</v>
      </c>
    </row>
    <row r="188" ht="18" customFormat="1" customHeight="1" s="278">
      <c r="A188" s="201">
        <f>IF(B188="","",+A187+1)</f>
        <v/>
      </c>
      <c r="B188" s="296">
        <f>IF($D$127=5,$O$172,IF($D$127=6,$O$172,IF($D$127=8,$O$174,IF($D$127=10,"",IF($D$127=12,$O$173,IF($D$127=14,"",IF($D$127=18,$O$172,IF($D$127=20,$O$173,IF($D$127=22,"",)))))))))</f>
        <v/>
      </c>
      <c r="C188" s="296">
        <f>IF($D$127=5,$P$172,IF($D$127=6,$P$172,IF($D$127=8,$P$174,IF($D$127=10,"",IF($D$127=12,$P$173,IF($D$127=14,"",IF($D$127=18,$P$172,IF($D$127=20,$P$173,IF($D$127=22,"",)))))))))</f>
        <v/>
      </c>
      <c r="D188" s="296">
        <f>IF($D$127=5,$Q$172,IF($D$127=6,$Q$172,IF($D$127=8,$Q$174,IF($D$127=10,"",IF($D$127=12,$Q$173,IF($D$127=14,"",IF($D$127=18,$Q$172,IF($D$127=20,$Q$173,IF($D$127=22,"",)))))))))</f>
        <v/>
      </c>
      <c r="E188" s="296">
        <f>IF($D$127=5,R173,IF($D$127=6,R173,IF($D$127=8,R175,IF($D$127=10,"",IF($D$127=12,R174,IF($D$127=14,"",IF($D$127=18,R173,IF($D$127=20,R174,IF($D$127=22,"",)))))))))</f>
        <v/>
      </c>
      <c r="F188" s="242">
        <f>IF($D$127=5,$S$172,IF($D$127=6,$S$172,IF($D$127=8,$S$174,IF($D$127=10,"",IF($D$127=12,$S$173,IF($D$127=14,"",IF($D$127=18,$S$172,IF($D$127=20,$S$173,IF($D$127=22,"",)))))))))</f>
        <v/>
      </c>
      <c r="G188" s="242">
        <f>IF($D$127=5,$T$172,IF($D$127=6,$T$172,IF($D$127=8,$T$174,IF($D$127=10,"",IF($D$127=12,$T$173,IF($D$127=14,"",IF($D$127=18,$T$172,IF($D$127=20,$T$173,IF($D$127=22,"",)))))))))</f>
        <v/>
      </c>
      <c r="H188" s="652">
        <f>IF($D$127=5,$U$172,IF($D$127=6,$U$172,IF($D$127=8,$U$174,IF($D$127=10,"",IF($D$127=12,$U$173,IF($D$127=14,"",IF($D$127=18,$U$172,IF($D$127=20,$U$173,IF($D$127=22,"")))))))))</f>
        <v/>
      </c>
      <c r="I188" s="670">
        <f>(K188+$K$172)*H188</f>
        <v/>
      </c>
      <c r="J188" s="671" t="n"/>
      <c r="K188" s="444" t="n">
        <v>9.66</v>
      </c>
    </row>
    <row r="189" ht="18" customFormat="1" customHeight="1" s="278">
      <c r="A189" s="201">
        <f>IF(B189="","",+A188+1)</f>
        <v/>
      </c>
      <c r="B189" s="140" t="n"/>
      <c r="C189" s="140" t="n"/>
      <c r="D189" s="139" t="n"/>
      <c r="E189" s="143" t="n"/>
      <c r="F189" s="143" t="n"/>
      <c r="G189" s="143" t="n"/>
      <c r="H189" s="446" t="inlineStr">
        <is>
          <t>Total price</t>
        </is>
      </c>
      <c r="I189" s="674">
        <f>SUM(I172:J188)</f>
        <v/>
      </c>
      <c r="J189" s="619" t="n"/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</row>
    <row r="192" ht="18" customHeight="1" s="344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  <c r="N192" s="278" t="n"/>
      <c r="O192" s="278" t="n"/>
      <c r="P192" s="278" t="n"/>
      <c r="Q192" s="278" t="n"/>
      <c r="R192" s="278" t="n"/>
      <c r="S192" s="278" t="n"/>
      <c r="T192" s="278" t="n"/>
      <c r="U192" s="278" t="n"/>
      <c r="V192" s="278" t="n"/>
      <c r="W192" s="278" t="n"/>
      <c r="X192" s="278" t="n"/>
      <c r="Y192" s="278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 t="n"/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IF(B197="","",+A195+1)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IF(B200="","",+""+1)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IF(B202="","",+""+1)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IF(B204="","",+""+1)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2.75" customHeight="1" s="344">
      <c r="A207" s="109" t="n"/>
      <c r="J207" s="99">
        <f>LEFT($J$111,11)&amp;"-02"</f>
        <v/>
      </c>
    </row>
    <row r="208" ht="1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B215" s="93" t="n"/>
      <c r="C215" s="278" t="n"/>
      <c r="D215" s="161" t="n"/>
      <c r="E215" s="35" t="n"/>
      <c r="F215" s="160" t="n"/>
      <c r="I215" s="160" t="n"/>
      <c r="J215" s="532" t="n"/>
    </row>
    <row r="216" ht="15" customFormat="1" customHeight="1" s="278">
      <c r="A216" s="109" t="n"/>
      <c r="B216" s="278" t="n"/>
      <c r="C216" s="89" t="n"/>
      <c r="D216" s="161" t="n"/>
      <c r="E216" s="35" t="n"/>
      <c r="F216" s="161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532" t="n"/>
      <c r="B230" s="532" t="n"/>
      <c r="C230" s="542" t="n"/>
      <c r="D230" s="161" t="n"/>
      <c r="E230" s="109" t="n"/>
      <c r="F230" s="161" t="n"/>
      <c r="H230" s="109" t="n"/>
      <c r="I230" s="328" t="n"/>
      <c r="J230" s="117" t="n"/>
    </row>
    <row r="231" ht="15.9" customFormat="1" customHeight="1" s="278">
      <c r="A231" s="63" t="n"/>
      <c r="B231" s="63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109" t="n"/>
      <c r="B232" s="109" t="n"/>
      <c r="D232" s="161" t="n"/>
      <c r="E232" s="109" t="n"/>
      <c r="F232" s="161" t="n"/>
      <c r="I232" s="328" t="n"/>
      <c r="J232" s="117" t="n"/>
    </row>
    <row r="233" ht="15.9" customFormat="1" customHeight="1" s="278">
      <c r="A233" s="72" t="n"/>
      <c r="B233" s="278" t="n"/>
      <c r="D233" s="161" t="n"/>
      <c r="E233" s="109" t="n"/>
      <c r="F233" s="109" t="n"/>
      <c r="I233" s="328" t="n"/>
      <c r="J233" s="117" t="n"/>
    </row>
    <row r="234" ht="15.9" customFormat="1" customHeight="1" s="278">
      <c r="A234" s="44" t="n"/>
      <c r="B234" s="44" t="n"/>
      <c r="C234" s="89" t="inlineStr">
        <is>
          <t xml:space="preserve">                   Door Stop Head</t>
        </is>
      </c>
      <c r="D234" s="84" t="n"/>
      <c r="E234" s="44" t="n"/>
      <c r="F234" s="44" t="n"/>
      <c r="G234" s="109" t="n"/>
      <c r="H234" s="109" t="n"/>
      <c r="I234" s="328" t="n"/>
      <c r="J234" s="117" t="n"/>
    </row>
    <row r="235" ht="15.9" customFormat="1" customHeight="1" s="278">
      <c r="A235" s="40" t="n"/>
      <c r="B235" s="40" t="n"/>
      <c r="C235" s="328" t="inlineStr">
        <is>
          <t xml:space="preserve">                          = Frame Width -86</t>
        </is>
      </c>
      <c r="D235" s="85" t="n"/>
      <c r="E235" s="40" t="n"/>
      <c r="F235" s="32" t="n"/>
      <c r="G235" s="109" t="n"/>
      <c r="H235" s="109" t="n"/>
      <c r="J235" s="109" t="n"/>
    </row>
    <row r="236" ht="15.9" customFormat="1" customHeight="1" s="278">
      <c r="A236" s="109" t="n"/>
      <c r="B236" s="278" t="n"/>
      <c r="C236" s="542" t="inlineStr">
        <is>
          <t xml:space="preserve">                          ความกว้างวงกบ - 86</t>
        </is>
      </c>
      <c r="D236" s="161" t="n"/>
      <c r="E236" s="109" t="n"/>
      <c r="F236" s="161" t="n"/>
      <c r="G236" s="109" t="n"/>
      <c r="H236" s="109" t="n"/>
      <c r="I236" s="109" t="n"/>
      <c r="J236" s="501" t="n"/>
    </row>
    <row r="237" ht="15.9" customFormat="1" customHeight="1" s="278">
      <c r="A237" s="109" t="n"/>
      <c r="B237" s="278" t="n"/>
      <c r="C237" s="656">
        <f>$I$134</f>
        <v/>
      </c>
      <c r="D237" s="161" t="n"/>
      <c r="E237" s="109" t="n"/>
      <c r="F237" s="161" t="n"/>
      <c r="G237" s="109" t="n"/>
      <c r="H237" s="109" t="n"/>
      <c r="I237" s="501" t="n"/>
      <c r="J237" s="501" t="n"/>
    </row>
    <row r="238" ht="15.9" customFormat="1" customHeight="1" s="278">
      <c r="A238" s="109" t="n"/>
      <c r="B238" s="278" t="n"/>
      <c r="C238" s="657">
        <f>$J$134</f>
        <v/>
      </c>
      <c r="D238" s="161" t="n"/>
      <c r="E238" s="109" t="n"/>
      <c r="F238" s="161" t="n"/>
      <c r="G238" s="109" t="n"/>
      <c r="H238" s="107" t="n"/>
      <c r="I238" s="89" t="n"/>
      <c r="J238" s="118" t="n"/>
    </row>
    <row r="239" ht="15.9" customFormat="1" customHeight="1" s="278">
      <c r="A239" s="109" t="n"/>
      <c r="B239" s="278" t="n"/>
      <c r="C239" s="44" t="n"/>
      <c r="D239" s="161" t="n"/>
      <c r="E239" s="109" t="n"/>
      <c r="F239" s="161" t="n"/>
      <c r="G239" s="109" t="n"/>
      <c r="H239" s="107" t="n"/>
      <c r="I239" s="89" t="n"/>
      <c r="J239" s="118" t="n"/>
    </row>
    <row r="240" ht="15.9" customFormat="1" customHeight="1" s="278">
      <c r="A240" s="109" t="n"/>
      <c r="B240" s="278" t="n"/>
      <c r="C240" s="44" t="n"/>
      <c r="D240" s="161" t="n"/>
      <c r="E240" s="109" t="n"/>
      <c r="F240" s="161" t="n"/>
      <c r="G240" s="109" t="n"/>
      <c r="H240" s="107" t="n"/>
      <c r="I240" s="328" t="n"/>
      <c r="J240" s="117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328" t="n"/>
      <c r="J241" s="117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36" t="n"/>
      <c r="I243" s="501" t="n"/>
      <c r="J243" s="501" t="n"/>
    </row>
    <row r="244" ht="15.9" customFormat="1" customHeight="1" s="278">
      <c r="A244" s="109" t="n"/>
      <c r="B244" s="278" t="n"/>
      <c r="D244" s="161" t="n"/>
      <c r="E244" s="109" t="n"/>
      <c r="F244" s="161" t="n"/>
      <c r="G244" s="109" t="n"/>
      <c r="H244" s="109" t="n"/>
      <c r="I244" s="109" t="n"/>
      <c r="J244" s="501" t="n"/>
    </row>
    <row r="245" ht="15.9" customFormat="1" customHeight="1" s="278">
      <c r="A245" s="109" t="n"/>
      <c r="B245" s="278" t="n"/>
      <c r="C245" s="89" t="inlineStr">
        <is>
          <t xml:space="preserve">                   Sill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328" t="inlineStr">
        <is>
          <t xml:space="preserve">                          = Frame Width -60.00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" customFormat="1" customHeight="1" s="278">
      <c r="A247" s="109" t="n"/>
      <c r="B247" s="278" t="n"/>
      <c r="C247" s="542" t="inlineStr">
        <is>
          <t xml:space="preserve">                          ความกว้าง(วงกบ) - 60.00</t>
        </is>
      </c>
      <c r="D247" s="161" t="n"/>
      <c r="E247" s="109" t="n"/>
      <c r="F247" s="161" t="n"/>
      <c r="G247" s="109" t="n"/>
      <c r="H247" s="109" t="n"/>
      <c r="I247" s="501" t="n"/>
      <c r="J247" s="501" t="n"/>
    </row>
    <row r="248" ht="15.9" customFormat="1" customHeight="1" s="278">
      <c r="A248" s="109" t="n"/>
      <c r="B248" s="278" t="n"/>
      <c r="C248" s="656">
        <f>$I$135</f>
        <v/>
      </c>
      <c r="D248" s="161" t="n"/>
      <c r="E248" s="109" t="n"/>
      <c r="F248" s="161" t="n"/>
      <c r="G248" s="109" t="n"/>
      <c r="H248" s="109" t="n"/>
      <c r="I248" s="44" t="n"/>
      <c r="J248" s="119" t="n"/>
    </row>
    <row r="249" ht="15.9" customFormat="1" customHeight="1" s="278">
      <c r="A249" s="109" t="n"/>
      <c r="B249" s="278" t="n"/>
      <c r="C249" s="657">
        <f>$J$135</f>
        <v/>
      </c>
      <c r="D249" s="161" t="n"/>
      <c r="E249" s="109" t="n"/>
      <c r="F249" s="161" t="n"/>
      <c r="G249" s="109" t="n"/>
      <c r="H249" s="109" t="n"/>
      <c r="I249" s="32" t="n"/>
      <c r="J249" s="40" t="n"/>
    </row>
    <row r="250" ht="15.9" customFormat="1" customHeight="1" s="278">
      <c r="A250" s="109" t="n"/>
      <c r="B250" s="278" t="n"/>
      <c r="C250" s="161" t="n"/>
      <c r="D250" s="161" t="n"/>
      <c r="E250" s="109" t="n"/>
      <c r="F250" s="161" t="n"/>
      <c r="G250" s="109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J251" s="10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J252" s="10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4" t="n"/>
      <c r="H253" s="109" t="n"/>
      <c r="J253" s="109" t="n"/>
    </row>
    <row r="254" ht="15.9" customFormat="1" customHeight="1" s="278">
      <c r="A254" s="109" t="n"/>
      <c r="B254" s="278" t="n"/>
      <c r="C254" s="278" t="n"/>
      <c r="D254" s="161" t="n"/>
      <c r="E254" s="109" t="n"/>
      <c r="F254" s="109" t="n"/>
      <c r="G254" s="40" t="n"/>
      <c r="H254" s="109" t="n"/>
      <c r="I254" s="501" t="n"/>
      <c r="J254" s="501" t="n"/>
    </row>
    <row r="255" ht="15.9" customFormat="1" customHeight="1" s="278">
      <c r="A255" s="109" t="n"/>
      <c r="B255" s="278" t="n"/>
      <c r="D255" s="161" t="n"/>
      <c r="E255" s="109" t="n"/>
      <c r="F255" s="109" t="n"/>
      <c r="G255" s="109" t="n"/>
      <c r="H255" s="109" t="n"/>
      <c r="I255" s="501" t="n"/>
      <c r="J255" s="501" t="n"/>
    </row>
    <row r="256" ht="15.9" customFormat="1" customHeight="1" s="278">
      <c r="A256" s="44" t="n"/>
      <c r="B256" s="44" t="n"/>
      <c r="D256" s="84" t="n"/>
      <c r="E256" s="44" t="n"/>
      <c r="F256" s="44" t="n"/>
      <c r="G256" s="109" t="n"/>
      <c r="H256" s="109" t="n"/>
      <c r="I256" s="501" t="n"/>
      <c r="J256" s="501" t="n"/>
    </row>
    <row r="257" ht="15.9" customFormat="1" customHeight="1" s="278">
      <c r="A257" s="40" t="n"/>
      <c r="B257" s="40" t="n"/>
      <c r="C257" s="89" t="inlineStr">
        <is>
          <t xml:space="preserve">                   Door Stop Sill</t>
        </is>
      </c>
      <c r="D257" s="85" t="n"/>
      <c r="E257" s="40" t="n"/>
      <c r="F257" s="32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328" t="inlineStr">
        <is>
          <t xml:space="preserve">                          = Frame Width -60.00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542" t="inlineStr">
        <is>
          <t xml:space="preserve">                          ความกว้าง(วงกบ) - 60.00</t>
        </is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6">
        <f>$I$136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657">
        <f>$J$136</f>
        <v/>
      </c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287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161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278" t="n"/>
      <c r="D267" s="161" t="n"/>
      <c r="E267" s="109" t="n"/>
      <c r="F267" s="109" t="n"/>
      <c r="G267" s="109" t="n"/>
      <c r="I267" s="501" t="n"/>
      <c r="J267" s="501" t="n"/>
    </row>
    <row r="268" ht="15.9" customFormat="1" customHeight="1" s="278">
      <c r="A268" s="27" t="n"/>
      <c r="B268" s="278" t="n"/>
      <c r="C268" s="89" t="inlineStr">
        <is>
          <t xml:space="preserve">                   JAMB</t>
        </is>
      </c>
      <c r="D268" s="161" t="n"/>
      <c r="E268" s="109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328" t="inlineStr">
        <is>
          <t xml:space="preserve">                          = FAME HIGHT</t>
        </is>
      </c>
      <c r="D269" s="328" t="n"/>
      <c r="E269" s="328" t="n"/>
      <c r="F269" s="109" t="n"/>
      <c r="G269" s="109" t="n"/>
      <c r="H269" s="109" t="n"/>
      <c r="I269" s="501" t="n"/>
      <c r="J269" s="501" t="n"/>
    </row>
    <row r="270" ht="15.9" customFormat="1" customHeight="1" s="278">
      <c r="A270" s="27" t="n"/>
      <c r="B270" s="278" t="n"/>
      <c r="C270" s="542" t="inlineStr">
        <is>
          <t xml:space="preserve">                          ความสูง (วงกบ)</t>
        </is>
      </c>
      <c r="D270" s="542" t="n"/>
      <c r="E270" s="542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C271" s="656">
        <f>$I$137</f>
        <v/>
      </c>
      <c r="D271" s="161" t="n"/>
      <c r="E271" s="109" t="n"/>
      <c r="F271" s="109" t="n"/>
      <c r="G271" s="278" t="n"/>
      <c r="H271" s="278" t="n"/>
      <c r="J271" s="109" t="n"/>
    </row>
    <row r="272" ht="15.9" customFormat="1" customHeight="1" s="278">
      <c r="A272" s="27" t="n"/>
      <c r="B272" s="278" t="n"/>
      <c r="C272" s="657">
        <f>$J$137+$J$138</f>
        <v/>
      </c>
      <c r="D272" s="161" t="n"/>
      <c r="E272" s="109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B275" s="278" t="n"/>
      <c r="D275" s="89" t="n"/>
      <c r="E275" s="89" t="n"/>
      <c r="F275" s="109" t="n"/>
      <c r="G275" s="109" t="n"/>
      <c r="H275" s="109" t="n"/>
      <c r="J275" s="109" t="n"/>
    </row>
    <row r="276" ht="15.9" customFormat="1" customHeight="1" s="278">
      <c r="A276" s="27" t="n"/>
      <c r="D276" s="328" t="n"/>
      <c r="E276" s="328" t="n"/>
      <c r="F276" s="109" t="n"/>
      <c r="G276" s="109" t="n"/>
      <c r="H276" s="109" t="n"/>
      <c r="J276" s="109" t="n"/>
    </row>
    <row r="277" ht="15.9" customFormat="1" customHeight="1" s="278">
      <c r="A277" s="27" t="n"/>
      <c r="B277" s="278" t="n"/>
      <c r="D277" s="328" t="n"/>
      <c r="E277" s="328" t="n"/>
      <c r="F277" s="109" t="n"/>
      <c r="G277" s="109" t="n"/>
      <c r="I277" s="501" t="n"/>
      <c r="J277" s="501" t="n"/>
    </row>
    <row r="278" ht="15.9" customFormat="1" customHeight="1" s="278">
      <c r="A278" s="27" t="n"/>
      <c r="B278" s="278" t="n"/>
      <c r="C278" s="278" t="n"/>
      <c r="D278" s="161" t="n"/>
      <c r="E278" s="109" t="n"/>
      <c r="F278" s="109" t="n"/>
      <c r="G278" s="109" t="n"/>
      <c r="I278" s="501" t="n"/>
      <c r="J278" s="501" t="n"/>
    </row>
    <row r="279" ht="15.9" customFormat="1" customHeight="1" s="278">
      <c r="A279" s="27" t="n"/>
      <c r="B279" s="278" t="n"/>
      <c r="C279" s="89" t="inlineStr">
        <is>
          <t xml:space="preserve">                   Door Stop Jamb</t>
        </is>
      </c>
      <c r="D279" s="162" t="n"/>
      <c r="E279" s="501" t="n"/>
      <c r="F279" s="109" t="n"/>
      <c r="G279" s="109" t="n"/>
      <c r="I279" s="501" t="n"/>
      <c r="J279" s="501" t="n"/>
    </row>
    <row r="280" ht="15.9" customFormat="1" customHeight="1" s="278">
      <c r="A280" s="27" t="n"/>
      <c r="B280" s="278" t="n"/>
      <c r="C280" s="328" t="inlineStr">
        <is>
          <t xml:space="preserve">                          = FAME HIGHT - 96</t>
        </is>
      </c>
      <c r="D280" s="328" t="n"/>
      <c r="E280" s="328" t="n"/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C281" s="542" t="inlineStr">
        <is>
          <t xml:space="preserve">                          ความสูง (วงกบ) - 96</t>
        </is>
      </c>
      <c r="D281" s="542" t="n"/>
      <c r="E281" s="542" t="n"/>
      <c r="F281" s="109" t="n"/>
      <c r="G281" s="109" t="n"/>
      <c r="I281" s="109" t="n"/>
      <c r="J281" s="501" t="n"/>
    </row>
    <row r="282" ht="15.9" customFormat="1" customHeight="1" s="278">
      <c r="A282" s="27" t="n"/>
      <c r="B282" s="278" t="n"/>
      <c r="C282" s="656">
        <f>$I$139</f>
        <v/>
      </c>
      <c r="F282" s="109" t="n"/>
      <c r="G282" s="109" t="n"/>
      <c r="I282" s="109" t="n"/>
      <c r="J282" s="501" t="n"/>
    </row>
    <row r="283" ht="15.9" customFormat="1" customHeight="1" s="278">
      <c r="A283" s="27" t="n"/>
      <c r="B283" s="278" t="n"/>
      <c r="C283" s="657">
        <f>$J$139+$J$140</f>
        <v/>
      </c>
      <c r="F283" s="109" t="n"/>
      <c r="G283" s="109" t="n"/>
      <c r="I283" s="109" t="n"/>
      <c r="J283" s="501" t="n"/>
    </row>
    <row r="284" ht="15.9" customFormat="1" customHeight="1" s="278">
      <c r="A284" s="27" t="n"/>
      <c r="B284" s="278" t="n"/>
      <c r="F284" s="109" t="n"/>
      <c r="G284" s="109" t="n"/>
      <c r="H284" s="109" t="n"/>
      <c r="J284" s="109" t="n"/>
    </row>
    <row r="285" ht="15.9" customFormat="1" customHeight="1" s="278">
      <c r="A285" s="27" t="n"/>
      <c r="B285" s="278" t="n"/>
      <c r="F285" s="109" t="n"/>
      <c r="G285" s="109" t="n"/>
      <c r="H285" s="109" t="n"/>
      <c r="J285" s="109" t="n"/>
    </row>
    <row r="286" ht="15.9" customFormat="1" customHeight="1" s="278">
      <c r="A286" s="27" t="n"/>
      <c r="B286" s="278" t="n"/>
      <c r="C286" s="278" t="n"/>
      <c r="D286" s="161" t="n"/>
      <c r="E286" s="109" t="n"/>
      <c r="F286" s="109" t="n"/>
      <c r="G286" s="109" t="n"/>
      <c r="H286" s="109" t="n"/>
      <c r="J286" s="109" t="n"/>
    </row>
    <row r="287" ht="15.9" customFormat="1" customHeight="1" s="278">
      <c r="A287" s="27" t="n"/>
      <c r="B287" s="278" t="n"/>
      <c r="F287" s="109" t="n"/>
      <c r="G287" s="109" t="n"/>
      <c r="H287" s="109" t="n"/>
      <c r="J287" s="109" t="n"/>
    </row>
    <row r="288" ht="15.9" customFormat="1" customHeight="1" s="278">
      <c r="A288" s="27" t="n"/>
      <c r="B288" s="278" t="n"/>
      <c r="F288" s="109" t="n"/>
      <c r="G288" s="109" t="n"/>
      <c r="H288" s="109" t="n"/>
      <c r="I288" s="162" t="n"/>
      <c r="J288" s="501" t="n"/>
    </row>
    <row r="289" ht="15.9" customFormat="1" customHeight="1" s="278">
      <c r="A289" s="27" t="n"/>
      <c r="B289" s="278" t="n"/>
      <c r="C289" s="89" t="inlineStr">
        <is>
          <t xml:space="preserve">                   Sash</t>
        </is>
      </c>
      <c r="F289" s="109" t="n"/>
      <c r="G289" s="109" t="n"/>
      <c r="H289" s="109" t="n"/>
      <c r="I289" s="109" t="n"/>
      <c r="J289" s="501" t="n"/>
    </row>
    <row r="290" ht="15.9" customFormat="1" customHeight="1" s="278">
      <c r="A290" s="27" t="n"/>
      <c r="B290" s="278" t="n"/>
      <c r="C290" s="94" t="inlineStr">
        <is>
          <t xml:space="preserve">                          = ((Frame Width - 182-(113.25 × 3))/4</t>
        </is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542" t="inlineStr">
        <is>
          <t xml:space="preserve">                          ((ความกว้าง (วงกบ) - 182-(113.25 × 3))/4</t>
        </is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328" t="inlineStr">
        <is>
          <t xml:space="preserve">                          = FAME HIGHT - 92.00</t>
        </is>
      </c>
      <c r="D292" s="328" t="n"/>
      <c r="E292" s="328" t="n"/>
      <c r="F292" s="109" t="n"/>
      <c r="G292" s="109" t="n"/>
      <c r="I292" s="501" t="n"/>
      <c r="J292" s="501" t="n"/>
    </row>
    <row r="293" ht="15.9" customFormat="1" customHeight="1" s="23">
      <c r="A293" s="27" t="n"/>
      <c r="B293" s="278" t="n"/>
      <c r="C293" s="542" t="inlineStr">
        <is>
          <t xml:space="preserve">                          ความสูง (วงกบ) - 92.00</t>
        </is>
      </c>
      <c r="D293" s="542" t="n"/>
      <c r="E293" s="542" t="n"/>
      <c r="F293" s="109" t="n"/>
      <c r="G293" s="109" t="n"/>
      <c r="H293" s="278" t="n"/>
      <c r="I293" s="109" t="n"/>
      <c r="J293" s="109" t="n"/>
    </row>
    <row r="294" ht="15.9" customFormat="1" customHeight="1" s="278">
      <c r="A294" s="27" t="n"/>
      <c r="B294" s="278" t="n"/>
      <c r="C294" s="656">
        <f>$I$141</f>
        <v/>
      </c>
      <c r="F294" s="109" t="n"/>
      <c r="G294" s="109" t="n"/>
      <c r="I294" s="44" t="n"/>
      <c r="J294" s="119" t="n"/>
    </row>
    <row r="295" ht="15.9" customFormat="1" customHeight="1" s="278">
      <c r="A295" s="27" t="n"/>
      <c r="B295" s="278" t="n"/>
      <c r="C295" s="657">
        <f>$J$141+$J$142</f>
        <v/>
      </c>
      <c r="D295" s="161" t="n"/>
      <c r="E295" s="109" t="n"/>
      <c r="F295" s="109" t="n"/>
      <c r="G295" s="109" t="n"/>
      <c r="H295" s="161" t="n"/>
      <c r="I295" s="32" t="n"/>
      <c r="J295" s="40" t="n"/>
    </row>
    <row r="296" ht="15.9" customFormat="1" customHeight="1" s="278">
      <c r="A296" s="27" t="n"/>
      <c r="B296" s="278" t="n"/>
      <c r="C296" s="656">
        <f>$I$143</f>
        <v/>
      </c>
      <c r="D296" s="161" t="n"/>
      <c r="E296" s="109" t="n"/>
      <c r="F296" s="109" t="n"/>
      <c r="G296" s="109" t="n"/>
      <c r="H296" s="109" t="n"/>
      <c r="I296" s="501" t="n"/>
      <c r="J296" s="501" t="n"/>
    </row>
    <row r="297" ht="15.9" customFormat="1" customHeight="1" s="278">
      <c r="A297" s="27" t="n"/>
      <c r="B297" s="278" t="n"/>
      <c r="C297" s="657">
        <f>$J$143+$J$144</f>
        <v/>
      </c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78">
      <c r="A298" s="27" t="n"/>
      <c r="B298" s="278" t="n"/>
      <c r="C298" s="657" t="n"/>
      <c r="D298" s="161" t="n"/>
      <c r="E298" s="109" t="n"/>
      <c r="F298" s="109" t="n"/>
      <c r="G298" s="109" t="n"/>
      <c r="H298" s="109" t="n"/>
      <c r="I298" s="501" t="n"/>
      <c r="J298" s="501" t="n"/>
    </row>
    <row r="299" ht="15.9" customFormat="1" customHeight="1" s="278">
      <c r="A299" s="27" t="n"/>
      <c r="B299" s="278" t="n"/>
      <c r="D299" s="161" t="n"/>
      <c r="E299" s="109" t="n"/>
      <c r="F299" s="109" t="n"/>
      <c r="G299" s="109" t="n"/>
      <c r="H299" s="109" t="n"/>
      <c r="I299" s="501" t="n"/>
      <c r="J299" s="501" t="n"/>
    </row>
    <row r="300" ht="15.9" customFormat="1" customHeight="1" s="278">
      <c r="A300" s="27" t="n"/>
      <c r="B300" s="278" t="n"/>
      <c r="C300" s="278" t="n"/>
      <c r="D300" s="161" t="n"/>
      <c r="E300" s="109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27" t="n"/>
      <c r="B301" s="278" t="n"/>
      <c r="C301" s="23" t="n"/>
      <c r="D301" s="161" t="n"/>
      <c r="E301" s="109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27" t="n"/>
      <c r="B302" s="278" t="n"/>
      <c r="C302" s="89" t="inlineStr">
        <is>
          <t xml:space="preserve">                   Glazing Bead</t>
        </is>
      </c>
      <c r="D302" s="161" t="n"/>
      <c r="E302" s="109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27" t="n"/>
      <c r="B303" s="278" t="n"/>
      <c r="C303" s="94" t="inlineStr">
        <is>
          <t xml:space="preserve">                          = ((Frame Width - 182-(113.25 × 3))/4</t>
        </is>
      </c>
      <c r="D303" s="161" t="n"/>
      <c r="E303" s="109" t="n"/>
      <c r="F303" s="109" t="n"/>
      <c r="G303" s="44" t="n"/>
      <c r="H303" s="44" t="n"/>
      <c r="I303" s="109" t="n"/>
      <c r="J303" s="501" t="n"/>
    </row>
    <row r="304" ht="15.9" customFormat="1" customHeight="1" s="278">
      <c r="A304" s="27" t="n"/>
      <c r="B304" s="278" t="n"/>
      <c r="C304" s="542" t="inlineStr">
        <is>
          <t xml:space="preserve">                          ((ความกว้าง (วงกบ) - 182-(113.25 × 3))/4</t>
        </is>
      </c>
      <c r="D304" s="328" t="n"/>
      <c r="E304" s="328" t="n"/>
      <c r="F304" s="109" t="n"/>
      <c r="G304" s="40" t="n"/>
      <c r="H304" s="32" t="n"/>
      <c r="I304" s="109" t="n"/>
      <c r="J304" s="501" t="n"/>
    </row>
    <row r="305" ht="15.9" customFormat="1" customHeight="1" s="278">
      <c r="A305" s="101" t="n"/>
      <c r="B305" s="278" t="n"/>
      <c r="C305" s="328" t="inlineStr">
        <is>
          <t xml:space="preserve">                          = FAME HIGHT - 242.00</t>
        </is>
      </c>
      <c r="D305" s="542" t="n"/>
      <c r="E305" s="542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44" t="n"/>
      <c r="B306" s="44" t="n"/>
      <c r="C306" s="542" t="inlineStr">
        <is>
          <t xml:space="preserve">                          ความสูง (วงกบ) - 242.00</t>
        </is>
      </c>
      <c r="D306" s="86" t="n"/>
      <c r="E306" s="79" t="n"/>
      <c r="F306" s="44" t="n"/>
      <c r="G306" s="109" t="n"/>
      <c r="H306" s="109" t="n"/>
      <c r="I306" s="109" t="n"/>
      <c r="J306" s="501" t="n"/>
    </row>
    <row r="307" ht="15.9" customFormat="1" customHeight="1" s="278">
      <c r="A307" s="40" t="n"/>
      <c r="B307" s="40" t="n"/>
      <c r="C307" s="656">
        <f>$I$145</f>
        <v/>
      </c>
      <c r="D307" s="87" t="n"/>
      <c r="E307" s="80" t="n"/>
      <c r="F307" s="32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7">
        <f>$J$145</f>
        <v/>
      </c>
      <c r="D308" s="161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$I$146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$J$146</f>
        <v/>
      </c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LEFT($J$111,11)&amp;"-03"</f>
        <v/>
      </c>
    </row>
    <row r="315" ht="15" customFormat="1" customHeight="1" s="278">
      <c r="A315" s="27" t="n"/>
      <c r="B315" s="278" t="n"/>
      <c r="D315" s="162" t="n"/>
      <c r="E315" s="501" t="n"/>
      <c r="F315" s="109" t="n"/>
      <c r="G315" s="109" t="n"/>
      <c r="H315" s="109" t="n"/>
      <c r="I315" s="27" t="n"/>
      <c r="J315" s="9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63" t="n"/>
      <c r="D323" s="345" t="n"/>
      <c r="I323" s="160" t="n"/>
      <c r="J323" s="532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C423" s="5" t="n"/>
      <c r="D423" s="95" t="n"/>
      <c r="E423" s="95" t="n"/>
      <c r="F423" s="95" t="n"/>
      <c r="G423" s="95" t="n"/>
      <c r="H423" s="95" t="n"/>
      <c r="I423" s="28" t="n"/>
      <c r="J423" s="91">
        <f>$J$3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44" t="n"/>
      <c r="B443" s="278" t="n"/>
      <c r="C443" s="43" t="n"/>
      <c r="D443" s="161" t="n"/>
      <c r="E443" s="109" t="n"/>
      <c r="F443" s="109" t="n"/>
      <c r="H443" s="44" t="n"/>
      <c r="I443" s="44" t="n"/>
      <c r="J443" s="119" t="n"/>
    </row>
    <row r="444" ht="15.9" customFormat="1" customHeight="1" s="278">
      <c r="A444" s="40" t="n"/>
      <c r="C444" s="44" t="n"/>
      <c r="D444" s="84" t="n"/>
      <c r="E444" s="44" t="n"/>
      <c r="F444" s="44" t="n"/>
      <c r="H444" s="44" t="n"/>
      <c r="I444" s="44" t="n"/>
      <c r="J444" s="119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((W-182-(113.25 × 3)/4)-13</t>
        </is>
      </c>
      <c r="I520" s="124">
        <f>(($J$126-182-(113.25*3))/4)-13</f>
        <v/>
      </c>
      <c r="J520" s="151">
        <f>$J$120*4</f>
        <v/>
      </c>
      <c r="K520" s="278">
        <f>(D520*I520)/10^6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n"/>
      <c r="E521" s="143" t="n"/>
      <c r="F521" s="155" t="n"/>
      <c r="G521" s="156" t="n"/>
      <c r="H521" s="143" t="n"/>
      <c r="I521" s="130" t="n"/>
      <c r="J521" s="153" t="n"/>
      <c r="K521" s="278">
        <f>K520*J520</f>
        <v/>
      </c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IF(B523="","",+A519+1)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68">
    <mergeCell ref="I178:J178"/>
    <mergeCell ref="I158:J158"/>
    <mergeCell ref="I174:J174"/>
    <mergeCell ref="D127:G127"/>
    <mergeCell ref="I168:J168"/>
    <mergeCell ref="I164:J164"/>
    <mergeCell ref="A131:J131"/>
    <mergeCell ref="D121:G121"/>
    <mergeCell ref="H161:H162"/>
    <mergeCell ref="I189:J189"/>
    <mergeCell ref="I160:J160"/>
    <mergeCell ref="I154:J154"/>
    <mergeCell ref="I183:J183"/>
    <mergeCell ref="I163:J163"/>
    <mergeCell ref="H167:H168"/>
    <mergeCell ref="I188:J188"/>
    <mergeCell ref="I179:J179"/>
    <mergeCell ref="A170:J170"/>
    <mergeCell ref="I175:J175"/>
    <mergeCell ref="D129:G129"/>
    <mergeCell ref="A117:J117"/>
    <mergeCell ref="J123:J124"/>
    <mergeCell ref="D123:G123"/>
    <mergeCell ref="H163:H166"/>
    <mergeCell ref="I156:J156"/>
    <mergeCell ref="A518:J518"/>
    <mergeCell ref="I185:J185"/>
    <mergeCell ref="H159:H160"/>
    <mergeCell ref="A320:J320"/>
    <mergeCell ref="F331:G331"/>
    <mergeCell ref="H120:I121"/>
    <mergeCell ref="I159:J159"/>
    <mergeCell ref="I184:J184"/>
    <mergeCell ref="F334:G334"/>
    <mergeCell ref="F330:G330"/>
    <mergeCell ref="D119:G119"/>
    <mergeCell ref="D163:D166"/>
    <mergeCell ref="I171:J171"/>
    <mergeCell ref="I165:J165"/>
    <mergeCell ref="I162:J162"/>
    <mergeCell ref="I181:J181"/>
    <mergeCell ref="H126:I127"/>
    <mergeCell ref="I176:J176"/>
    <mergeCell ref="I186:J186"/>
    <mergeCell ref="I161:J161"/>
    <mergeCell ref="I155:J155"/>
    <mergeCell ref="A6:J6"/>
    <mergeCell ref="D161:D162"/>
    <mergeCell ref="I177:J177"/>
    <mergeCell ref="I173:J173"/>
    <mergeCell ref="I180:J180"/>
    <mergeCell ref="I167:J167"/>
    <mergeCell ref="D167:D168"/>
    <mergeCell ref="I157:J157"/>
    <mergeCell ref="J120:J121"/>
    <mergeCell ref="I166:J166"/>
    <mergeCell ref="A426:J426"/>
    <mergeCell ref="A125:B125"/>
    <mergeCell ref="I182:J182"/>
    <mergeCell ref="I172:J172"/>
    <mergeCell ref="I169:J169"/>
    <mergeCell ref="D159:D160"/>
    <mergeCell ref="J126:J127"/>
    <mergeCell ref="F520:G520"/>
    <mergeCell ref="D125:G125"/>
    <mergeCell ref="H123:I124"/>
    <mergeCell ref="A213:J213"/>
    <mergeCell ref="I187:J187"/>
  </mergeCells>
  <dataValidations disablePrompts="1"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$O$172:$O$190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2" errors="blank"/>
  <rowBreaks count="4" manualBreakCount="4">
    <brk id="111" min="0" max="9" man="1"/>
    <brk id="207" min="0" max="9" man="1"/>
    <brk id="314" min="0" max="9" man="1"/>
    <brk id="420" min="0" max="9" man="1"/>
  </rowBreaks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0">
    <tabColor theme="5" tint="-0.249977111117893"/>
    <outlinePr summaryBelow="1" summaryRight="1"/>
    <pageSetUpPr/>
  </sheetPr>
  <dimension ref="A2:AJ527"/>
  <sheetViews>
    <sheetView showGridLines="0" view="pageBreakPreview" topLeftCell="A112" zoomScale="75" zoomScaleNormal="75" zoomScaleSheetLayoutView="75" workbookViewId="0">
      <selection activeCell="C121" sqref="C121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customWidth="1" style="344" min="8" max="8"/>
    <col width="11.109375" bestFit="1" customWidth="1" style="344" min="9" max="9"/>
    <col width="11.6640625" customWidth="1" style="112" min="10" max="10"/>
    <col width="10" bestFit="1" customWidth="1" style="344" min="12" max="12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240-4 Panel (4R)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FG-240-4P4R-01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3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24" t="n"/>
      <c r="L117" s="325" t="n"/>
      <c r="M117" s="325" t="n"/>
      <c r="N117" s="325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บางใหญ่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POWDER COATED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2550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2015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  <c r="P129" s="278" t="inlineStr">
        <is>
          <t>POWDER COATED</t>
        </is>
      </c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8</v>
      </c>
      <c r="U133" s="283" t="inlineStr">
        <is>
          <t>(W-182-(113.25 × 3))/4</t>
        </is>
      </c>
      <c r="V133" s="307">
        <f>($J$126-182-(113.25*3))/4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8</v>
      </c>
      <c r="U134" s="283" t="inlineStr">
        <is>
          <t>(W-182-(113.25 × 3))/4</t>
        </is>
      </c>
      <c r="V134" s="307">
        <f>($J$126-182-(113.25*3))/4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8</v>
      </c>
      <c r="U135" s="283" t="inlineStr">
        <is>
          <t>(W-182-(113.25 × 3))/4</t>
        </is>
      </c>
      <c r="V135" s="307">
        <f>($J$126-182-(113.25*3))/4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8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8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8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4</v>
      </c>
      <c r="H141" s="143" t="inlineStr">
        <is>
          <t>45° (W-60-(4+1)×4)/4</t>
        </is>
      </c>
      <c r="I141" s="178">
        <f>($J$126-60-(4+1)*4)/4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4</v>
      </c>
      <c r="H142" s="143" t="inlineStr">
        <is>
          <t>45° (W-60-(4+1)×4)/4</t>
        </is>
      </c>
      <c r="I142" s="178">
        <f>($J$126-60-(4+1)*4)/4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30" t="n"/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5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4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47">
        <f>VLOOKUP(C167,$C$133:$H$153,2,0)</f>
        <v/>
      </c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513">
        <f>ROUNDUP(((F167*G167)+(F168*G168))/6400,0)</f>
        <v/>
      </c>
    </row>
    <row r="168" outlineLevel="1" customFormat="1" s="278" thickBot="1">
      <c r="A168" s="213">
        <f>IF(B168="","",+A167+1)</f>
        <v/>
      </c>
      <c r="B168" s="173">
        <f>B146</f>
        <v/>
      </c>
      <c r="C168" s="173">
        <f>C146</f>
        <v/>
      </c>
      <c r="D168" s="648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9" t="n"/>
      <c r="I168" s="501" t="n"/>
    </row>
    <row r="169" ht="24.9" customFormat="1" customHeight="1" s="278" thickBot="1">
      <c r="A169" s="642" t="inlineStr">
        <is>
          <t>PARTS LIST HARDWARE &amp; ACCESSORIES</t>
        </is>
      </c>
      <c r="B169" s="634" t="n"/>
      <c r="C169" s="634" t="n"/>
      <c r="D169" s="634" t="n"/>
      <c r="E169" s="634" t="n"/>
      <c r="F169" s="634" t="n"/>
      <c r="G169" s="634" t="n"/>
      <c r="H169" s="634" t="n"/>
      <c r="I169" s="634" t="n"/>
      <c r="J169" s="635" t="n"/>
    </row>
    <row r="170" ht="35.1" customFormat="1" customHeight="1" s="278" thickBot="1">
      <c r="A170" s="102" t="inlineStr">
        <is>
          <t>ITEM</t>
        </is>
      </c>
      <c r="B170" s="103" t="inlineStr">
        <is>
          <t>THAI</t>
        </is>
      </c>
      <c r="C170" s="103" t="inlineStr">
        <is>
          <t>DESCRIPTION</t>
        </is>
      </c>
      <c r="D170" s="103" t="inlineStr">
        <is>
          <t>PART NO.</t>
        </is>
      </c>
      <c r="E170" s="103" t="inlineStr">
        <is>
          <t>KG/m</t>
        </is>
      </c>
      <c r="F170" s="104" t="inlineStr">
        <is>
          <t>DRAWING</t>
        </is>
      </c>
      <c r="G170" s="103" t="inlineStr">
        <is>
          <t>PER</t>
        </is>
      </c>
      <c r="H170" s="104" t="inlineStr">
        <is>
          <t>QUANTITY</t>
        </is>
      </c>
      <c r="I170" s="104" t="inlineStr">
        <is>
          <t>Pack QTY</t>
        </is>
      </c>
      <c r="J170" s="115" t="inlineStr">
        <is>
          <t>TOTAL</t>
        </is>
      </c>
      <c r="N170" s="101" t="inlineStr">
        <is>
          <t>Glass size</t>
        </is>
      </c>
      <c r="O170" s="246" t="inlineStr">
        <is>
          <t>THAI</t>
        </is>
      </c>
      <c r="P170" s="246" t="inlineStr">
        <is>
          <t>DESCRIPTION</t>
        </is>
      </c>
      <c r="Q170" s="246" t="inlineStr">
        <is>
          <t>PART NO.</t>
        </is>
      </c>
      <c r="R170" s="246" t="inlineStr">
        <is>
          <t>KG/m</t>
        </is>
      </c>
      <c r="S170" s="246" t="inlineStr">
        <is>
          <t>DRAWING</t>
        </is>
      </c>
      <c r="T170" s="246" t="inlineStr">
        <is>
          <t>PER</t>
        </is>
      </c>
      <c r="U170" s="246" t="inlineStr">
        <is>
          <t>QUANTITY</t>
        </is>
      </c>
      <c r="V170" s="246" t="inlineStr">
        <is>
          <t>Pack QTY</t>
        </is>
      </c>
      <c r="W170" s="246" t="inlineStr">
        <is>
          <t>TOTAL</t>
        </is>
      </c>
    </row>
    <row r="171" ht="18" customFormat="1" customHeight="1" s="278">
      <c r="A171" s="200">
        <f>IF(B171="","",1)</f>
        <v/>
      </c>
      <c r="B171" s="140" t="inlineStr">
        <is>
          <t>ตัวรับกลอน</t>
        </is>
      </c>
      <c r="C171" s="140" t="inlineStr">
        <is>
          <t xml:space="preserve">FLUSH BOLT RECEIVER </t>
        </is>
      </c>
      <c r="D171" s="139" t="inlineStr">
        <is>
          <t>04-016</t>
        </is>
      </c>
      <c r="E171" s="143" t="n"/>
      <c r="F171" s="143" t="inlineStr">
        <is>
          <t>04-016</t>
        </is>
      </c>
      <c r="G171" s="143" t="inlineStr">
        <is>
          <t>PC</t>
        </is>
      </c>
      <c r="H171" s="143" t="n">
        <v>2</v>
      </c>
      <c r="I171" s="130" t="n"/>
      <c r="J171" s="131">
        <f>$J$120*H171</f>
        <v/>
      </c>
      <c r="N171" s="101" t="inlineStr">
        <is>
          <t>5,6,18</t>
        </is>
      </c>
      <c r="O171" s="280" t="inlineStr">
        <is>
          <t>5,6,18 mm ยางรองกระจก</t>
        </is>
      </c>
      <c r="P171" s="415" t="inlineStr">
        <is>
          <t>5,6,18 mm CAPTIVE WEDGE</t>
        </is>
      </c>
      <c r="Q171" s="280" t="inlineStr">
        <is>
          <t>02-022</t>
        </is>
      </c>
      <c r="R171" s="213" t="n"/>
      <c r="S171" s="213" t="inlineStr">
        <is>
          <t>02-022</t>
        </is>
      </c>
      <c r="T171" s="213" t="inlineStr">
        <is>
          <t>M</t>
        </is>
      </c>
      <c r="U171" s="650">
        <f>((($I$141*$G$141)+($I$142*$G$142)+($I$143*$G$143)+($I$144*$G$144))/1000)*$J$120</f>
        <v/>
      </c>
      <c r="V171" s="650" t="n">
        <v>100</v>
      </c>
      <c r="W171" s="651">
        <f>ROUNDUP((U171)/100,0)</f>
        <v/>
      </c>
    </row>
    <row r="172" ht="18" customFormat="1" customHeight="1" s="278">
      <c r="A172" s="201">
        <f>IF(B172="","",+A171+1)</f>
        <v/>
      </c>
      <c r="B172" s="140" t="inlineStr">
        <is>
          <t>หมอนรองกระจก</t>
        </is>
      </c>
      <c r="C172" s="140" t="inlineStr">
        <is>
          <t>SETTING BLOCK</t>
        </is>
      </c>
      <c r="D172" s="139" t="inlineStr">
        <is>
          <t>02-037</t>
        </is>
      </c>
      <c r="E172" s="143" t="n"/>
      <c r="F172" s="143" t="inlineStr">
        <is>
          <t>02-037</t>
        </is>
      </c>
      <c r="G172" s="143" t="inlineStr">
        <is>
          <t>PC</t>
        </is>
      </c>
      <c r="H172" s="143" t="n">
        <v>8</v>
      </c>
      <c r="I172" s="130" t="n"/>
      <c r="J172" s="131">
        <f>$J$120*H172</f>
        <v/>
      </c>
      <c r="N172" s="101" t="inlineStr">
        <is>
          <t>12,20</t>
        </is>
      </c>
      <c r="O172" s="280" t="inlineStr">
        <is>
          <t>12,20 mm ยางรองกระจก</t>
        </is>
      </c>
      <c r="P172" s="415" t="inlineStr">
        <is>
          <t>12,20 mm CAPTIVE WEDGE</t>
        </is>
      </c>
      <c r="Q172" s="280" t="inlineStr">
        <is>
          <t>02-032</t>
        </is>
      </c>
      <c r="R172" s="213" t="n"/>
      <c r="S172" s="213" t="inlineStr">
        <is>
          <t>02-032</t>
        </is>
      </c>
      <c r="T172" s="213" t="inlineStr">
        <is>
          <t>M</t>
        </is>
      </c>
      <c r="U172" s="650">
        <f>((($I$141*$G$141)+($I$142*$G$142)+($I$143*$G$143)+($I$144*$G$144))/1000)*$J$120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ประเก็นเฟรมบน</t>
        </is>
      </c>
      <c r="C173" s="140" t="inlineStr">
        <is>
          <t>FRAME SEAL BI-FOLD HEAD (L/R)</t>
        </is>
      </c>
      <c r="D173" s="139" t="inlineStr">
        <is>
          <t>02-015</t>
        </is>
      </c>
      <c r="E173" s="143" t="n"/>
      <c r="F173" s="143" t="inlineStr">
        <is>
          <t>02-015</t>
        </is>
      </c>
      <c r="G173" s="143" t="inlineStr">
        <is>
          <t>PC</t>
        </is>
      </c>
      <c r="H173" s="143" t="n">
        <v>2</v>
      </c>
      <c r="I173" s="130" t="n"/>
      <c r="J173" s="131">
        <f>$J$120*H173</f>
        <v/>
      </c>
      <c r="N173" s="101" t="inlineStr">
        <is>
          <t>5,8,10,12,18</t>
        </is>
      </c>
      <c r="O173" s="415" t="inlineStr">
        <is>
          <t>5,8,10,12,18 mmยางอัดกระจก</t>
        </is>
      </c>
      <c r="P173" s="415" t="inlineStr">
        <is>
          <t>5,8,10,12,18 mm ROLL IN WEDGE</t>
        </is>
      </c>
      <c r="Q173" s="280" t="inlineStr">
        <is>
          <t>02-033</t>
        </is>
      </c>
      <c r="R173" s="213" t="n"/>
      <c r="S173" s="213" t="inlineStr">
        <is>
          <t>02-033</t>
        </is>
      </c>
      <c r="T173" s="213" t="inlineStr">
        <is>
          <t>M</t>
        </is>
      </c>
      <c r="U173" s="650">
        <f>((($I$141*$G$141)+($I$142*$G$142)+($I$143*$G$143)+($I$144*$G$144))/1000)*$J$120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ประเก็นเฟรมล่าง</t>
        </is>
      </c>
      <c r="C174" s="140" t="inlineStr">
        <is>
          <t>FRAME SEAL BI-FOLD SILL (L/R)</t>
        </is>
      </c>
      <c r="D174" s="139" t="inlineStr">
        <is>
          <t>02-016</t>
        </is>
      </c>
      <c r="E174" s="143" t="n"/>
      <c r="F174" s="143" t="inlineStr">
        <is>
          <t>02-016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6,20</t>
        </is>
      </c>
      <c r="O174" s="415" t="inlineStr">
        <is>
          <t>6,20 mm ยางอัดกระจก</t>
        </is>
      </c>
      <c r="P174" s="415" t="inlineStr">
        <is>
          <t>6,20 mm ROLL IN WEDGE</t>
        </is>
      </c>
      <c r="Q174" s="280" t="inlineStr">
        <is>
          <t>02-034</t>
        </is>
      </c>
      <c r="R174" s="213" t="n"/>
      <c r="S174" s="213" t="inlineStr">
        <is>
          <t>02-034</t>
        </is>
      </c>
      <c r="T174" s="213" t="inlineStr">
        <is>
          <t>M</t>
        </is>
      </c>
      <c r="U174" s="650">
        <f>((($I$141*$G$141)+($I$142*$G$142)+($I$143*$G$143)+($I$144*$G$144))/1000)*$J$120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38</t>
        </is>
      </c>
      <c r="C175" s="140" t="inlineStr">
        <is>
          <t>#8x38 mm. SS PH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16</v>
      </c>
      <c r="I175" s="130" t="n"/>
      <c r="J175" s="131">
        <f>$J$120*H175</f>
        <v/>
      </c>
      <c r="N175" s="101" t="inlineStr">
        <is>
          <t>8,14</t>
        </is>
      </c>
      <c r="O175" s="415" t="inlineStr">
        <is>
          <t>8,14 mm ยางอัดกระจก</t>
        </is>
      </c>
      <c r="P175" s="415" t="inlineStr">
        <is>
          <t>8,14 mm ROLL IN WEDGE</t>
        </is>
      </c>
      <c r="Q175" s="280" t="inlineStr">
        <is>
          <t>02-045</t>
        </is>
      </c>
      <c r="R175" s="213" t="n"/>
      <c r="S175" s="213" t="inlineStr">
        <is>
          <t>02-045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12</t>
        </is>
      </c>
      <c r="C176" s="140" t="inlineStr">
        <is>
          <t>#8x12 mm. CSK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32</v>
      </c>
      <c r="I176" s="130" t="n"/>
      <c r="J176" s="131">
        <f>$J$120*H176</f>
        <v/>
      </c>
    </row>
    <row r="177" ht="18" customFormat="1" customHeight="1" s="278">
      <c r="A177" s="201">
        <f>IF(B177="","",+A176+1)</f>
        <v/>
      </c>
      <c r="B177" s="140" t="inlineStr">
        <is>
          <t>ชุดล้อแขวนบานตายขวา</t>
        </is>
      </c>
      <c r="C177" s="140" t="inlineStr">
        <is>
          <t>Right Hand Pivot Set</t>
        </is>
      </c>
      <c r="D177" s="139" t="inlineStr">
        <is>
          <t>05-007</t>
        </is>
      </c>
      <c r="E177" s="143" t="n"/>
      <c r="F177" s="143" t="inlineStr">
        <is>
          <t>05-007</t>
        </is>
      </c>
      <c r="G177" s="143" t="inlineStr">
        <is>
          <t>SET</t>
        </is>
      </c>
      <c r="H177" s="143" t="n">
        <v>1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ชุดล้อแขวนบานเปิด</t>
        </is>
      </c>
      <c r="C178" s="140" t="inlineStr">
        <is>
          <t>Left Hand End Carrier Set</t>
        </is>
      </c>
      <c r="D178" s="139" t="inlineStr">
        <is>
          <t>05-008</t>
        </is>
      </c>
      <c r="E178" s="143" t="n"/>
      <c r="F178" s="143" t="inlineStr">
        <is>
          <t>05-008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ชุดล้อแขวนบานกลาง</t>
        </is>
      </c>
      <c r="C179" s="140" t="inlineStr">
        <is>
          <t>Intermediate Carrier Set</t>
        </is>
      </c>
      <c r="D179" s="139" t="inlineStr">
        <is>
          <t>05-011</t>
        </is>
      </c>
      <c r="E179" s="143" t="n"/>
      <c r="F179" s="143" t="inlineStr">
        <is>
          <t>05-011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  <c r="N180" s="278" t="n"/>
      <c r="O180" s="278" t="n"/>
      <c r="P180" s="278" t="n"/>
      <c r="Q180" s="442" t="n"/>
      <c r="R180" s="442" t="n"/>
      <c r="S180" s="442" t="n"/>
      <c r="T180" s="109" t="n"/>
      <c r="U180" s="109" t="n"/>
      <c r="V180" s="109" t="n"/>
      <c r="W180" s="278" t="n"/>
    </row>
    <row r="181" ht="18" customFormat="1" customHeight="1" s="278">
      <c r="A181" s="201">
        <f>IF(B181="","",+A180+1)</f>
        <v/>
      </c>
      <c r="B181" s="140" t="inlineStr">
        <is>
          <t>ชุดสลักล็อค</t>
        </is>
      </c>
      <c r="C181" s="140" t="inlineStr">
        <is>
          <t>Twin Bolt + Rods</t>
        </is>
      </c>
      <c r="D181" s="139" t="inlineStr">
        <is>
          <t>05-014</t>
        </is>
      </c>
      <c r="E181" s="143" t="n"/>
      <c r="F181" s="143" t="inlineStr">
        <is>
          <t>05-014</t>
        </is>
      </c>
      <c r="G181" s="143" t="inlineStr">
        <is>
          <t>SET</t>
        </is>
      </c>
      <c r="H181" s="143" t="n">
        <v>2</v>
      </c>
      <c r="I181" s="144" t="n"/>
      <c r="J181" s="131">
        <f>$J$120*H181</f>
        <v/>
      </c>
      <c r="N181" s="101" t="inlineStr">
        <is>
          <t>FRAME SEAL</t>
        </is>
      </c>
      <c r="O181" s="246" t="inlineStr">
        <is>
          <t>THAI</t>
        </is>
      </c>
      <c r="P181" s="246" t="inlineStr">
        <is>
          <t>DESCRIPTION</t>
        </is>
      </c>
      <c r="Q181" s="246" t="inlineStr">
        <is>
          <t>PART NO.</t>
        </is>
      </c>
      <c r="R181" s="246" t="inlineStr">
        <is>
          <t>KG/m</t>
        </is>
      </c>
      <c r="S181" s="246" t="inlineStr">
        <is>
          <t>DRAWING</t>
        </is>
      </c>
      <c r="T181" s="246" t="inlineStr">
        <is>
          <t>PER</t>
        </is>
      </c>
      <c r="U181" s="246" t="inlineStr">
        <is>
          <t>QUANTITY</t>
        </is>
      </c>
      <c r="V181" s="246" t="inlineStr">
        <is>
          <t>Pack QTY</t>
        </is>
      </c>
      <c r="W181" s="246" t="inlineStr">
        <is>
          <t>TOTAL</t>
        </is>
      </c>
    </row>
    <row r="182" ht="18" customFormat="1" customHeight="1" s="278">
      <c r="A182" s="201">
        <f>IF(B182="","",+A181+1)</f>
        <v/>
      </c>
      <c r="B182" s="140" t="inlineStr">
        <is>
          <t>ตัวประคองสลักล็อค</t>
        </is>
      </c>
      <c r="C182" s="140" t="inlineStr">
        <is>
          <t>Guide twin Bolt Rods</t>
        </is>
      </c>
      <c r="D182" s="139" t="inlineStr">
        <is>
          <t>04-009</t>
        </is>
      </c>
      <c r="E182" s="143" t="n"/>
      <c r="F182" s="143" t="inlineStr">
        <is>
          <t>04-009</t>
        </is>
      </c>
      <c r="G182" s="143" t="inlineStr">
        <is>
          <t>PC</t>
        </is>
      </c>
      <c r="H182" s="143" t="n">
        <v>4</v>
      </c>
      <c r="I182" s="144" t="n"/>
      <c r="J182" s="131">
        <f>$J$120*H182</f>
        <v/>
      </c>
      <c r="N182" s="101" t="inlineStr">
        <is>
          <t>ธรรมดา</t>
        </is>
      </c>
      <c r="O182" s="415" t="inlineStr">
        <is>
          <t>ยางเฟรมกันน้ำ (ธรรมดา)</t>
        </is>
      </c>
      <c r="P182" s="415" t="inlineStr">
        <is>
          <t>FRAME SEAL (Standard)</t>
        </is>
      </c>
      <c r="Q182" s="280" t="inlineStr">
        <is>
          <t>02-026</t>
        </is>
      </c>
      <c r="R182" s="213" t="n"/>
      <c r="S182" s="213" t="inlineStr">
        <is>
          <t>02-026</t>
        </is>
      </c>
      <c r="T182" s="213" t="inlineStr">
        <is>
          <t>M</t>
        </is>
      </c>
      <c r="U182" s="650">
        <f>((($I$134*$G$134)+($I$136*$G$136)+($I$139*$G$139))/1000)*$J$120</f>
        <v/>
      </c>
      <c r="V182" s="650" t="n">
        <v>300</v>
      </c>
      <c r="W182" s="651">
        <f>ROUNDUP((U182)/V182,0)</f>
        <v/>
      </c>
    </row>
    <row r="183" ht="18" customFormat="1" customHeight="1" s="278">
      <c r="A183" s="201">
        <f>IF(B183="","",+A182+1)</f>
        <v/>
      </c>
      <c r="B183" s="140" t="inlineStr">
        <is>
          <t>รางเสริมเปลี่ยนล้อ</t>
        </is>
      </c>
      <c r="C183" s="140" t="inlineStr">
        <is>
          <t>35 SERIES TRACK INSERT</t>
        </is>
      </c>
      <c r="D183" s="139" t="inlineStr">
        <is>
          <t>04-004</t>
        </is>
      </c>
      <c r="E183" s="143" t="n"/>
      <c r="F183" s="143" t="inlineStr">
        <is>
          <t>04-004</t>
        </is>
      </c>
      <c r="G183" s="143" t="inlineStr">
        <is>
          <t>PC</t>
        </is>
      </c>
      <c r="H183" s="143" t="n">
        <v>1</v>
      </c>
      <c r="I183" s="144" t="n"/>
      <c r="J183" s="131">
        <f>$J$120*H183</f>
        <v/>
      </c>
      <c r="N183" s="101" t="inlineStr">
        <is>
          <t>กันเสียง</t>
        </is>
      </c>
      <c r="O183" s="415" t="inlineStr">
        <is>
          <t>ยางเฟรมกันน้ำ (กันเสียง)</t>
        </is>
      </c>
      <c r="P183" s="415" t="inlineStr">
        <is>
          <t>FRAME SEAL (Soumdproof)</t>
        </is>
      </c>
      <c r="Q183" s="280" t="inlineStr">
        <is>
          <t>02-025</t>
        </is>
      </c>
      <c r="R183" s="213" t="n"/>
      <c r="S183" s="213" t="inlineStr">
        <is>
          <t>02-025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100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39">
        <f>IF($D$129="Standard",$O$182,IF($D$129="Soumdproof",$O$183,))</f>
        <v/>
      </c>
      <c r="C184" s="139">
        <f>IF($D$129="Standard",$P$182,IF($D$129="Soumdproof",$P$183,))</f>
        <v/>
      </c>
      <c r="D184" s="139">
        <f>IF($D$129="Standard",$Q$182,IF($D$129="Soumdproof",$Q$183,))</f>
        <v/>
      </c>
      <c r="E184" s="143">
        <f>IF($D$129="Standard",R183,IF($D$129="Soumdproof",R184,))</f>
        <v/>
      </c>
      <c r="F184" s="143">
        <f>IF($D$129="Standard",$S$182,IF($D$129="Soumdproof",$S$183,))</f>
        <v/>
      </c>
      <c r="G184" s="143">
        <f>IF($D$129="Standard",$T$182,IF($D$129="Soumdproof",$T$183,))</f>
        <v/>
      </c>
      <c r="H184" s="652">
        <f>IF($D$129="Standard",$U$182,IF($D$129="Soumdproof",$U$183,))</f>
        <v/>
      </c>
      <c r="I184" s="653">
        <f>IF($D$129="Standard",$V$182,IF($D$129="Soumdproof",$V$183,))</f>
        <v/>
      </c>
      <c r="J184" s="654">
        <f>ROUNDUP((H184)/100,0)</f>
        <v/>
      </c>
      <c r="N184" s="101" t="inlineStr">
        <is>
          <t>ธรรมดา</t>
        </is>
      </c>
      <c r="O184" s="415" t="inlineStr">
        <is>
          <t>ยางแซชกันน้ำ (ธรรมดา)</t>
        </is>
      </c>
      <c r="P184" s="415" t="inlineStr">
        <is>
          <t>SASH SEAL FOAM (Standard)</t>
        </is>
      </c>
      <c r="Q184" s="280" t="inlineStr">
        <is>
          <t>02-031</t>
        </is>
      </c>
      <c r="R184" s="213" t="n"/>
      <c r="S184" s="213" t="inlineStr">
        <is>
          <t>02-031</t>
        </is>
      </c>
      <c r="T184" s="213" t="inlineStr">
        <is>
          <t>M</t>
        </is>
      </c>
      <c r="U184" s="650">
        <f>((($I$141*$G$141*2)+($I$143*$G$143*2)+($I$144*$G$144*2))/1000)*$J$120</f>
        <v/>
      </c>
      <c r="V184" s="650" t="n">
        <v>350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39">
        <f>IF($D$129="Standard",$O$184,IF($D$129="Soumdproof",$O$185,))</f>
        <v/>
      </c>
      <c r="C185" s="139">
        <f>IF($D$129="Standard",$P$184,IF($D$129="Soumdproof",$P$185,))</f>
        <v/>
      </c>
      <c r="D185" s="139">
        <f>IF($D$129="Standard",$Q$184,IF($D$129="Soumdproof",$Q$185,))</f>
        <v/>
      </c>
      <c r="E185" s="143">
        <f>IF($D$129="Standard",R185,IF($D$129="Soumdproof",R186,))</f>
        <v/>
      </c>
      <c r="F185" s="143">
        <f>IF($D$129="Standard",$S$184,IF($D$129="Soumdproof",$S$185,))</f>
        <v/>
      </c>
      <c r="G185" s="143">
        <f>IF($D$129="Standard",$T$184,IF($D$129="Soumdproof",$T$185,))</f>
        <v/>
      </c>
      <c r="H185" s="652">
        <f>IF($D$129="Standard",$U$184,IF($D$129="Soumdproof",$U$185,))</f>
        <v/>
      </c>
      <c r="I185" s="653">
        <f>IF($D$129="Standard",$V$184,IF($D$129="Soumdproof",$V$185,))</f>
        <v/>
      </c>
      <c r="J185" s="654">
        <f>ROUNDUP((H185)/100,0)</f>
        <v/>
      </c>
      <c r="N185" s="101" t="inlineStr">
        <is>
          <t>กันเสียง</t>
        </is>
      </c>
      <c r="O185" s="415" t="inlineStr">
        <is>
          <t>ยางแซชกันน้ำ (กันเสียง)</t>
        </is>
      </c>
      <c r="P185" s="415" t="inlineStr">
        <is>
          <t>SASH SEAL FOAM (Soumdproof)</t>
        </is>
      </c>
      <c r="Q185" s="280" t="inlineStr">
        <is>
          <t>02-035</t>
        </is>
      </c>
      <c r="R185" s="213" t="n"/>
      <c r="S185" s="213" t="inlineStr">
        <is>
          <t>02-035</t>
        </is>
      </c>
      <c r="T185" s="213" t="inlineStr">
        <is>
          <t>M</t>
        </is>
      </c>
      <c r="U185" s="650">
        <f>((($I$141*$G$141*2)+($I$143*$G$143*2)+($I$144*$G$144*2))/1000)*$J$120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296">
        <f>IF($D$127=5,$O$173,IF($D$127=6,$O$174,IF($D$127=8,$O$175,IF($D$127=10,$O$173,IF($D$127=12,$O$173,IF($D$127=14,$O$175,IF($D$127=18,$O$173,IF($D$127=20,$O$174,IF($D$127=22,"")))))))))</f>
        <v/>
      </c>
      <c r="C186" s="296">
        <f>IF($D$127=5,$P$173,IF($D$127=6,$P$174,IF($D$127=8,$P$175,IF($D$127=10,$P$173,IF($D$127=12,$P$173,IF($D$127=14,$P$175,IF($D$127=18,$P$173,IF($D$127=20,$P$174,IF($D$127=22,"")))))))))</f>
        <v/>
      </c>
      <c r="D186" s="296">
        <f>IF($D$127=5,$Q$173,IF($D$127=6,$Q$174,IF($D$127=8,$Q$175,IF($D$127=10,$Q$173,IF($D$127=12,$Q$173,IF($D$127=14,$Q$175,IF($D$127=18,$Q$173,IF($D$127=20,$Q$174,IF($D$127=22,"")))))))))</f>
        <v/>
      </c>
      <c r="E186" s="296">
        <f>IF($D$127=5,R174,IF($D$127=6,R175,IF($D$127=8,R176,IF($D$127=10,R174,IF($D$127=12,R174,IF($D$127=14,R176,IF($D$127=18,R174,IF($D$127=20,R175,IF($D$127=22,"",)))))))))</f>
        <v/>
      </c>
      <c r="F186" s="242">
        <f>IF($D$127=5,$S$173,IF($D$127=6,$S$174,IF($D$127=8,$S$175,IF($D$127=10,$S$173,IF($D$127=12,$S$173,IF($D$127=14,$S$175,IF($D$127=18,$S$173,IF($D$127=20,$S$174,IF($D$127=22,"")))))))))</f>
        <v/>
      </c>
      <c r="G186" s="242">
        <f>IF($D$127=5,$T$173,IF($D$127=6,$T$174,IF($D$127=8,$T$175,IF($D$127=10,$T$173,IF($D$127=12,$T$173,IF($D$127=14,$T$175,IF($D$127=18,$T$173,IF($D$127=20,$T$174,IF($D$127=22,"")))))))))</f>
        <v/>
      </c>
      <c r="H186" s="652">
        <f>IF($D$127=5,$U$173,IF($D$127=6,$U$174,IF($D$127=8,$U$175,IF($D$127=10,$U$173*2,IF($D$127=12,$U$173,IF($D$127=14,$U$175*2,IF($D$127=18,$U$173,IF($D$127=20,$U$174,IF($D$127=22,"")))))))))</f>
        <v/>
      </c>
      <c r="I186" s="653">
        <f>IF($D$127=5,$V$173,IF($D$127=6,$V$174,IF($D$127=8,$V$175,IF($D$127=10,$V$173,IF($D$127=12,$V$173,IF($D$127=14,$V$175,IF($D$127=18,$V$173,IF($D$127=20,$V$174,IF($D$127=22,"")))))))))</f>
        <v/>
      </c>
      <c r="J186" s="654">
        <f>ROUNDUP((H186)/100,0)</f>
        <v/>
      </c>
    </row>
    <row r="187" ht="18" customFormat="1" customHeight="1" s="278">
      <c r="A187" s="201">
        <f>IF(B187="","",+A186+1)</f>
        <v/>
      </c>
      <c r="B187" s="296">
        <f>IF($D$127=5,$O$171,IF($D$127=6,$O$171,IF($D$127=8,$O$173,IF($D$127=10,"",IF($D$127=12,$O$172,IF($D$127=14,"",IF($D$127=18,$O$171,IF($D$127=20,$O$172,IF($D$127=22,"",)))))))))</f>
        <v/>
      </c>
      <c r="C187" s="296">
        <f>IF($D$127=5,$P$171,IF($D$127=6,$P$171,IF($D$127=8,$P$173,IF($D$127=10,"",IF($D$127=12,$P$172,IF($D$127=14,"",IF($D$127=18,$P$171,IF($D$127=20,$P$172,IF($D$127=22,"",)))))))))</f>
        <v/>
      </c>
      <c r="D187" s="296">
        <f>IF($D$127=5,$Q$171,IF($D$127=6,$Q$171,IF($D$127=8,$Q$173,IF($D$127=10,"",IF($D$127=12,$Q$172,IF($D$127=14,"",IF($D$127=18,$Q$171,IF($D$127=20,$Q$172,IF($D$127=22,"",)))))))))</f>
        <v/>
      </c>
      <c r="E187" s="296">
        <f>IF($D$127=5,R172,IF($D$127=6,R172,IF($D$127=8,R174,IF($D$127=10,"",IF($D$127=12,R173,IF($D$127=14,"",IF($D$127=18,R172,IF($D$127=20,R173,IF($D$127=22,"",)))))))))</f>
        <v/>
      </c>
      <c r="F187" s="242">
        <f>IF($D$127=5,$S$171,IF($D$127=6,$S$171,IF($D$127=8,$S$173,IF($D$127=10,"",IF($D$127=12,$S$172,IF($D$127=14,"",IF($D$127=18,$S$171,IF($D$127=20,$S$172,IF($D$127=22,"",)))))))))</f>
        <v/>
      </c>
      <c r="G187" s="242">
        <f>IF($D$127=5,$T$171,IF($D$127=6,$T$171,IF($D$127=8,$T$173,IF($D$127=10,"",IF($D$127=12,$T$172,IF($D$127=14,"",IF($D$127=18,$T$171,IF($D$127=20,$T$172,IF($D$127=22,"",)))))))))</f>
        <v/>
      </c>
      <c r="H187" s="652">
        <f>IF($D$127=5,$U$171,IF($D$127=6,$U$171,IF($D$127=8,$U$173,IF($D$127=10,"",IF($D$127=12,$U$172,IF($D$127=14,"",IF($D$127=18,$U$171,IF($D$127=20,$U$172,IF($D$127=22,"")))))))))</f>
        <v/>
      </c>
      <c r="I187" s="653">
        <f>IF($D$127=5,$V$171,IF($D$127=6,$V$171,IF($D$127=8,$V$173,IF($D$127=10,"",IF($D$127=12,$V$172,IF($D$127=14,"",IF($D$127=18,$V$171,IF($D$127=20,$V$172,IF($D$127=22,"",)))))))))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140" t="n"/>
      <c r="C188" s="140" t="n"/>
      <c r="D188" s="139" t="n"/>
      <c r="E188" s="143" t="n"/>
      <c r="F188" s="143" t="n"/>
      <c r="G188" s="143" t="n"/>
      <c r="H188" s="143" t="n"/>
      <c r="I188" s="144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n"/>
      <c r="C189" s="140" t="n"/>
      <c r="D189" s="139" t="n"/>
      <c r="E189" s="143" t="n"/>
      <c r="F189" s="143" t="n"/>
      <c r="G189" s="143" t="n"/>
      <c r="H189" s="143" t="n"/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Height="1" s="344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  <c r="Y191" s="278" t="n"/>
      <c r="Z191" s="278" t="n"/>
      <c r="AA191" s="278" t="n"/>
      <c r="AB191" s="278" t="n"/>
      <c r="AC191" s="278" t="n"/>
      <c r="AD191" s="278" t="n"/>
      <c r="AE191" s="278" t="n"/>
      <c r="AF191" s="278" t="n"/>
      <c r="AG191" s="278" t="n"/>
      <c r="AH191" s="278" t="n"/>
      <c r="AI191" s="278" t="n"/>
      <c r="AJ191" s="278" t="n"/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IF(B198="","",+""+1)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LEFT($J$111,11)&amp;"-02"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B214" s="93" t="n"/>
      <c r="C214" s="278" t="n"/>
      <c r="D214" s="161" t="n"/>
      <c r="E214" s="35" t="n"/>
      <c r="F214" s="160" t="n"/>
      <c r="I214" s="160" t="n"/>
      <c r="J214" s="532" t="n"/>
    </row>
    <row r="215" ht="15" customFormat="1" customHeight="1" s="278">
      <c r="A215" s="109" t="n"/>
      <c r="B215" s="278" t="n"/>
      <c r="C215" s="89" t="n"/>
      <c r="D215" s="161" t="n"/>
      <c r="E215" s="35" t="n"/>
      <c r="F215" s="161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- 182-(113.25 × 3))/4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- 182-(113.25 × 3))/4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- 182-(113.25 × 3))/4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- 182-(113.25 × 3))/4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$I$145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$J$145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$I$146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$J$146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n"/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n"/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LEFT($J$111,11)&amp;"-03"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35.1" customFormat="1" customHeight="1" s="278">
      <c r="A443" s="109" t="n"/>
      <c r="C443" s="161" t="n"/>
      <c r="D443" s="85" t="n"/>
      <c r="E443" s="40" t="n"/>
      <c r="F443" s="32" t="n"/>
      <c r="H443" s="44" t="n"/>
      <c r="I443" s="501" t="n"/>
      <c r="J443" s="501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501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501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02" t="inlineStr">
        <is>
          <t>ITEM</t>
        </is>
      </c>
      <c r="B518" s="103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86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((W-182-(113.25 × 3)/4)-13</t>
        </is>
      </c>
      <c r="I519" s="124">
        <f>(($J$126-182-(113.25*3))/4)-13</f>
        <v/>
      </c>
      <c r="J519" s="151">
        <f>$J$120*4</f>
        <v/>
      </c>
      <c r="M519" s="278">
        <f>ROW()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346" t="n"/>
      <c r="B520" s="295" t="n"/>
      <c r="C520" s="295" t="n"/>
      <c r="D520" s="296" t="n"/>
      <c r="E520" s="242" t="n"/>
      <c r="F520" s="251" t="n"/>
      <c r="G520" s="297" t="n"/>
      <c r="H520" s="242" t="n"/>
      <c r="I520" s="298" t="n"/>
      <c r="J520" s="299" t="n"/>
      <c r="M520" s="278">
        <f>ROW()</f>
        <v/>
      </c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43">
        <f>IF(B522="","",+""+1)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M522" s="278">
        <f>ROW()</f>
        <v/>
      </c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M523" s="278">
        <f>ROW()</f>
        <v/>
      </c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M524" s="278">
        <f>ROW()</f>
        <v/>
      </c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J525" s="99">
        <f>LEFT($J$111,11)&amp;"-05"</f>
        <v/>
      </c>
      <c r="M525" s="278">
        <f>ROW()</f>
        <v/>
      </c>
      <c r="N525" s="415" t="inlineStr">
        <is>
          <t>กระจก 18 mm (สูง) (กว้าง)</t>
        </is>
      </c>
      <c r="O525" s="415" t="inlineStr">
        <is>
          <t>GLASS thk.18 mm (H) (W)</t>
        </is>
      </c>
    </row>
    <row r="526">
      <c r="M526" s="278">
        <f>ROW()</f>
        <v/>
      </c>
      <c r="N526" s="415" t="inlineStr">
        <is>
          <t>กระจก 20 mm (สูง) (กว้าง)</t>
        </is>
      </c>
      <c r="O526" s="415" t="inlineStr">
        <is>
          <t>GLASS thk.20 mm (H) (W)</t>
        </is>
      </c>
    </row>
    <row r="527">
      <c r="M527" s="278">
        <f>ROW()</f>
        <v/>
      </c>
      <c r="N527" s="415" t="inlineStr">
        <is>
          <t>กระจก 22 mm (สูง) (กว้าง)</t>
        </is>
      </c>
      <c r="O527" s="415" t="inlineStr">
        <is>
          <t>GLASS thk.22 mm (H) (W)</t>
        </is>
      </c>
    </row>
  </sheetData>
  <mergeCells count="43">
    <mergeCell ref="I162:J165"/>
    <mergeCell ref="I158:J158"/>
    <mergeCell ref="D127:G127"/>
    <mergeCell ref="I168:J168"/>
    <mergeCell ref="A131:J131"/>
    <mergeCell ref="D121:G121"/>
    <mergeCell ref="H161:H162"/>
    <mergeCell ref="I154:J154"/>
    <mergeCell ref="H167:H168"/>
    <mergeCell ref="D129:G129"/>
    <mergeCell ref="F329:G329"/>
    <mergeCell ref="D123:G123"/>
    <mergeCell ref="I166:J167"/>
    <mergeCell ref="J123:J124"/>
    <mergeCell ref="A117:J117"/>
    <mergeCell ref="I156:J156"/>
    <mergeCell ref="H163:H166"/>
    <mergeCell ref="H159:H160"/>
    <mergeCell ref="H120:I121"/>
    <mergeCell ref="A319:J319"/>
    <mergeCell ref="F330:G330"/>
    <mergeCell ref="D119:G119"/>
    <mergeCell ref="D163:D166"/>
    <mergeCell ref="A169:J169"/>
    <mergeCell ref="H126:I127"/>
    <mergeCell ref="I155:J155"/>
    <mergeCell ref="I161:J161"/>
    <mergeCell ref="A6:J6"/>
    <mergeCell ref="D161:D162"/>
    <mergeCell ref="A517:J517"/>
    <mergeCell ref="F519:G519"/>
    <mergeCell ref="A212:J212"/>
    <mergeCell ref="F333:G333"/>
    <mergeCell ref="J120:J121"/>
    <mergeCell ref="I157:J157"/>
    <mergeCell ref="D167:D168"/>
    <mergeCell ref="A426:J426"/>
    <mergeCell ref="A125:B125"/>
    <mergeCell ref="J126:J127"/>
    <mergeCell ref="D159:D160"/>
    <mergeCell ref="I159:J160"/>
    <mergeCell ref="D125:G125"/>
    <mergeCell ref="H123:I124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$AA$171:$AA$189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11">
    <tabColor theme="5" tint="-0.249977111117893"/>
    <outlinePr summaryBelow="1" summaryRight="1"/>
    <pageSetUpPr/>
  </sheetPr>
  <dimension ref="A2:X529"/>
  <sheetViews>
    <sheetView showGridLines="0" view="pageBreakPreview" topLeftCell="A28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(1L4R)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FG-240-5P1L4R-01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2400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3250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(W-185-(113.25 × 4))/5</t>
        </is>
      </c>
      <c r="V133" s="285">
        <f>($J$126-185-(113.25*4))/5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283" t="inlineStr">
        <is>
          <t>(W-185-(113.25 × 4))/5</t>
        </is>
      </c>
      <c r="V134" s="285">
        <f>($J$126-185-(113.25*4))/5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83" t="inlineStr">
        <is>
          <t>(W-185-(113.25 × 4))/5</t>
        </is>
      </c>
      <c r="V135" s="285">
        <f>($J$126-185-(113.25*4))/5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n"/>
      <c r="H174" s="143" t="n">
        <v>10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n"/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n"/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n"/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n"/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ชุดล้อแขวนบานตายซ้าย</t>
        </is>
      </c>
      <c r="C179" s="140" t="inlineStr">
        <is>
          <t>Left Hand Pivot Set</t>
        </is>
      </c>
      <c r="D179" s="139" t="inlineStr">
        <is>
          <t>05-006</t>
        </is>
      </c>
      <c r="E179" s="143" t="n"/>
      <c r="F179" s="143" t="inlineStr">
        <is>
          <t>05-006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ชุดล้อแขวนบานตายขวา</t>
        </is>
      </c>
      <c r="C180" s="140" t="inlineStr">
        <is>
          <t>Right Hand Pivot Set</t>
        </is>
      </c>
      <c r="D180" s="139" t="inlineStr">
        <is>
          <t>05-007</t>
        </is>
      </c>
      <c r="E180" s="143" t="n"/>
      <c r="F180" s="143" t="inlineStr">
        <is>
          <t>05-007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ชุดล้อแขวนบานกลาง</t>
        </is>
      </c>
      <c r="C181" s="140" t="inlineStr">
        <is>
          <t>Intermediate Carrier Set</t>
        </is>
      </c>
      <c r="D181" s="139" t="inlineStr">
        <is>
          <t>05-011</t>
        </is>
      </c>
      <c r="E181" s="143" t="n"/>
      <c r="F181" s="143" t="inlineStr">
        <is>
          <t>05-011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ชุดบานพับต่างระดับมีมือจับ</t>
        </is>
      </c>
      <c r="C182" s="140" t="inlineStr">
        <is>
          <t>offset Hinge Handle Set</t>
        </is>
      </c>
      <c r="D182" s="139" t="inlineStr">
        <is>
          <t>05-005</t>
        </is>
      </c>
      <c r="E182" s="143" t="n"/>
      <c r="F182" s="143" t="inlineStr">
        <is>
          <t>05-005</t>
        </is>
      </c>
      <c r="G182" s="143" t="inlineStr">
        <is>
          <t>SET</t>
        </is>
      </c>
      <c r="H182" s="143" t="n">
        <v>2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ชุดล้อแขวนบานเปิด</t>
        </is>
      </c>
      <c r="C183" s="140" t="inlineStr">
        <is>
          <t>Left Hand End Carrier Set</t>
        </is>
      </c>
      <c r="D183" s="139" t="inlineStr">
        <is>
          <t>05-008</t>
        </is>
      </c>
      <c r="E183" s="143" t="n"/>
      <c r="F183" s="143" t="inlineStr">
        <is>
          <t>05-008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4</v>
      </c>
      <c r="I186" s="144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((($I$141*$G$141*2)+($I$143*$G$143*2)+($I$145*$G$145*2))/1000)*$J$120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2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((($I$141*$G$141*2)+($I$143*$G$143*2)+($I$145*$G$145*2))/1000)*$J$120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((($I$148*$G$148)+($I$149*$G$149))/1000)*$J$120</f>
        <v/>
      </c>
      <c r="I189" s="653" t="n">
        <v>100</v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((($I$144*$G$144)+($I$145*$G$145))/1000)*$J$120</f>
        <v/>
      </c>
      <c r="I190" s="653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IF($D$129="Standard",$O$185,IF($D$129="Soumdproof",$O$186,))</f>
        <v/>
      </c>
      <c r="C191" s="139">
        <f>IF($D$129="Standard",$P$185,IF($D$129="Soumdproof",$P$186,))</f>
        <v/>
      </c>
      <c r="D191" s="139">
        <f>IF($D$129="Standard",$Q$185,IF($D$129="Soumdproof",$Q$186,))</f>
        <v/>
      </c>
      <c r="E191" s="143">
        <f>IF($D$129="Standard",R188,IF($D$129="Soumdproof",R189,))</f>
        <v/>
      </c>
      <c r="F191" s="143">
        <f>IF($D$129="Standard",$S$185,IF($D$129="Soumdproof",$S$186,))</f>
        <v/>
      </c>
      <c r="G191" s="143">
        <f>IF($D$129="Standard",$T$185,IF($D$129="Soumdproof",$T$186,))</f>
        <v/>
      </c>
      <c r="H191" s="652">
        <f>IF($D$129="Standard",$U$185,IF($D$129="Soumdproof",$U$186,))</f>
        <v/>
      </c>
      <c r="I191" s="653">
        <f>IF($D$129="Standard",$V$185,IF($D$129="Soumdproof",$V$186,))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IF($D$129="Standard",$O$187,IF($D$129="Soumdproof",$O$188,))</f>
        <v/>
      </c>
      <c r="C192" s="139">
        <f>IF($D$129="Standard",$P$187,IF($D$129="Soumdproof",$P$188,))</f>
        <v/>
      </c>
      <c r="D192" s="139">
        <f>IF($D$129="Standard",$Q$187,IF($D$129="Soumdproof",$Q$188,))</f>
        <v/>
      </c>
      <c r="E192" s="143">
        <f>IF($D$129="Standard",R190,IF($D$129="Soumdproof",R191,))</f>
        <v/>
      </c>
      <c r="F192" s="143">
        <f>IF($D$129="Standard",$S$187,IF($D$129="Soumdproof",$S$188,))</f>
        <v/>
      </c>
      <c r="G192" s="143">
        <f>IF($D$129="Standard",$T$187,IF($D$129="Soumdproof",$T$188,))</f>
        <v/>
      </c>
      <c r="H192" s="652">
        <f>IF($D$129="Standard",$U$187,IF($D$129="Soumdproof",$U$188,))</f>
        <v/>
      </c>
      <c r="I192" s="653">
        <f>IF($D$129="Standard",$V$187,IF($D$129="Soumdproof",$V$188,))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296">
        <f>IF($D$127=5,$O$176,IF($D$127=6,$O$177,IF($D$127=8,$O$178,IF($D$127=10,$O$176,IF($D$127=12,$O$176,IF($D$127=14,$O$178,IF($D$127=18,$O$176,IF($D$127=20,$O$177,IF($D$127=22,"")))))))))</f>
        <v/>
      </c>
      <c r="C193" s="296">
        <f>IF($D$127=5,$P$176,IF($D$127=6,$P$177,IF($D$127=8,$P$178,IF($D$127=10,$P$176,IF($D$127=12,$P$176,IF($D$127=14,$P$178,IF($D$127=18,$P$176,IF($D$127=20,$P$177,IF($D$127=22,"")))))))))</f>
        <v/>
      </c>
      <c r="D193" s="296">
        <f>IF($D$127=5,$Q$176,IF($D$127=6,$Q$177,IF($D$127=8,$Q$178,IF($D$127=10,$Q$176,IF($D$127=12,$Q$176,IF($D$127=14,$Q$178,IF($D$127=18,$Q$176,IF($D$127=20,$Q$177,IF($D$127=22,"")))))))))</f>
        <v/>
      </c>
      <c r="E193" s="296">
        <f>IF($D$127=5,R179,IF($D$127=6,R180,IF($D$127=8,R181,IF($D$127=10,R179,IF($D$127=12,R179,IF($D$127=14,R181,IF($D$127=18,R179,IF($D$127=20,R180,IF($D$127=22,"",)))))))))</f>
        <v/>
      </c>
      <c r="F193" s="242">
        <f>IF($D$127=5,$S$176,IF($D$127=6,$S$177,IF($D$127=8,$S$178,IF($D$127=10,$S$176,IF($D$127=12,$S$176,IF($D$127=14,$S$178,IF($D$127=18,$S$176,IF($D$127=20,$S$177,IF($D$127=22,"")))))))))</f>
        <v/>
      </c>
      <c r="G193" s="242">
        <f>IF($D$127=5,$T$176,IF($D$127=6,$T$177,IF($D$127=8,$T$178,IF($D$127=10,$T$176,IF($D$127=12,$T$176,IF($D$127=14,$T$178,IF($D$127=18,$T$176,IF($D$127=20,$T$177,IF($D$127=22,"")))))))))</f>
        <v/>
      </c>
      <c r="H193" s="652">
        <f>IF($D$127=5,$U$176,IF($D$127=6,$U$177,IF($D$127=8,$U$178,IF($D$127=10,$U$176*2,IF($D$127=12,$U$176,IF($D$127=14,$U$178*2,IF($D$127=18,$U$176,IF($D$127=20,$U$177,IF($D$127=22,"")))))))))</f>
        <v/>
      </c>
      <c r="I193" s="653">
        <f>IF($D$127=5,$V$176,IF($D$127=6,$V$177,IF($D$127=8,$V$178,IF($D$127=10,$V$176,IF($D$127=12,$V$176,IF($D$127=14,$V$178,IF($D$127=18,$V$176,IF($D$127=20,$V$177,IF($D$127=22,"")))))))))</f>
        <v/>
      </c>
      <c r="J193" s="654">
        <f>ROUNDUP((H193)/100,0)</f>
        <v/>
      </c>
    </row>
    <row r="194" ht="18" customHeight="1" s="344">
      <c r="A194" s="201">
        <f>IF(B194="","",+A193+1)</f>
        <v/>
      </c>
      <c r="B194" s="296">
        <f>IF($D$127=5,$O$174,IF($D$127=6,$O$174,IF($D$127=8,$O$176,IF($D$127=10,"",IF($D$127=12,$O$175,IF($D$127=14,"",IF($D$127=18,$O$174,IF($D$127=20,$O$175,IF($D$127=22,"",)))))))))</f>
        <v/>
      </c>
      <c r="C194" s="296">
        <f>IF($D$127=5,$P$174,IF($D$127=6,$P$174,IF($D$127=8,$P$176,IF($D$127=10,"",IF($D$127=12,$P$175,IF($D$127=14,"",IF($D$127=18,$P$174,IF($D$127=20,$P$175,IF($D$127=22,"",)))))))))</f>
        <v/>
      </c>
      <c r="D194" s="296">
        <f>IF($D$127=5,$Q$174,IF($D$127=6,$Q$174,IF($D$127=8,$Q$176,IF($D$127=10,"",IF($D$127=12,$Q$175,IF($D$127=14,"",IF($D$127=18,$Q$174,IF($D$127=20,$Q$175,IF($D$127=22,"",)))))))))</f>
        <v/>
      </c>
      <c r="E194" s="296">
        <f>IF($D$127=5,R177,IF($D$127=6,R177,IF($D$127=8,R179,IF($D$127=10,"",IF($D$127=12,R178,IF($D$127=14,"",IF($D$127=18,R177,IF($D$127=20,R178,IF($D$127=22,"",)))))))))</f>
        <v/>
      </c>
      <c r="F194" s="242">
        <f>IF($D$127=5,$S$174,IF($D$127=6,$S$174,IF($D$127=8,$S$176,IF($D$127=10,"",IF($D$127=12,$S$175,IF($D$127=14,"",IF($D$127=18,$S$174,IF($D$127=20,$S$175,IF($D$127=22,"",)))))))))</f>
        <v/>
      </c>
      <c r="G194" s="242">
        <f>IF($D$127=5,$T$174,IF($D$127=6,$T$174,IF($D$127=8,$T$176,IF($D$127=10,"",IF($D$127=12,$T$175,IF($D$127=14,"",IF($D$127=18,$T$174,IF($D$127=20,$T$175,IF($D$127=22,"",)))))))))</f>
        <v/>
      </c>
      <c r="H194" s="652">
        <f>IF($D$127=5,$U$174,IF($D$127=6,$U$174,IF($D$127=8,$U$176,IF($D$127=10,"",IF($D$127=12,$U$175,IF($D$127=14,"",IF($D$127=18,$U$174,IF($D$127=20,$U$175,IF($D$127=22,"")))))))))</f>
        <v/>
      </c>
      <c r="I194" s="653">
        <f>IF($D$127=5,$V$174,IF($D$127=6,$V$174,IF($D$127=8,$V$176,IF($D$127=10,"",IF($D$127=12,$V$175,IF($D$127=14,"",IF($D$127=18,$V$174,IF($D$127=20,$V$175,IF($D$127=22,"",)))))))))</f>
        <v/>
      </c>
      <c r="J194" s="654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$J$120*G196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$J$120*G197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278" t="n"/>
      <c r="C206" s="278" t="n"/>
      <c r="D206" s="161" t="n"/>
      <c r="E206" s="109" t="n"/>
      <c r="F206" s="109" t="n"/>
      <c r="G206" s="109" t="n"/>
      <c r="H206" s="109" t="n"/>
      <c r="I206" s="501" t="n"/>
      <c r="J206" s="318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4))/5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4))/5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4))/5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4))/5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$J$148+$J$149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278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278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278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501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501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4)/5)-13</t>
        </is>
      </c>
      <c r="I521" s="124">
        <f>(($J$126-185-(113.25*4))/5)-13</f>
        <v/>
      </c>
      <c r="J521" s="151">
        <f>$J$120*5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68:H169"/>
    <mergeCell ref="I154:J154"/>
    <mergeCell ref="D129:G129"/>
    <mergeCell ref="D123:G123"/>
    <mergeCell ref="I166:J167"/>
    <mergeCell ref="J123:J124"/>
    <mergeCell ref="A117:J117"/>
    <mergeCell ref="F521:G521"/>
    <mergeCell ref="D170:D171"/>
    <mergeCell ref="I156:J156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C308:E308"/>
    <mergeCell ref="I161:J161"/>
    <mergeCell ref="I155:J155"/>
    <mergeCell ref="A6:J6"/>
    <mergeCell ref="D161:D162"/>
    <mergeCell ref="A427:J427"/>
    <mergeCell ref="D168:D169"/>
    <mergeCell ref="A172:J172"/>
    <mergeCell ref="H170:H171"/>
    <mergeCell ref="J120:J121"/>
    <mergeCell ref="I157:J157"/>
    <mergeCell ref="A125:B125"/>
    <mergeCell ref="A519:J519"/>
    <mergeCell ref="J126:J127"/>
    <mergeCell ref="D159:D160"/>
    <mergeCell ref="I159:J160"/>
    <mergeCell ref="D125:G125"/>
    <mergeCell ref="H123:I124"/>
    <mergeCell ref="A213:J213"/>
    <mergeCell ref="D163:D167"/>
  </mergeCells>
  <dataValidations disablePrompts="1" count="3">
    <dataValidation sqref="D127:G127" showDropDown="0" showInputMessage="1" showErrorMessage="1" allowBlank="1" type="list">
      <formula1>$N$120:$N$128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Sheet12">
    <tabColor theme="5" tint="-0.249977111117893"/>
    <outlinePr summaryBelow="1" summaryRight="1"/>
    <pageSetUpPr/>
  </sheetPr>
  <dimension ref="A2:X529"/>
  <sheetViews>
    <sheetView showGridLines="0" view="pageBreakPreview" topLeftCell="A145" zoomScale="75" zoomScaleNormal="75" zoomScaleSheetLayoutView="75" workbookViewId="0">
      <selection activeCell="I166" sqref="I166:J16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0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8.664062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6" customWidth="1" style="344" min="15" max="15"/>
    <col hidden="1" outlineLevel="1" width="35.44140625" customWidth="1" style="344" min="16" max="16"/>
    <col hidden="1" outlineLevel="1" width="9.5546875" customWidth="1" style="344" min="17" max="17"/>
    <col hidden="1" outlineLevel="1" width="14.33203125" customWidth="1" style="344" min="18" max="18"/>
    <col hidden="1" outlineLevel="1" width="18.109375" customWidth="1" style="344" min="19" max="19"/>
    <col hidden="1" outlineLevel="1" width="15.44140625" customWidth="1" style="344" min="20" max="20"/>
    <col hidden="1" outlineLevel="1" width="24.109375" customWidth="1" style="344" min="21" max="21"/>
    <col hidden="1" outlineLevel="1" width="11.44140625" customWidth="1" style="344" min="22" max="22"/>
    <col hidden="1" outlineLevel="1" width="10.88671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(2L3R)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FG-240-5P2L3R-01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D1 พี่หน่อย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2400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3800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(W-185-(113.25 × 4))/5</t>
        </is>
      </c>
      <c r="V133" s="285">
        <f>($J$126-185-(113.25*4))/5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143" t="inlineStr">
        <is>
          <t>(W-185-(113.25 × 4))/5</t>
        </is>
      </c>
      <c r="V134" s="285">
        <f>($J$126-185-(113.25*4))/5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40" t="inlineStr">
        <is>
          <t>(W-185-(113.25 × 4))/5</t>
        </is>
      </c>
      <c r="V135" s="285">
        <f>($J$126-185-(113.25*4))/5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7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n"/>
      <c r="H175" s="143" t="n">
        <v>10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n"/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n"/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n"/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n"/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ชุดล้อแขวนบานสุดท้าย</t>
        </is>
      </c>
      <c r="C182" s="140" t="inlineStr">
        <is>
          <t>Right Hand End Carriert Set</t>
        </is>
      </c>
      <c r="D182" s="139" t="inlineStr">
        <is>
          <t>05-009</t>
        </is>
      </c>
      <c r="E182" s="143" t="n"/>
      <c r="F182" s="143" t="inlineStr">
        <is>
          <t>05-009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1</v>
      </c>
      <c r="I183" s="144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ชุดบานพับมีมือจับ</t>
        </is>
      </c>
      <c r="C184" s="140" t="inlineStr">
        <is>
          <t>Standard Hinge Handle Set</t>
        </is>
      </c>
      <c r="D184" s="139" t="inlineStr">
        <is>
          <t>05-004</t>
        </is>
      </c>
      <c r="E184" s="143" t="n"/>
      <c r="F184" s="143" t="inlineStr">
        <is>
          <t>05-004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ชุดบานพับต่างระดับมีมือจับ</t>
        </is>
      </c>
      <c r="C185" s="140" t="inlineStr">
        <is>
          <t>offset Hinge Handle Set</t>
        </is>
      </c>
      <c r="D185" s="139" t="inlineStr">
        <is>
          <t>05-005</t>
        </is>
      </c>
      <c r="E185" s="143" t="n"/>
      <c r="F185" s="143" t="inlineStr">
        <is>
          <t>05-005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ชุดสลักล็อค</t>
        </is>
      </c>
      <c r="C186" s="140" t="inlineStr">
        <is>
          <t>Twin Bolt + Rods</t>
        </is>
      </c>
      <c r="D186" s="139" t="inlineStr">
        <is>
          <t>05-014</t>
        </is>
      </c>
      <c r="E186" s="143" t="n"/>
      <c r="F186" s="143" t="inlineStr">
        <is>
          <t>05-014</t>
        </is>
      </c>
      <c r="G186" s="143" t="inlineStr">
        <is>
          <t>SET</t>
        </is>
      </c>
      <c r="H186" s="143" t="n">
        <v>2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ชุดมือจับล็อค</t>
        </is>
      </c>
      <c r="C187" s="140" t="inlineStr">
        <is>
          <t>Stainless steel mortise lock,handle,cylinder</t>
        </is>
      </c>
      <c r="D187" s="139" t="inlineStr">
        <is>
          <t>00-024 or 00-027</t>
        </is>
      </c>
      <c r="E187" s="143" t="n"/>
      <c r="F187" s="143" t="inlineStr">
        <is>
          <t>00-024 or 00-027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ตัวประคองสลักล็อค</t>
        </is>
      </c>
      <c r="C188" s="140" t="inlineStr">
        <is>
          <t>Guide twin Bolt Rods</t>
        </is>
      </c>
      <c r="D188" s="139" t="inlineStr">
        <is>
          <t>04-009</t>
        </is>
      </c>
      <c r="E188" s="143" t="n"/>
      <c r="F188" s="143" t="inlineStr">
        <is>
          <t>04-009</t>
        </is>
      </c>
      <c r="G188" s="143" t="inlineStr">
        <is>
          <t>PC</t>
        </is>
      </c>
      <c r="H188" s="143" t="n">
        <v>4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รางเสริมเปลี่ยนล้อ</t>
        </is>
      </c>
      <c r="C189" s="140" t="inlineStr">
        <is>
          <t>35 SERIES TRACK INSERT</t>
        </is>
      </c>
      <c r="D189" s="139" t="inlineStr">
        <is>
          <t>04-004</t>
        </is>
      </c>
      <c r="E189" s="143" t="n"/>
      <c r="F189" s="143" t="inlineStr">
        <is>
          <t>04-004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2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(((G145*I145)+($I$146*$G$146))/1000)*$J$120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IF($D$129="Standard",$O$186,IF($D$129="Soumdproof",$O$187,))</f>
        <v/>
      </c>
      <c r="C193" s="139">
        <f>IF($D$129="Standard",$P$186,IF($D$129="Soumdproof",$P$187,))</f>
        <v/>
      </c>
      <c r="D193" s="139">
        <f>IF($D$129="Standard",$Q$186,IF($D$129="Soumdproof",$Q$187,))</f>
        <v/>
      </c>
      <c r="E193" s="143">
        <f>IF($D$129="Standard",R191,IF($D$129="Soumdproof",R192,))</f>
        <v/>
      </c>
      <c r="F193" s="143">
        <f>IF($D$129="Standard",$S$186,IF($D$129="Soumdproof",$S$187,))</f>
        <v/>
      </c>
      <c r="G193" s="143">
        <f>IF($D$129="Standard",$T$186,IF($D$129="Soumdproof",$T$187,))</f>
        <v/>
      </c>
      <c r="H193" s="652">
        <f>IF($D$129="Standard",$U$186,IF($D$129="Soumdproof",$U$187,))</f>
        <v/>
      </c>
      <c r="I193" s="653">
        <f>IF($D$129="Standard",$V$186,IF($D$129="Soumdproof",$V$187,))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IF($D$129="Standard",$O$188,IF($D$129="Soumdproof",$O$189,))</f>
        <v/>
      </c>
      <c r="C194" s="139">
        <f>IF($D$129="Standard",$P$188,IF($D$129="Soumdproof",$P$189,))</f>
        <v/>
      </c>
      <c r="D194" s="139">
        <f>IF($D$129="Standard",$Q$188,IF($D$129="Soumdproof",$Q$189,))</f>
        <v/>
      </c>
      <c r="E194" s="143">
        <f>IF($D$129="Standard",R193,IF($D$129="Soumdproof",R194,))</f>
        <v/>
      </c>
      <c r="F194" s="143">
        <f>IF($D$129="Standard",$S$188,IF($D$129="Soumdproof",$S$189,))</f>
        <v/>
      </c>
      <c r="G194" s="143">
        <f>IF($D$129="Standard",$T$188,IF($D$129="Soumdproof",$T$189,))</f>
        <v/>
      </c>
      <c r="H194" s="652">
        <f>IF($D$129="Standard",$U$188,IF($D$129="Soumdproof",$U$189,))</f>
        <v/>
      </c>
      <c r="I194" s="653">
        <f>IF($D$129="Standard",$V$188,IF($D$129="Soumdproof",$V$189,))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IF($D$127=5,$O$177,IF($D$127=6,$O$178,IF($D$127=8,$O$179,IF($D$127=10,$O$177,IF($D$127=12,$O$177,IF($D$127=14,$O$179,IF($D$127=18,$O$177,IF($D$127=20,$O$178,IF($D$127=22,"")))))))))</f>
        <v/>
      </c>
      <c r="C195" s="296">
        <f>IF($D$127=5,$P$177,IF($D$127=6,$P$178,IF($D$127=8,$P$179,IF($D$127=10,$P$177,IF($D$127=12,$P$177,IF($D$127=14,$P$179,IF($D$127=18,$P$177,IF($D$127=20,$P$178,IF($D$127=22,"")))))))))</f>
        <v/>
      </c>
      <c r="D195" s="296">
        <f>IF($D$127=5,$Q$177,IF($D$127=6,$Q$178,IF($D$127=8,$Q$179,IF($D$127=10,$Q$177,IF($D$127=12,$Q$177,IF($D$127=14,$Q$179,IF($D$127=18,$Q$177,IF($D$127=20,$Q$178,IF($D$127=22,"")))))))))</f>
        <v/>
      </c>
      <c r="E195" s="296">
        <f>IF($D$127=5,R182,IF($D$127=6,R183,IF($D$127=8,R184,IF($D$127=10,R182,IF($D$127=12,R182,IF($D$127=14,R184,IF($D$127=18,R182,IF($D$127=20,R183,IF($D$127=22,"",)))))))))</f>
        <v/>
      </c>
      <c r="F195" s="242">
        <f>IF($D$127=5,$S$177,IF($D$127=6,$S$178,IF($D$127=8,$S$179,IF($D$127=10,$S$177,IF($D$127=12,$S$177,IF($D$127=14,$S$179,IF($D$127=18,$S$177,IF($D$127=20,$S$178,IF($D$127=22,"")))))))))</f>
        <v/>
      </c>
      <c r="G195" s="242">
        <f>IF($D$127=5,$T$177,IF($D$127=6,$T$178,IF($D$127=8,$T$179,IF($D$127=10,$T$177,IF($D$127=12,$T$177,IF($D$127=14,$T$179,IF($D$127=18,$T$177,IF($D$127=20,$T$178,IF($D$127=22,"")))))))))</f>
        <v/>
      </c>
      <c r="H195" s="652">
        <f>IF($D$127=5,$U$177,IF($D$127=6,$U$178,IF($D$127=8,$U$179,IF($D$127=10,$U$177*2,IF($D$127=12,$U$177,IF($D$127=14,$U$179*2,IF($D$127=18,$U$177,IF($D$127=20,$U$178,IF($D$127=22,"")))))))))</f>
        <v/>
      </c>
      <c r="I195" s="653">
        <f>IF($D$127=5,$V$177,IF($D$127=6,$V$178,IF($D$127=8,$V$179,IF($D$127=10,$V$177,IF($D$127=12,$V$177,IF($D$127=14,$V$179,IF($D$127=18,$V$177,IF($D$127=20,$V$178,IF($D$127=22,"")))))))))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296">
        <f>IF($D$127=5,$O$175,IF($D$127=6,$O$175,IF($D$127=8,$O$177,IF($D$127=10,"",IF($D$127=12,$O$176,IF($D$127=14,"",IF($D$127=18,$O$175,IF($D$127=20,$O$176,IF($D$127=22,"",)))))))))</f>
        <v/>
      </c>
      <c r="C196" s="296">
        <f>IF($D$127=5,$P$175,IF($D$127=6,$P$175,IF($D$127=8,$P$177,IF($D$127=10,"",IF($D$127=12,$P$176,IF($D$127=14,"",IF($D$127=18,$P$175,IF($D$127=20,$P$176,IF($D$127=22,"",)))))))))</f>
        <v/>
      </c>
      <c r="D196" s="296">
        <f>IF($D$127=5,$Q$175,IF($D$127=6,$Q$175,IF($D$127=8,$Q$177,IF($D$127=10,"",IF($D$127=12,$Q$176,IF($D$127=14,"",IF($D$127=18,$Q$175,IF($D$127=20,$Q$176,IF($D$127=22,"",)))))))))</f>
        <v/>
      </c>
      <c r="E196" s="296">
        <f>IF($D$127=5,R180,IF($D$127=6,R180,IF($D$127=8,R182,IF($D$127=10,"",IF($D$127=12,R181,IF($D$127=14,"",IF($D$127=18,R180,IF($D$127=20,R181,IF($D$127=22,"",)))))))))</f>
        <v/>
      </c>
      <c r="F196" s="242">
        <f>IF($D$127=5,$S$175,IF($D$127=6,$S$175,IF($D$127=8,$S$177,IF($D$127=10,"",IF($D$127=12,$S$176,IF($D$127=14,"",IF($D$127=18,$S$175,IF($D$127=20,$S$176,IF($D$127=22,"",)))))))))</f>
        <v/>
      </c>
      <c r="G196" s="242">
        <f>IF($D$127=5,$T$175,IF($D$127=6,$T$175,IF($D$127=8,$T$177,IF($D$127=10,"",IF($D$127=12,$T$176,IF($D$127=14,"",IF($D$127=18,$T$175,IF($D$127=20,$T$176,IF($D$127=22,"",)))))))))</f>
        <v/>
      </c>
      <c r="H196" s="652">
        <f>IF($D$127=5,$U$175,IF($D$127=6,$U$175,IF($D$127=8,$U$177,IF($D$127=10,"",IF($D$127=12,$U$176,IF($D$127=14,"",IF($D$127=18,$U$175,IF($D$127=20,$U$176,IF($D$127=22,"")))))))))</f>
        <v/>
      </c>
      <c r="I196" s="653">
        <f>IF($D$127=5,$V$175,IF($D$127=6,$V$175,IF($D$127=8,$V$177,IF($D$127=10,"",IF($D$127=12,$V$176,IF($D$127=14,"",IF($D$127=18,$V$175,IF($D$127=20,$V$176,IF($D$127=22,"",)))))))))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4))/5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4))/5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$J$143+$J$144+$J$145+$J$146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4))/5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4))/5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inlineStr">
        <is>
          <t xml:space="preserve">                   Sash Stop</t>
        </is>
      </c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inlineStr">
        <is>
          <t xml:space="preserve">                          = FAME HIGHT - 92.00</t>
        </is>
      </c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inlineStr">
        <is>
          <t xml:space="preserve">                          ความสูง (วงกบ) - 92.00</t>
        </is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$I$149</f>
        <v/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$J$149+$J$150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278" t="n"/>
      <c r="J515" s="10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4)/5)-13</t>
        </is>
      </c>
      <c r="I521" s="124">
        <f>(($J$126-185-(113.25*4))/5)-13</f>
        <v/>
      </c>
      <c r="J521" s="151">
        <f>$J$120*5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F521:G521"/>
    <mergeCell ref="I156:J156"/>
    <mergeCell ref="A173:J173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26:I127"/>
    <mergeCell ref="H163:H168"/>
    <mergeCell ref="D171:D172"/>
    <mergeCell ref="A6:J6"/>
    <mergeCell ref="I155:J155"/>
    <mergeCell ref="I161:J161"/>
    <mergeCell ref="D161:D162"/>
    <mergeCell ref="A427:J427"/>
    <mergeCell ref="J120:J121"/>
    <mergeCell ref="I157:J157"/>
    <mergeCell ref="H123:I124"/>
    <mergeCell ref="A125:B125"/>
    <mergeCell ref="A519:J519"/>
    <mergeCell ref="J126:J127"/>
    <mergeCell ref="D159:D160"/>
    <mergeCell ref="D169:D170"/>
    <mergeCell ref="I159:J160"/>
    <mergeCell ref="D125:G125"/>
    <mergeCell ref="C309:E309"/>
    <mergeCell ref="A213:J213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$O$175:$O$193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Sheet13">
    <tabColor theme="5" tint="-0.249977111117893"/>
    <outlinePr summaryBelow="1" summaryRight="1"/>
    <pageSetUpPr/>
  </sheetPr>
  <dimension ref="A2:X529"/>
  <sheetViews>
    <sheetView showGridLines="0" view="pageBreakPreview" topLeftCell="A127" zoomScale="75" zoomScaleNormal="75" zoomScaleSheetLayoutView="75" workbookViewId="0">
      <selection activeCell="C138" sqref="C13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0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8.664062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6" customWidth="1" style="344" min="15" max="15"/>
    <col hidden="1" outlineLevel="1" width="35.44140625" customWidth="1" style="344" min="16" max="16"/>
    <col hidden="1" outlineLevel="1" width="9.5546875" customWidth="1" style="344" min="17" max="17"/>
    <col hidden="1" outlineLevel="1" width="14.33203125" customWidth="1" style="344" min="18" max="18"/>
    <col hidden="1" outlineLevel="1" width="18.109375" customWidth="1" style="344" min="19" max="19"/>
    <col hidden="1" outlineLevel="1" width="15.44140625" customWidth="1" style="344" min="20" max="20"/>
    <col hidden="1" outlineLevel="1" width="24.109375" customWidth="1" style="344" min="21" max="21"/>
    <col hidden="1" outlineLevel="1" width="11" customWidth="1" style="344" min="22" max="22"/>
    <col hidden="1" outlineLevel="1" width="10.88671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(3L2R)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FG-240-5P3L2R-01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2355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2795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(W-185-(113.25 × 4))/5</t>
        </is>
      </c>
      <c r="V133" s="285">
        <f>($J$126-185-(113.25*4))/5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143" t="inlineStr">
        <is>
          <t>(W-185-(113.25 × 4))/5</t>
        </is>
      </c>
      <c r="V134" s="285">
        <f>($J$126-185-(113.25*4))/5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40" t="inlineStr">
        <is>
          <t>(W-185-(113.25 × 4))/5</t>
        </is>
      </c>
      <c r="V135" s="285">
        <f>($J$126-185-(113.25*4))/5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296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 xml:space="preserve">SASH STOP 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10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ตัวรับกลอน</t>
        </is>
      </c>
      <c r="C178" s="140" t="inlineStr">
        <is>
          <t xml:space="preserve">FLUSH BOLT RECEIVER </t>
        </is>
      </c>
      <c r="D178" s="139" t="inlineStr">
        <is>
          <t>04-016</t>
        </is>
      </c>
      <c r="E178" s="143" t="n"/>
      <c r="F178" s="143" t="inlineStr">
        <is>
          <t>04-016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38</t>
        </is>
      </c>
      <c r="C179" s="140" t="inlineStr">
        <is>
          <t>#8x38 mm. SS PH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8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12</t>
        </is>
      </c>
      <c r="C180" s="140" t="inlineStr">
        <is>
          <t>#8x12 mm. CSK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110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ชุดล้อแขวนบานเปิด</t>
        </is>
      </c>
      <c r="C183" s="140" t="inlineStr">
        <is>
          <t>Left Hand End Carrier Set</t>
        </is>
      </c>
      <c r="D183" s="139" t="inlineStr">
        <is>
          <t>05-008</t>
        </is>
      </c>
      <c r="E183" s="143" t="n"/>
      <c r="F183" s="143" t="inlineStr">
        <is>
          <t>05-008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ชุดบานพับมีมือจับ</t>
        </is>
      </c>
      <c r="C185" s="140" t="inlineStr">
        <is>
          <t>Standard Hinge Handle Set</t>
        </is>
      </c>
      <c r="D185" s="139" t="inlineStr">
        <is>
          <t>05-004</t>
        </is>
      </c>
      <c r="E185" s="143" t="n"/>
      <c r="F185" s="143" t="inlineStr">
        <is>
          <t>05-004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ชุดบานพับต่างระดับมีมือจับ</t>
        </is>
      </c>
      <c r="C186" s="140" t="inlineStr">
        <is>
          <t>offset Hinge Handle Set</t>
        </is>
      </c>
      <c r="D186" s="139" t="inlineStr">
        <is>
          <t>05-005</t>
        </is>
      </c>
      <c r="E186" s="143" t="n"/>
      <c r="F186" s="143" t="inlineStr">
        <is>
          <t>05-005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ชุดสลักล็อค</t>
        </is>
      </c>
      <c r="C187" s="140" t="inlineStr">
        <is>
          <t>Twin Bolt + Rods</t>
        </is>
      </c>
      <c r="D187" s="139" t="inlineStr">
        <is>
          <t>05-014</t>
        </is>
      </c>
      <c r="E187" s="143" t="n"/>
      <c r="F187" s="143" t="inlineStr">
        <is>
          <t>05-014</t>
        </is>
      </c>
      <c r="G187" s="143" t="inlineStr">
        <is>
          <t>SET</t>
        </is>
      </c>
      <c r="H187" s="143" t="n">
        <v>2</v>
      </c>
      <c r="I187" s="144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ชุดมือจับล็อค</t>
        </is>
      </c>
      <c r="C188" s="140" t="inlineStr">
        <is>
          <t>Stainless steel mortise lock,handle,cylinder</t>
        </is>
      </c>
      <c r="D188" s="139" t="inlineStr">
        <is>
          <t>00-024 or 00-027</t>
        </is>
      </c>
      <c r="E188" s="143" t="n"/>
      <c r="F188" s="143" t="inlineStr">
        <is>
          <t>00-024 or 00-027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ตัวประคองสลักล็อค</t>
        </is>
      </c>
      <c r="C189" s="140" t="inlineStr">
        <is>
          <t>Guide twin Bolt Rods</t>
        </is>
      </c>
      <c r="D189" s="139" t="inlineStr">
        <is>
          <t>04-009</t>
        </is>
      </c>
      <c r="E189" s="143" t="n"/>
      <c r="F189" s="143" t="inlineStr">
        <is>
          <t>04-009</t>
        </is>
      </c>
      <c r="G189" s="143" t="inlineStr">
        <is>
          <t>PC</t>
        </is>
      </c>
      <c r="H189" s="143" t="n">
        <v>4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รางเสริมเปลี่ยนล้อ</t>
        </is>
      </c>
      <c r="C190" s="140" t="inlineStr">
        <is>
          <t>35 SERIES TRACK INSERT</t>
        </is>
      </c>
      <c r="D190" s="139" t="inlineStr">
        <is>
          <t>04-004</t>
        </is>
      </c>
      <c r="E190" s="143" t="n"/>
      <c r="F190" s="143" t="inlineStr">
        <is>
          <t>04-004</t>
        </is>
      </c>
      <c r="G190" s="143" t="inlineStr">
        <is>
          <t>PC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39" t="inlineStr">
        <is>
          <t>02-029</t>
        </is>
      </c>
      <c r="F191" s="143" t="inlineStr">
        <is>
          <t>02-030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(((I145*G145)+($I$146*$G$146))/1000)*$J$120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IF($D$129="Standard",$O$186,IF($D$129="Soumdproof",$O$187,))</f>
        <v/>
      </c>
      <c r="C193" s="139">
        <f>IF($D$129="Standard",$P$186,IF($D$129="Soumdproof",$P$187,))</f>
        <v/>
      </c>
      <c r="D193" s="139">
        <f>IF($D$129="Standard",$Q$186,IF($D$129="Soumdproof",$Q$187,))</f>
        <v/>
      </c>
      <c r="E193" s="143">
        <f>IF($D$129="Standard",R191,IF($D$129="Soumdproof",R192,))</f>
        <v/>
      </c>
      <c r="F193" s="143">
        <f>IF($D$129="Standard",$S$186,IF($D$129="Soumdproof",$S$187,))</f>
        <v/>
      </c>
      <c r="G193" s="143">
        <f>IF($D$129="Standard",$T$186,IF($D$129="Soumdproof",$T$187,))</f>
        <v/>
      </c>
      <c r="H193" s="652">
        <f>IF($D$129="Standard",$U$186,IF($D$129="Soumdproof",$U$187,))</f>
        <v/>
      </c>
      <c r="I193" s="653">
        <f>IF($D$129="Standard",$V$186,IF($D$129="Soumdproof",$V$187,))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IF($D$129="Standard",$O$188,IF($D$129="Soumdproof",$O$189,))</f>
        <v/>
      </c>
      <c r="C194" s="139">
        <f>IF($D$129="Standard",$P$188,IF($D$129="Soumdproof",$P$189,))</f>
        <v/>
      </c>
      <c r="D194" s="139">
        <f>IF($D$129="Standard",$Q$188,IF($D$129="Soumdproof",$Q$189,))</f>
        <v/>
      </c>
      <c r="E194" s="143">
        <f>IF($D$129="Standard",R193,IF($D$129="Soumdproof",R194,))</f>
        <v/>
      </c>
      <c r="F194" s="143">
        <f>IF($D$129="Standard",$S$188,IF($D$129="Soumdproof",$S$189,))</f>
        <v/>
      </c>
      <c r="G194" s="143">
        <f>IF($D$129="Standard",$T$188,IF($D$129="Soumdproof",$T$189,))</f>
        <v/>
      </c>
      <c r="H194" s="652">
        <f>IF($D$129="Standard",$U$188,IF($D$129="Soumdproof",$U$189,))</f>
        <v/>
      </c>
      <c r="I194" s="653">
        <f>IF($D$129="Standard",$V$188,IF($D$129="Soumdproof",$V$189,))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IF($D$127=5,$O$177,IF($D$127=6,$O$178,IF($D$127=8,$O$179,IF($D$127=10,$O$177,IF($D$127=12,$O$177,IF($D$127=14,$O$179,IF($D$127=18,$O$177,IF($D$127=20,$O$178,IF($D$127=22,"")))))))))</f>
        <v/>
      </c>
      <c r="C195" s="296">
        <f>IF($D$127=5,$P$177,IF($D$127=6,$P$178,IF($D$127=8,$P$179,IF($D$127=10,$P$177,IF($D$127=12,$P$177,IF($D$127=14,$P$179,IF($D$127=18,$P$177,IF($D$127=20,$P$178,IF($D$127=22,"")))))))))</f>
        <v/>
      </c>
      <c r="D195" s="296">
        <f>IF($D$127=5,$Q$177,IF($D$127=6,$Q$178,IF($D$127=8,$Q$179,IF($D$127=10,$Q$177,IF($D$127=12,$Q$177,IF($D$127=14,$Q$179,IF($D$127=18,$Q$177,IF($D$127=20,$Q$178,IF($D$127=22,"")))))))))</f>
        <v/>
      </c>
      <c r="E195" s="296">
        <f>IF($D$127=5,R182,IF($D$127=6,R183,IF($D$127=8,R184,IF($D$127=10,R182,IF($D$127=12,R182,IF($D$127=14,R184,IF($D$127=18,R182,IF($D$127=20,R183,IF($D$127=22,"",)))))))))</f>
        <v/>
      </c>
      <c r="F195" s="242">
        <f>IF($D$127=5,$S$177,IF($D$127=6,$S$178,IF($D$127=8,$S$179,IF($D$127=10,$S$177,IF($D$127=12,$S$177,IF($D$127=14,$S$179,IF($D$127=18,$S$177,IF($D$127=20,$S$178,IF($D$127=22,"")))))))))</f>
        <v/>
      </c>
      <c r="G195" s="242">
        <f>IF($D$127=5,$T$177,IF($D$127=6,$T$178,IF($D$127=8,$T$179,IF($D$127=10,$T$177,IF($D$127=12,$T$177,IF($D$127=14,$T$179,IF($D$127=18,$T$177,IF($D$127=20,$T$178,IF($D$127=22,"")))))))))</f>
        <v/>
      </c>
      <c r="H195" s="652">
        <f>IF($D$127=5,$U$177,IF($D$127=6,$U$178,IF($D$127=8,$U$179,IF($D$127=10,$U$177*2,IF($D$127=12,$U$177,IF($D$127=14,$U$179*2,IF($D$127=18,$U$177,IF($D$127=20,$U$178,IF($D$127=22,"")))))))))</f>
        <v/>
      </c>
      <c r="I195" s="653">
        <f>IF($D$127=5,$V$177,IF($D$127=6,$V$178,IF($D$127=8,$V$179,IF($D$127=10,$V$177,IF($D$127=12,$V$177,IF($D$127=14,$V$179,IF($D$127=18,$V$177,IF($D$127=20,$V$178,IF($D$127=22,"")))))))))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296">
        <f>IF($D$127=5,$O$175,IF($D$127=6,$O$175,IF($D$127=8,$O$177,IF($D$127=10,"",IF($D$127=12,$O$176,IF($D$127=14,"",IF($D$127=18,$O$175,IF($D$127=20,$O$176,IF($D$127=22,"",)))))))))</f>
        <v/>
      </c>
      <c r="C196" s="296">
        <f>IF($D$127=5,$P$175,IF($D$127=6,$P$175,IF($D$127=8,$P$177,IF($D$127=10,"",IF($D$127=12,$P$176,IF($D$127=14,"",IF($D$127=18,$P$175,IF($D$127=20,$P$176,IF($D$127=22,"",)))))))))</f>
        <v/>
      </c>
      <c r="D196" s="296">
        <f>IF($D$127=5,$Q$175,IF($D$127=6,$Q$175,IF($D$127=8,$Q$177,IF($D$127=10,"",IF($D$127=12,$Q$176,IF($D$127=14,"",IF($D$127=18,$Q$175,IF($D$127=20,$Q$176,IF($D$127=22,"",)))))))))</f>
        <v/>
      </c>
      <c r="E196" s="296">
        <f>IF($D$127=5,R180,IF($D$127=6,R180,IF($D$127=8,R182,IF($D$127=10,"",IF($D$127=12,R181,IF($D$127=14,"",IF($D$127=18,R180,IF($D$127=20,R181,IF($D$127=22,"",)))))))))</f>
        <v/>
      </c>
      <c r="F196" s="242">
        <f>IF($D$127=5,$S$175,IF($D$127=6,$S$175,IF($D$127=8,$S$177,IF($D$127=10,"",IF($D$127=12,$S$176,IF($D$127=14,"",IF($D$127=18,$S$175,IF($D$127=20,$S$176,IF($D$127=22,"",)))))))))</f>
        <v/>
      </c>
      <c r="G196" s="242">
        <f>IF($D$127=5,$T$175,IF($D$127=6,$T$175,IF($D$127=8,$T$177,IF($D$127=10,"",IF($D$127=12,$T$176,IF($D$127=14,"",IF($D$127=18,$T$175,IF($D$127=20,$T$176,IF($D$127=22,"",)))))))))</f>
        <v/>
      </c>
      <c r="H196" s="652">
        <f>IF($D$127=5,$U$175,IF($D$127=6,$U$175,IF($D$127=8,$U$177,IF($D$127=10,"",IF($D$127=12,$U$176,IF($D$127=14,"",IF($D$127=18,$U$175,IF($D$127=20,$U$176,IF($D$127=22,"")))))))))</f>
        <v/>
      </c>
      <c r="I196" s="653">
        <f>IF($D$127=5,$V$175,IF($D$127=6,$V$175,IF($D$127=8,$V$177,IF($D$127=10,"",IF($D$127=12,$V$176,IF($D$127=14,"",IF($D$127=18,$V$175,IF($D$127=20,$V$176,IF($D$127=22,"",)))))))))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 t="n"/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4))/5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4))/5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$J$143+$J$144+$J$145+$J$146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4))/5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4))/5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278" t="n"/>
      <c r="J515" s="10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4)/5)-13</t>
        </is>
      </c>
      <c r="I521" s="124">
        <f>(($J$126-185-(113.25*4))/5)-13</f>
        <v/>
      </c>
      <c r="J521" s="151">
        <f>$J$120*5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F521:G521"/>
    <mergeCell ref="I156:J156"/>
    <mergeCell ref="A173:J173"/>
    <mergeCell ref="F331:G331"/>
    <mergeCell ref="H159:H160"/>
    <mergeCell ref="A320:J320"/>
    <mergeCell ref="H169:H170"/>
    <mergeCell ref="H120:I121"/>
    <mergeCell ref="F334:G334"/>
    <mergeCell ref="F330:G330"/>
    <mergeCell ref="D119:G119"/>
    <mergeCell ref="D163:D168"/>
    <mergeCell ref="H126:I127"/>
    <mergeCell ref="H163:H168"/>
    <mergeCell ref="C308:E308"/>
    <mergeCell ref="D171:D172"/>
    <mergeCell ref="A6:J6"/>
    <mergeCell ref="I155:J155"/>
    <mergeCell ref="I161:J161"/>
    <mergeCell ref="D161:D162"/>
    <mergeCell ref="A427:J427"/>
    <mergeCell ref="J120:J121"/>
    <mergeCell ref="I157:J157"/>
    <mergeCell ref="A125:B125"/>
    <mergeCell ref="A519:J519"/>
    <mergeCell ref="J126:J127"/>
    <mergeCell ref="D159:D160"/>
    <mergeCell ref="D169:D170"/>
    <mergeCell ref="I159:J160"/>
    <mergeCell ref="D125:G125"/>
    <mergeCell ref="H123:I124"/>
    <mergeCell ref="A213:J213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$O$175:$O$193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codeName="Sheet14">
    <tabColor theme="5" tint="-0.249977111117893"/>
    <outlinePr summaryBelow="1" summaryRight="1"/>
    <pageSetUpPr/>
  </sheetPr>
  <dimension ref="A2:W529"/>
  <sheetViews>
    <sheetView showGridLines="0" view="pageBreakPreview" topLeftCell="A118" zoomScale="75" zoomScaleNormal="75" zoomScaleSheetLayoutView="75" workbookViewId="0">
      <selection activeCell="D127" sqref="D127:G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(4L1R)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FG-240-5P4L1R-01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(W-185-(113.25 × 4))/5</t>
        </is>
      </c>
      <c r="V133" s="285">
        <f>($J$126-185-(113.25*4))/5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143" t="inlineStr">
        <is>
          <t>(W-185-(113.25 × 4))/5</t>
        </is>
      </c>
      <c r="V134" s="285">
        <f>($J$126-185-(113.25*4))/5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40" t="inlineStr">
        <is>
          <t>(W-185-(113.25 × 4))/5</t>
        </is>
      </c>
      <c r="V135" s="285">
        <f>($J$126-185-(113.25*4))/5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>SASH (Ver) LOCK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10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ชุดล้อแขวนบานตายซ้าย</t>
        </is>
      </c>
      <c r="C179" s="140" t="inlineStr">
        <is>
          <t>Left Hand Pivot Set</t>
        </is>
      </c>
      <c r="D179" s="139" t="inlineStr">
        <is>
          <t>05-006</t>
        </is>
      </c>
      <c r="E179" s="143" t="n"/>
      <c r="F179" s="143" t="inlineStr">
        <is>
          <t>05-006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ชุดล้อแขวนบานตายขวา</t>
        </is>
      </c>
      <c r="C180" s="140" t="inlineStr">
        <is>
          <t>Right Hand Pivot Set</t>
        </is>
      </c>
      <c r="D180" s="139" t="inlineStr">
        <is>
          <t>05-007</t>
        </is>
      </c>
      <c r="E180" s="143" t="n"/>
      <c r="F180" s="143" t="inlineStr">
        <is>
          <t>05-007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ชุดล้อแขวนบานสุดท้าย</t>
        </is>
      </c>
      <c r="C181" s="140" t="inlineStr">
        <is>
          <t>Right Hand End Carriert Set</t>
        </is>
      </c>
      <c r="D181" s="139" t="inlineStr">
        <is>
          <t>05-009</t>
        </is>
      </c>
      <c r="E181" s="143" t="n"/>
      <c r="F181" s="143" t="inlineStr">
        <is>
          <t>05-009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1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ชุดบานพับต่างระดับมีมือจับ</t>
        </is>
      </c>
      <c r="C183" s="140" t="inlineStr">
        <is>
          <t>offset Hinge Handle Set</t>
        </is>
      </c>
      <c r="D183" s="139" t="inlineStr">
        <is>
          <t>05-005</t>
        </is>
      </c>
      <c r="E183" s="143" t="n"/>
      <c r="F183" s="143" t="inlineStr">
        <is>
          <t>05-005</t>
        </is>
      </c>
      <c r="G183" s="143" t="inlineStr">
        <is>
          <t>SET</t>
        </is>
      </c>
      <c r="H183" s="143" t="n">
        <v>2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4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((($I$141*$G$141*2)+($I$143*$G$143*2)+($I$144*$G$144))/1000)*$J$120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2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((($I$141*$G$141*2)+($I$143*$G$143*2)+($I$144*$G$144))/1000)*$J$120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((($I$148*$G$148)+($I$149*$G$149))/1000)*$J$120</f>
        <v/>
      </c>
      <c r="I189" s="653" t="n">
        <v>100</v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((($I$145*$G$145*2))/1000)*$J$120</f>
        <v/>
      </c>
      <c r="I190" s="653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IF($D$129="Standard",$O$185,IF($D$129="Soumdproof",$O$186,))</f>
        <v/>
      </c>
      <c r="C191" s="139">
        <f>IF($D$129="Standard",$P$185,IF($D$129="Soumdproof",$P$186,))</f>
        <v/>
      </c>
      <c r="D191" s="139">
        <f>IF($D$129="Standard",$Q$185,IF($D$129="Soumdproof",$Q$186,))</f>
        <v/>
      </c>
      <c r="E191" s="143">
        <f>IF($D$129="Standard",R189,IF($D$129="Soumdproof",R190,))</f>
        <v/>
      </c>
      <c r="F191" s="143">
        <f>IF($D$129="Standard",$S$185,IF($D$129="Soumdproof",$S$186,))</f>
        <v/>
      </c>
      <c r="G191" s="143">
        <f>IF($D$129="Standard",$T$185,IF($D$129="Soumdproof",$T$186,))</f>
        <v/>
      </c>
      <c r="H191" s="652">
        <f>IF($D$129="Standard",$U$185,IF($D$129="Soumdproof",$U$186,))</f>
        <v/>
      </c>
      <c r="I191" s="653">
        <f>IF($D$129="Standard",$V$185,IF($D$129="Soumdproof",$V$186,))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IF($D$129="Standard",$O$187,IF($D$129="Soumdproof",$O$188,))</f>
        <v/>
      </c>
      <c r="C192" s="139">
        <f>IF($D$129="Standard",$P$187,IF($D$129="Soumdproof",$P$188,))</f>
        <v/>
      </c>
      <c r="D192" s="139">
        <f>IF($D$129="Standard",$Q$187,IF($D$129="Soumdproof",$Q$188,))</f>
        <v/>
      </c>
      <c r="E192" s="143">
        <f>IF($D$129="Standard",R191,IF($D$129="Soumdproof",R192,))</f>
        <v/>
      </c>
      <c r="F192" s="143">
        <f>IF($D$129="Standard",$S$187,IF($D$129="Soumdproof",$S$188,))</f>
        <v/>
      </c>
      <c r="G192" s="143">
        <f>IF($D$129="Standard",$T$187,IF($D$129="Soumdproof",$T$188,))</f>
        <v/>
      </c>
      <c r="H192" s="652">
        <f>IF($D$129="Standard",$U$187,IF($D$129="Soumdproof",$U$188,))</f>
        <v/>
      </c>
      <c r="I192" s="653">
        <f>IF($D$129="Standard",$V$187,IF($D$129="Soumdproof",$V$188,))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296">
        <f>IF($D$127=5,$O$176,IF($D$127=6,$O$177,IF($D$127=8,$O$178,IF($D$127=10,$O$176,IF($D$127=12,$O$176,IF($D$127=14,$O$178,IF($D$127=18,$O$176,IF($D$127=20,$O$177,IF($D$127=22,"")))))))))</f>
        <v/>
      </c>
      <c r="C193" s="296">
        <f>IF($D$127=5,$P$176,IF($D$127=6,$P$177,IF($D$127=8,$P$178,IF($D$127=10,$P$176,IF($D$127=12,$P$176,IF($D$127=14,$P$178,IF($D$127=18,$P$176,IF($D$127=20,$P$177,IF($D$127=22,"")))))))))</f>
        <v/>
      </c>
      <c r="D193" s="296">
        <f>IF($D$127=5,$Q$176,IF($D$127=6,$Q$177,IF($D$127=8,$Q$178,IF($D$127=10,$Q$176,IF($D$127=12,$Q$176,IF($D$127=14,$Q$178,IF($D$127=18,$Q$176,IF($D$127=20,$Q$177,IF($D$127=22,"")))))))))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IF($D$127=5,$S$176,IF($D$127=6,$S$177,IF($D$127=8,$S$178,IF($D$127=10,$S$176,IF($D$127=12,$S$176,IF($D$127=14,$S$178,IF($D$127=18,$S$176,IF($D$127=20,$S$177,IF($D$127=22,"")))))))))</f>
        <v/>
      </c>
      <c r="G193" s="242">
        <f>IF($D$127=5,$T$176,IF($D$127=6,$T$177,IF($D$127=8,$T$178,IF($D$127=10,$T$176,IF($D$127=12,$T$176,IF($D$127=14,$T$178,IF($D$127=18,$T$176,IF($D$127=20,$T$177,IF($D$127=22,"")))))))))</f>
        <v/>
      </c>
      <c r="H193" s="652">
        <f>IF($D$127=5,$U$176,IF($D$127=6,$U$177,IF($D$127=8,$U$178,IF($D$127=10,$U$176*2,IF($D$127=12,$U$176,IF($D$127=14,$U$178*2,IF($D$127=18,$U$176,IF($D$127=20,$U$177,IF($D$127=22,"")))))))))</f>
        <v/>
      </c>
      <c r="I193" s="653">
        <f>IF($D$127=5,$V$176,IF($D$127=6,$V$177,IF($D$127=8,$V$178,IF($D$127=10,$V$176,IF($D$127=12,$V$176,IF($D$127=14,$V$178,IF($D$127=18,$V$176,IF($D$127=20,$V$177,IF($D$127=22,"")))))))))</f>
        <v/>
      </c>
      <c r="J193" s="654">
        <f>ROUNDUP((H193)/100,0)</f>
        <v/>
      </c>
    </row>
    <row r="194" ht="18" customHeight="1" s="344">
      <c r="A194" s="201">
        <f>IF(B194="","",+A193+1)</f>
        <v/>
      </c>
      <c r="B194" s="296">
        <f>IF($D$127=5,$O$174,IF($D$127=6,$O$174,IF($D$127=8,$O$176,IF($D$127=10,"",IF($D$127=12,$O$175,IF($D$127=14,"",IF($D$127=18,$O$174,IF($D$127=20,$O$175,IF($D$127=22,"",)))))))))</f>
        <v/>
      </c>
      <c r="C194" s="296">
        <f>IF($D$127=5,$P$174,IF($D$127=6,$P$174,IF($D$127=8,$P$176,IF($D$127=10,"",IF($D$127=12,$P$175,IF($D$127=14,"",IF($D$127=18,$P$174,IF($D$127=20,$P$175,IF($D$127=22,"",)))))))))</f>
        <v/>
      </c>
      <c r="D194" s="296">
        <f>IF($D$127=5,$Q$174,IF($D$127=6,$Q$174,IF($D$127=8,$Q$176,IF($D$127=10,"",IF($D$127=12,$Q$175,IF($D$127=14,"",IF($D$127=18,$Q$174,IF($D$127=20,$Q$175,IF($D$127=22,"",)))))))))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IF($D$127=5,$S$174,IF($D$127=6,$S$174,IF($D$127=8,$S$176,IF($D$127=10,"",IF($D$127=12,$S$175,IF($D$127=14,"",IF($D$127=18,$S$174,IF($D$127=20,$S$175,IF($D$127=22,"",)))))))))</f>
        <v/>
      </c>
      <c r="G194" s="242">
        <f>IF($D$127=5,$T$174,IF($D$127=6,$T$174,IF($D$127=8,$T$176,IF($D$127=10,"",IF($D$127=12,$T$175,IF($D$127=14,"",IF($D$127=18,$T$174,IF($D$127=20,$T$175,IF($D$127=22,"",)))))))))</f>
        <v/>
      </c>
      <c r="H194" s="652">
        <f>IF($D$127=5,$U$174,IF($D$127=6,$U$174,IF($D$127=8,$U$176,IF($D$127=10,"",IF($D$127=12,$U$175,IF($D$127=14,"",IF($D$127=18,$U$174,IF($D$127=20,$U$175,IF($D$127=22,"")))))))))</f>
        <v/>
      </c>
      <c r="I194" s="653">
        <f>IF($D$127=5,$V$174,IF($D$127=6,$V$174,IF($D$127=8,$V$176,IF($D$127=10,"",IF($D$127=12,$V$175,IF($D$127=14,"",IF($D$127=18,$V$174,IF($D$127=20,$V$175,IF($D$127=22,"",)))))))))</f>
        <v/>
      </c>
      <c r="J194" s="654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$J$120*G196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$J$120*G197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4))/5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4))/5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4))/5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4))/5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$J$148+$J$149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109" t="n"/>
      <c r="B335" s="63" t="n"/>
      <c r="C335" s="93" t="n"/>
      <c r="D335" s="161" t="n"/>
      <c r="E335" s="109" t="n"/>
      <c r="F335" s="507" t="n"/>
      <c r="G335" s="507" t="n"/>
      <c r="H335" s="507" t="n"/>
      <c r="I335" s="109" t="n"/>
      <c r="J335" s="109" t="n"/>
    </row>
    <row r="336" ht="15.9" customFormat="1" customHeight="1" s="278">
      <c r="A336" s="72" t="n"/>
      <c r="B336" s="109" t="n"/>
      <c r="C336" s="161" t="n"/>
      <c r="D336" s="161" t="n"/>
      <c r="E336" s="109" t="n"/>
      <c r="F336" s="37" t="n"/>
      <c r="G336" s="278" t="n"/>
      <c r="H336" s="109" t="n"/>
      <c r="I336" s="109" t="n"/>
      <c r="J336" s="109" t="n"/>
    </row>
    <row r="337" ht="15.9" customFormat="1" customHeight="1" s="278">
      <c r="A337" s="44" t="n"/>
      <c r="C337" s="43" t="n"/>
      <c r="D337" s="161" t="n"/>
      <c r="E337" s="109" t="n"/>
      <c r="F337" s="109" t="n"/>
      <c r="G337" s="109" t="n"/>
      <c r="H337" s="109" t="n"/>
      <c r="I337" s="44" t="n"/>
      <c r="J337" s="119" t="n"/>
    </row>
    <row r="338" ht="15.9" customFormat="1" customHeight="1" s="278">
      <c r="A338" s="40" t="n"/>
      <c r="C338" s="44" t="n"/>
      <c r="D338" s="84" t="n"/>
      <c r="E338" s="44" t="n"/>
      <c r="F338" s="44" t="n"/>
      <c r="G338" s="44" t="n"/>
      <c r="H338" s="44" t="n"/>
      <c r="I338" s="32" t="n"/>
      <c r="J338" s="40" t="n"/>
    </row>
    <row r="339" ht="15.9" customFormat="1" customHeight="1" s="278">
      <c r="A339" s="109" t="n"/>
      <c r="C339" s="161" t="n"/>
      <c r="D339" s="85" t="n"/>
      <c r="E339" s="40" t="n"/>
      <c r="F339" s="32" t="n"/>
      <c r="G339" s="40" t="n"/>
      <c r="H339" s="32" t="n"/>
      <c r="I339" s="501" t="n"/>
      <c r="J339" s="501" t="n"/>
    </row>
    <row r="340" ht="15.9" customFormat="1" customHeight="1" s="278">
      <c r="A340" s="109" t="n"/>
      <c r="C340" s="163" t="n"/>
      <c r="D340" s="161" t="n"/>
      <c r="E340" s="109" t="n"/>
      <c r="F340" s="161" t="n"/>
      <c r="G340" s="109" t="n"/>
      <c r="H340" s="109" t="n"/>
      <c r="I340" s="501" t="n"/>
      <c r="J340" s="501" t="n"/>
    </row>
    <row r="341" ht="15.9" customFormat="1" customHeight="1" s="278">
      <c r="A341" s="109" t="n"/>
      <c r="B341" s="278" t="n"/>
      <c r="C341" s="161" t="n"/>
      <c r="D341" s="161" t="n"/>
      <c r="E341" s="109" t="n"/>
      <c r="F341" s="161" t="n"/>
      <c r="G341" s="109" t="n"/>
      <c r="H341" s="109" t="n"/>
      <c r="I341" s="162" t="n"/>
      <c r="J341" s="162" t="n"/>
    </row>
    <row r="342" ht="15.9" customFormat="1" customHeight="1" s="278">
      <c r="A342" s="109" t="n"/>
      <c r="B342" s="278" t="n"/>
      <c r="C342" s="44" t="n"/>
      <c r="D342" s="161" t="n"/>
      <c r="E342" s="109" t="n"/>
      <c r="F342" s="161" t="n"/>
      <c r="G342" s="109" t="n"/>
      <c r="H342" s="162" t="n"/>
      <c r="I342" s="161" t="n"/>
      <c r="J342" s="161" t="n"/>
    </row>
    <row r="343" ht="15.9" customFormat="1" customHeight="1" s="278">
      <c r="A343" s="109" t="n"/>
      <c r="B343" s="278" t="n"/>
      <c r="C343" s="93" t="n"/>
      <c r="D343" s="161" t="n"/>
      <c r="E343" s="109" t="n"/>
      <c r="F343" s="161" t="n"/>
      <c r="G343" s="109" t="n"/>
      <c r="H343" s="161" t="n"/>
      <c r="I343" s="161" t="n"/>
      <c r="J343" s="161" t="n"/>
    </row>
    <row r="344" ht="15.9" customFormat="1" customHeight="1" s="278">
      <c r="A344" s="109" t="n"/>
      <c r="B344" s="278" t="n"/>
      <c r="C344" s="163" t="n"/>
      <c r="D344" s="161" t="n"/>
      <c r="E344" s="109" t="n"/>
      <c r="F344" s="161" t="n"/>
      <c r="G344" s="109" t="n"/>
      <c r="H344" s="161" t="n"/>
      <c r="I344" s="109" t="n"/>
      <c r="J344" s="501" t="n"/>
    </row>
    <row r="345" ht="15.9" customFormat="1" customHeight="1" s="278">
      <c r="A345" s="109" t="n"/>
      <c r="B345" s="278" t="n"/>
      <c r="C345" s="161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278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44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163" t="n"/>
      <c r="D351" s="161" t="n"/>
      <c r="E351" s="109" t="n"/>
      <c r="F351" s="161" t="n"/>
      <c r="G351" s="109" t="n"/>
      <c r="H351" s="109" t="n"/>
      <c r="I351" s="109" t="n"/>
      <c r="J351" s="501" t="n"/>
    </row>
    <row r="352" ht="15.9" customFormat="1" customHeight="1" s="278">
      <c r="A352" s="109" t="n"/>
      <c r="B352" s="278" t="n"/>
      <c r="C352" s="161" t="n"/>
      <c r="D352" s="161" t="n"/>
      <c r="E352" s="109" t="n"/>
      <c r="F352" s="161" t="n"/>
      <c r="G352" s="109" t="n"/>
      <c r="H352" s="109" t="n"/>
      <c r="I352" s="501" t="n"/>
      <c r="J352" s="501" t="n"/>
    </row>
    <row r="353" ht="15.9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501" t="n"/>
      <c r="J353" s="501" t="n"/>
    </row>
    <row r="354" ht="15" customFormat="1" customHeight="1" s="278">
      <c r="A354" s="109" t="n"/>
      <c r="B354" s="278" t="n"/>
      <c r="C354" s="278" t="n"/>
      <c r="D354" s="161" t="n"/>
      <c r="E354" s="109" t="n"/>
      <c r="F354" s="109" t="n"/>
      <c r="G354" s="109" t="n"/>
      <c r="H354" s="107" t="n"/>
      <c r="I354" s="501" t="n"/>
      <c r="J354" s="501" t="n"/>
    </row>
    <row r="355" ht="15.9" customFormat="1" customHeight="1" s="23">
      <c r="A355" s="109" t="n"/>
      <c r="B355" s="278" t="n"/>
      <c r="C355" s="278" t="n"/>
      <c r="D355" s="161" t="n"/>
      <c r="E355" s="109" t="n"/>
      <c r="F355" s="109" t="n"/>
      <c r="G355" s="109" t="n"/>
      <c r="H355" s="109" t="n"/>
      <c r="I355" s="109" t="n"/>
      <c r="J355" s="109" t="n"/>
    </row>
    <row r="356" ht="15.9" customFormat="1" customHeight="1" s="278">
      <c r="A356" s="44" t="n"/>
      <c r="B356" s="278" t="n"/>
      <c r="C356" s="278" t="n"/>
      <c r="D356" s="161" t="n"/>
      <c r="E356" s="109" t="n"/>
      <c r="F356" s="109" t="n"/>
      <c r="G356" s="109" t="n"/>
      <c r="H356" s="109" t="n"/>
      <c r="I356" s="44" t="n"/>
      <c r="J356" s="119" t="n"/>
    </row>
    <row r="357" ht="15.9" customFormat="1" customHeight="1" s="278">
      <c r="A357" s="40" t="n"/>
      <c r="B357" s="44" t="n"/>
      <c r="C357" s="44" t="n"/>
      <c r="D357" s="84" t="n"/>
      <c r="E357" s="44" t="n"/>
      <c r="F357" s="44" t="n"/>
      <c r="G357" s="44" t="n"/>
      <c r="H357" s="44" t="n"/>
      <c r="I357" s="32" t="n"/>
      <c r="J357" s="40" t="n"/>
    </row>
    <row r="358" ht="15.9" customFormat="1" customHeight="1" s="278">
      <c r="A358" s="27" t="n"/>
      <c r="B358" s="40" t="n"/>
      <c r="C358" s="44" t="n"/>
      <c r="D358" s="85" t="n"/>
      <c r="E358" s="40" t="n"/>
      <c r="F358" s="32" t="n"/>
      <c r="G358" s="40" t="n"/>
      <c r="H358" s="32" t="n"/>
      <c r="I358" s="501" t="n"/>
      <c r="J358" s="501" t="n"/>
    </row>
    <row r="359" ht="15.9" customFormat="1" customHeight="1" s="278">
      <c r="A359" s="27" t="n"/>
      <c r="B359" s="278" t="n"/>
      <c r="C359" s="93" t="n"/>
      <c r="D359" s="161" t="n"/>
      <c r="E359" s="109" t="n"/>
      <c r="F359" s="109" t="n"/>
      <c r="G359" s="109" t="n"/>
      <c r="H359" s="93" t="n"/>
      <c r="I359" s="163" t="n"/>
      <c r="J359" s="163" t="n"/>
    </row>
    <row r="360" ht="15.9" customFormat="1" customHeight="1" s="278">
      <c r="A360" s="27" t="n"/>
      <c r="B360" s="278" t="n"/>
      <c r="C360" s="163" t="n"/>
      <c r="D360" s="161" t="n"/>
      <c r="E360" s="109" t="n"/>
      <c r="F360" s="109" t="n"/>
      <c r="G360" s="109" t="n"/>
      <c r="H360" s="163" t="n"/>
      <c r="I360" s="161" t="n"/>
      <c r="J360" s="161" t="n"/>
    </row>
    <row r="361" ht="15.9" customFormat="1" customHeight="1" s="278">
      <c r="A361" s="27" t="n"/>
      <c r="B361" s="278" t="n"/>
      <c r="C361" s="161" t="n"/>
      <c r="D361" s="161" t="n"/>
      <c r="E361" s="109" t="n"/>
      <c r="F361" s="109" t="n"/>
      <c r="G361" s="109" t="n"/>
      <c r="H361" s="161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87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161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D373" s="161" t="n"/>
      <c r="E373" s="109" t="n"/>
      <c r="F373" s="109" t="n"/>
      <c r="G373" s="278" t="n"/>
      <c r="H373" s="278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109" t="n"/>
      <c r="I376" s="501" t="n"/>
      <c r="J376" s="501" t="n"/>
    </row>
    <row r="377" ht="15.9" customFormat="1" customHeight="1" s="278">
      <c r="A377" s="27" t="n"/>
      <c r="B377" s="278" t="n"/>
      <c r="C377" s="278" t="n"/>
      <c r="D377" s="161" t="n"/>
      <c r="E377" s="109" t="n"/>
      <c r="F377" s="109" t="n"/>
      <c r="G377" s="109" t="n"/>
      <c r="H377" s="93" t="n"/>
      <c r="I377" s="163" t="n"/>
      <c r="J377" s="163" t="n"/>
    </row>
    <row r="378" ht="15.9" customFormat="1" customHeight="1" s="278">
      <c r="A378" s="27" t="n"/>
      <c r="B378" s="278" t="n"/>
      <c r="C378" s="63" t="n"/>
      <c r="D378" s="161" t="n"/>
      <c r="E378" s="109" t="n"/>
      <c r="F378" s="109" t="n"/>
      <c r="G378" s="109" t="n"/>
      <c r="H378" s="163" t="n"/>
      <c r="I378" s="161" t="n"/>
      <c r="J378" s="161" t="n"/>
    </row>
    <row r="379" ht="15.9" customFormat="1" customHeight="1" s="278">
      <c r="A379" s="27" t="n"/>
      <c r="B379" s="278" t="n"/>
      <c r="C379" s="287" t="n"/>
      <c r="D379" s="161" t="n"/>
      <c r="E379" s="109" t="n"/>
      <c r="F379" s="109" t="n"/>
      <c r="G379" s="109" t="n"/>
      <c r="H379" s="161" t="n"/>
      <c r="I379" s="501" t="n"/>
      <c r="J379" s="501" t="n"/>
    </row>
    <row r="380" ht="15.9" customFormat="1" customHeight="1" s="278">
      <c r="A380" s="27" t="n"/>
      <c r="B380" s="278" t="n"/>
      <c r="C380" s="161" t="n"/>
      <c r="D380" s="161" t="n"/>
      <c r="E380" s="109" t="n"/>
      <c r="F380" s="109" t="n"/>
      <c r="G380" s="109" t="n"/>
      <c r="H380" s="93" t="n"/>
      <c r="I380" s="163" t="n"/>
      <c r="J380" s="163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3" t="n"/>
      <c r="I381" s="161" t="n"/>
      <c r="J381" s="16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61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501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09" t="n"/>
      <c r="J388" s="501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09" t="n"/>
      <c r="I389" s="164" t="n"/>
      <c r="J389" s="164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164" t="n"/>
      <c r="I390" s="302" t="n"/>
      <c r="J390" s="302" t="n"/>
    </row>
    <row r="391" ht="15.9" customFormat="1" customHeight="1" s="278">
      <c r="A391" s="27" t="n"/>
      <c r="B391" s="278" t="n"/>
      <c r="C391" s="278" t="n"/>
      <c r="D391" s="161" t="n"/>
      <c r="E391" s="109" t="n"/>
      <c r="F391" s="109" t="n"/>
      <c r="G391" s="109" t="n"/>
      <c r="H391" s="302" t="n"/>
      <c r="I391" s="161" t="n"/>
      <c r="J391" s="161" t="n"/>
    </row>
    <row r="392" ht="15.9" customFormat="1" customHeight="1" s="278">
      <c r="A392" s="27" t="n"/>
      <c r="B392" s="278" t="n"/>
      <c r="C392" s="63" t="n"/>
      <c r="D392" s="161" t="n"/>
      <c r="E392" s="109" t="n"/>
      <c r="F392" s="109" t="n"/>
      <c r="G392" s="109" t="n"/>
      <c r="H392" s="161" t="n"/>
      <c r="I392" s="501" t="n"/>
      <c r="J392" s="501" t="n"/>
    </row>
    <row r="393" ht="15.9" customFormat="1" customHeight="1" s="278">
      <c r="A393" s="27" t="n"/>
      <c r="B393" s="278" t="n"/>
      <c r="C393" s="287" t="n"/>
      <c r="D393" s="161" t="n"/>
      <c r="E393" s="109" t="n"/>
      <c r="F393" s="109" t="n"/>
      <c r="G393" s="109" t="n"/>
      <c r="H393" s="109" t="n"/>
      <c r="I393" s="109" t="n"/>
      <c r="J393" s="501" t="n"/>
    </row>
    <row r="394" ht="15.9" customFormat="1" customHeight="1" s="278">
      <c r="A394" s="27" t="n"/>
      <c r="B394" s="278" t="n"/>
      <c r="C394" s="161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27" t="n"/>
      <c r="B396" s="278" t="n"/>
      <c r="C396" s="278" t="n"/>
      <c r="D396" s="161" t="n"/>
      <c r="E396" s="109" t="n"/>
      <c r="F396" s="109" t="n"/>
      <c r="G396" s="109" t="n"/>
      <c r="H396" s="109" t="n"/>
      <c r="I396" s="501" t="n"/>
      <c r="J396" s="501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3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3">
      <c r="A406" s="101" t="n"/>
      <c r="B406" s="278" t="n"/>
      <c r="C406" s="278" t="n"/>
      <c r="D406" s="161" t="n"/>
      <c r="E406" s="109" t="n"/>
      <c r="F406" s="109" t="n"/>
      <c r="G406" s="109" t="n"/>
      <c r="H406" s="109" t="n"/>
      <c r="I406" s="109" t="n"/>
      <c r="J406" s="109" t="n"/>
    </row>
    <row r="407" ht="15.9" customFormat="1" customHeight="1" s="23">
      <c r="A407" s="101" t="n"/>
      <c r="B407" s="278" t="n"/>
      <c r="C407" s="278" t="n"/>
      <c r="D407" s="161" t="n"/>
      <c r="E407" s="109" t="n"/>
      <c r="F407" s="109" t="n"/>
      <c r="G407" s="109" t="n"/>
      <c r="H407" s="109" t="n"/>
      <c r="I407" s="109" t="n"/>
      <c r="J407" s="109" t="n"/>
    </row>
    <row r="408" ht="15.9" customFormat="1" customHeight="1" s="23">
      <c r="A408" s="101" t="n"/>
      <c r="B408" s="278" t="n"/>
      <c r="C408" s="278" t="n"/>
      <c r="D408" s="161" t="n"/>
      <c r="E408" s="109" t="n"/>
      <c r="F408" s="109" t="n"/>
      <c r="G408" s="109" t="n"/>
      <c r="H408" s="109" t="n"/>
      <c r="I408" s="109" t="n"/>
      <c r="J408" s="109" t="n"/>
    </row>
    <row r="409" ht="15.9" customFormat="1" customHeight="1" s="23">
      <c r="A409" s="101" t="n"/>
      <c r="B409" s="278" t="n"/>
      <c r="C409" s="278" t="n"/>
      <c r="D409" s="161" t="n"/>
      <c r="E409" s="109" t="n"/>
      <c r="F409" s="109" t="n"/>
      <c r="G409" s="109" t="n"/>
      <c r="H409" s="109" t="n"/>
      <c r="I409" s="109" t="n"/>
      <c r="J409" s="109" t="n"/>
    </row>
    <row r="410" ht="15.9" customFormat="1" customHeight="1" s="278">
      <c r="A410" s="44" t="n"/>
      <c r="B410" s="278" t="n"/>
      <c r="C410" s="278" t="n"/>
      <c r="D410" s="161" t="n"/>
      <c r="E410" s="109" t="n"/>
      <c r="F410" s="109" t="n"/>
      <c r="G410" s="109" t="n"/>
      <c r="H410" s="109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44" t="n"/>
      <c r="B444" s="278" t="n"/>
      <c r="C444" s="43" t="n"/>
      <c r="D444" s="161" t="n"/>
      <c r="E444" s="109" t="n"/>
      <c r="F444" s="109" t="n"/>
      <c r="H444" s="44" t="n"/>
      <c r="I444" s="44" t="n"/>
      <c r="J444" s="119" t="n"/>
    </row>
    <row r="445" ht="15.9" customFormat="1" customHeight="1" s="278">
      <c r="A445" s="40" t="n"/>
      <c r="C445" s="44" t="n"/>
      <c r="D445" s="84" t="n"/>
      <c r="E445" s="44" t="n"/>
      <c r="F445" s="44" t="n"/>
      <c r="H445" s="44" t="n"/>
      <c r="I445" s="44" t="n"/>
      <c r="J445" s="119" t="n"/>
    </row>
    <row r="446" ht="15.6" customHeight="1" s="344">
      <c r="B446" s="64" t="n"/>
      <c r="C446" s="163" t="n"/>
      <c r="D446" s="161" t="n"/>
      <c r="E446" s="109" t="n"/>
      <c r="F446" s="161" t="n"/>
      <c r="G446" s="109" t="n"/>
      <c r="H446" s="109" t="n"/>
    </row>
    <row r="451" ht="15.9" customFormat="1" customHeight="1" s="278">
      <c r="A451" s="109" t="n"/>
      <c r="D451" s="345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44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3" t="n"/>
      <c r="D457" s="161" t="n"/>
      <c r="E457" s="109" t="n"/>
      <c r="F457" s="161" t="n"/>
      <c r="G457" s="109" t="n"/>
      <c r="H457" s="109" t="n"/>
      <c r="I457" s="109" t="n"/>
      <c r="J457" s="501" t="n"/>
    </row>
    <row r="458" ht="15.9" customFormat="1" customHeight="1" s="278">
      <c r="A458" s="109" t="n"/>
      <c r="B458" s="278" t="n"/>
      <c r="C458" s="161" t="n"/>
      <c r="D458" s="161" t="n"/>
      <c r="E458" s="109" t="n"/>
      <c r="F458" s="161" t="n"/>
      <c r="G458" s="109" t="n"/>
      <c r="H458" s="109" t="n"/>
      <c r="I458" s="501" t="n"/>
      <c r="J458" s="501" t="n"/>
    </row>
    <row r="459" ht="15.9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7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109" t="n"/>
      <c r="J478" s="109" t="n"/>
    </row>
    <row r="479" ht="15.9" customFormat="1" customHeight="1" s="278">
      <c r="A479" s="44" t="n"/>
      <c r="B479" s="278" t="n"/>
      <c r="C479" s="278" t="n"/>
      <c r="D479" s="161" t="n"/>
      <c r="E479" s="109" t="n"/>
      <c r="F479" s="109" t="n"/>
      <c r="G479" s="109" t="n"/>
      <c r="H479" s="109" t="n"/>
      <c r="I479" s="44" t="n"/>
      <c r="J479" s="119" t="n"/>
    </row>
    <row r="480" ht="15.9" customFormat="1" customHeight="1" s="278">
      <c r="A480" s="40" t="n"/>
      <c r="B480" s="44" t="n"/>
      <c r="C480" s="44" t="n"/>
      <c r="D480" s="84" t="n"/>
      <c r="E480" s="44" t="n"/>
      <c r="F480" s="44" t="n"/>
      <c r="G480" s="44" t="n"/>
      <c r="H480" s="44" t="n"/>
      <c r="I480" s="32" t="n"/>
      <c r="J480" s="40" t="n"/>
    </row>
    <row r="481" ht="15.9" customFormat="1" customHeight="1" s="278">
      <c r="A481" s="27" t="n"/>
      <c r="B481" s="40" t="n"/>
      <c r="C481" s="44" t="n"/>
      <c r="D481" s="85" t="n"/>
      <c r="E481" s="40" t="n"/>
      <c r="F481" s="32" t="n"/>
      <c r="G481" s="40" t="n"/>
      <c r="H481" s="32" t="n"/>
      <c r="I481" s="501" t="n"/>
      <c r="J481" s="501" t="n"/>
    </row>
    <row r="482" ht="15.9" customFormat="1" customHeight="1" s="278">
      <c r="A482" s="27" t="n"/>
      <c r="B482" s="278" t="n"/>
      <c r="C482" s="93" t="n"/>
      <c r="D482" s="161" t="n"/>
      <c r="E482" s="109" t="n"/>
      <c r="F482" s="109" t="n"/>
      <c r="G482" s="109" t="n"/>
      <c r="H482" s="93" t="n"/>
      <c r="I482" s="287" t="n"/>
      <c r="J482" s="302" t="n"/>
    </row>
    <row r="483" ht="15.9" customFormat="1" customHeight="1" s="278">
      <c r="A483" s="27" t="n"/>
      <c r="B483" s="278" t="n"/>
      <c r="C483" s="163" t="n"/>
      <c r="D483" s="161" t="n"/>
      <c r="E483" s="109" t="n"/>
      <c r="F483" s="109" t="n"/>
      <c r="G483" s="109" t="n"/>
      <c r="H483" s="287" t="n"/>
      <c r="I483" s="278" t="n"/>
      <c r="J483" s="109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278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87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D496" s="161" t="n"/>
      <c r="E496" s="109" t="n"/>
      <c r="F496" s="109" t="n"/>
      <c r="G496" s="278" t="n"/>
      <c r="H496" s="278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63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87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161" t="n"/>
      <c r="D503" s="161" t="n"/>
      <c r="E503" s="109" t="n"/>
      <c r="F503" s="109" t="n"/>
      <c r="G503" s="109" t="n"/>
      <c r="H503" s="93" t="n"/>
      <c r="I503" s="287" t="n"/>
      <c r="J503" s="302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87" t="n"/>
      <c r="I504" s="278" t="n"/>
      <c r="J504" s="109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278" t="n"/>
      <c r="J515" s="109" t="n"/>
    </row>
    <row r="516" ht="15.9" customFormat="1" customHeight="1" s="278">
      <c r="A516" s="44" t="n"/>
      <c r="B516" s="278" t="n"/>
      <c r="C516" s="278" t="n"/>
      <c r="D516" s="161" t="n"/>
      <c r="E516" s="109" t="n"/>
      <c r="F516" s="109" t="n"/>
      <c r="G516" s="109" t="n"/>
      <c r="H516" s="287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4)/5)-13</t>
        </is>
      </c>
      <c r="I521" s="124">
        <f>(($J$126-185-(113.25*4))/5)-13</f>
        <v/>
      </c>
      <c r="J521" s="151">
        <f>$J$120*5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D123:G123"/>
    <mergeCell ref="A117:J117"/>
    <mergeCell ref="J123:J124"/>
    <mergeCell ref="F521:G521"/>
    <mergeCell ref="I166:J167"/>
    <mergeCell ref="D170:D171"/>
    <mergeCell ref="I156:J156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C308:E308"/>
    <mergeCell ref="A6:J6"/>
    <mergeCell ref="I155:J155"/>
    <mergeCell ref="I161:J161"/>
    <mergeCell ref="D161:D162"/>
    <mergeCell ref="A427:J427"/>
    <mergeCell ref="D168:D169"/>
    <mergeCell ref="H170:H171"/>
    <mergeCell ref="A172:J172"/>
    <mergeCell ref="J120:J121"/>
    <mergeCell ref="I157:J157"/>
    <mergeCell ref="A125:B125"/>
    <mergeCell ref="A519:J519"/>
    <mergeCell ref="J126:J127"/>
    <mergeCell ref="D159:D160"/>
    <mergeCell ref="I159:J160"/>
    <mergeCell ref="D125:G125"/>
    <mergeCell ref="H123:I124"/>
    <mergeCell ref="A213:J213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$O$174:$O$192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Sheet15">
    <tabColor theme="5" tint="-0.249977111117893"/>
    <outlinePr summaryBelow="1" summaryRight="1"/>
    <pageSetUpPr/>
  </sheetPr>
  <dimension ref="A2:Y528"/>
  <sheetViews>
    <sheetView showGridLines="0" view="pageBreakPreview" topLeftCell="A109" zoomScale="75" zoomScaleNormal="75" zoomScaleSheetLayoutView="75" workbookViewId="0">
      <selection activeCell="H120" sqref="H120:I121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(5L)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FG-240-5P5L-01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Test Roller SMS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Black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3700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4000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(W-182-(113.25 × 4))/5</t>
        </is>
      </c>
      <c r="V133" s="285">
        <f>($J$126-182-(113.25*4))/5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283" t="inlineStr">
        <is>
          <t>(W-182-(113.25 × 4))/5</t>
        </is>
      </c>
      <c r="V134" s="285">
        <f>($J$126-182-(113.25*4))/5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83" t="inlineStr">
        <is>
          <t>(W-182-(113.25 × 4))/5</t>
        </is>
      </c>
      <c r="V135" s="285">
        <f>($J$126-182-(113.25*4))/5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B24005-004R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7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customFormat="1" s="278" thickBot="1">
      <c r="A169" s="213">
        <f>IF(B169="","",+A168+1)</f>
        <v/>
      </c>
      <c r="B169" s="173">
        <f>B147</f>
        <v/>
      </c>
      <c r="C169" s="173">
        <f>C147</f>
        <v/>
      </c>
      <c r="D169" s="648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ht="24.9" customFormat="1" customHeight="1" s="278" thickBot="1">
      <c r="A170" s="642" t="inlineStr">
        <is>
          <t>PARTS LIST HARDWARE &amp; ACCESSORIES</t>
        </is>
      </c>
      <c r="B170" s="634" t="n"/>
      <c r="C170" s="634" t="n"/>
      <c r="D170" s="634" t="n"/>
      <c r="E170" s="634" t="n"/>
      <c r="F170" s="634" t="n"/>
      <c r="G170" s="634" t="n"/>
      <c r="H170" s="634" t="n"/>
      <c r="I170" s="634" t="n"/>
      <c r="J170" s="635" t="n"/>
    </row>
    <row r="171" ht="35.1" customFormat="1" customHeight="1" s="278" thickBot="1">
      <c r="A171" s="102" t="inlineStr">
        <is>
          <t>ITEM</t>
        </is>
      </c>
      <c r="B171" s="103" t="inlineStr">
        <is>
          <t>THAI</t>
        </is>
      </c>
      <c r="C171" s="103" t="inlineStr">
        <is>
          <t>DESCRIPTION</t>
        </is>
      </c>
      <c r="D171" s="103" t="inlineStr">
        <is>
          <t>PART NO.</t>
        </is>
      </c>
      <c r="E171" s="103" t="inlineStr">
        <is>
          <t>KG/m</t>
        </is>
      </c>
      <c r="F171" s="104" t="inlineStr">
        <is>
          <t>DRAWING</t>
        </is>
      </c>
      <c r="G171" s="103" t="inlineStr">
        <is>
          <t>PER</t>
        </is>
      </c>
      <c r="H171" s="104" t="inlineStr">
        <is>
          <t>QUANTITY</t>
        </is>
      </c>
      <c r="I171" s="104" t="inlineStr">
        <is>
          <t>Pack QTY</t>
        </is>
      </c>
      <c r="J171" s="115" t="inlineStr">
        <is>
          <t>TOTAL</t>
        </is>
      </c>
      <c r="N171" s="101" t="inlineStr">
        <is>
          <t>Glass size</t>
        </is>
      </c>
      <c r="O171" s="246" t="inlineStr">
        <is>
          <t>THAI</t>
        </is>
      </c>
      <c r="P171" s="246" t="inlineStr">
        <is>
          <t>DESCRIPTION</t>
        </is>
      </c>
      <c r="Q171" s="246" t="inlineStr">
        <is>
          <t>PART NO.</t>
        </is>
      </c>
      <c r="R171" s="246" t="inlineStr">
        <is>
          <t>KG/m</t>
        </is>
      </c>
      <c r="S171" s="246" t="inlineStr">
        <is>
          <t>DRAWING</t>
        </is>
      </c>
      <c r="T171" s="246" t="inlineStr">
        <is>
          <t>PER</t>
        </is>
      </c>
      <c r="U171" s="246" t="inlineStr">
        <is>
          <t>QUANTITY</t>
        </is>
      </c>
      <c r="V171" s="246" t="inlineStr">
        <is>
          <t>Pack QTY</t>
        </is>
      </c>
      <c r="W171" s="246" t="inlineStr">
        <is>
          <t>TOTAL</t>
        </is>
      </c>
    </row>
    <row r="172" ht="18" customFormat="1" customHeight="1" s="278">
      <c r="A172" s="200">
        <f>IF(B172="","",1)</f>
        <v/>
      </c>
      <c r="B172" s="140" t="inlineStr">
        <is>
          <t>หมอนรองกระจก</t>
        </is>
      </c>
      <c r="C172" s="140" t="inlineStr">
        <is>
          <t>SETTING BLOCK</t>
        </is>
      </c>
      <c r="D172" s="139" t="inlineStr">
        <is>
          <t>02-037</t>
        </is>
      </c>
      <c r="E172" s="143" t="n"/>
      <c r="F172" s="143" t="inlineStr">
        <is>
          <t>02-037</t>
        </is>
      </c>
      <c r="G172" s="143" t="inlineStr">
        <is>
          <t>PC</t>
        </is>
      </c>
      <c r="H172" s="143" t="n">
        <v>10</v>
      </c>
      <c r="I172" s="184" t="n"/>
      <c r="J172" s="131">
        <f>$J$120*H172</f>
        <v/>
      </c>
      <c r="N172" s="101" t="inlineStr">
        <is>
          <t>5,6,18</t>
        </is>
      </c>
      <c r="O172" s="280" t="inlineStr">
        <is>
          <t>5,6,18 mm ยางรองกระจก</t>
        </is>
      </c>
      <c r="P172" s="415" t="inlineStr">
        <is>
          <t>5,6,18 mm CAPTIVE WEDGE</t>
        </is>
      </c>
      <c r="Q172" s="280" t="inlineStr">
        <is>
          <t>02-022</t>
        </is>
      </c>
      <c r="R172" s="213" t="n"/>
      <c r="S172" s="213" t="inlineStr">
        <is>
          <t>02-022</t>
        </is>
      </c>
      <c r="T172" s="213" t="inlineStr">
        <is>
          <t>M</t>
        </is>
      </c>
      <c r="U172" s="650">
        <f>((($I$141*$G$141)+($I$142*$G$142)+($I$143*$G$143)+($I$144*$G$144)+($I$145*$G$145))/1000)*$J$120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ประเก็นเฟรมบน</t>
        </is>
      </c>
      <c r="C173" s="140" t="inlineStr">
        <is>
          <t>FRAME SEAL BI-FOLD HEAD (L/R)</t>
        </is>
      </c>
      <c r="D173" s="139" t="inlineStr">
        <is>
          <t>02-015</t>
        </is>
      </c>
      <c r="E173" s="143" t="n"/>
      <c r="F173" s="143" t="inlineStr">
        <is>
          <t>02-015</t>
        </is>
      </c>
      <c r="G173" s="143" t="inlineStr">
        <is>
          <t>PC</t>
        </is>
      </c>
      <c r="H173" s="143" t="n">
        <v>2</v>
      </c>
      <c r="I173" s="184" t="n"/>
      <c r="J173" s="131">
        <f>$J$120*H173</f>
        <v/>
      </c>
      <c r="N173" s="101" t="inlineStr">
        <is>
          <t>12,20</t>
        </is>
      </c>
      <c r="O173" s="280" t="inlineStr">
        <is>
          <t>12,20 mm ยางรองกระจก</t>
        </is>
      </c>
      <c r="P173" s="415" t="inlineStr">
        <is>
          <t>12,20 mm CAPTIVE WEDGE</t>
        </is>
      </c>
      <c r="Q173" s="280" t="inlineStr">
        <is>
          <t>02-032</t>
        </is>
      </c>
      <c r="R173" s="213" t="n"/>
      <c r="S173" s="213" t="inlineStr">
        <is>
          <t>02-032</t>
        </is>
      </c>
      <c r="T173" s="213" t="inlineStr">
        <is>
          <t>M</t>
        </is>
      </c>
      <c r="U173" s="650">
        <f>((($I$141*$G$141)+($I$142*$G$142)+($I$143*$G$143)+($I$144*$G$144)+($I$145*$G$145))/1000)*$J$120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ประเก็นเฟรมล่าง</t>
        </is>
      </c>
      <c r="C174" s="140" t="inlineStr">
        <is>
          <t>FRAME SEAL BI-FOLD SILL (L/R)</t>
        </is>
      </c>
      <c r="D174" s="139" t="inlineStr">
        <is>
          <t>02-016</t>
        </is>
      </c>
      <c r="E174" s="143" t="n"/>
      <c r="F174" s="143" t="inlineStr">
        <is>
          <t>02-016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5,8,10,12,18</t>
        </is>
      </c>
      <c r="O174" s="415" t="inlineStr">
        <is>
          <t>5,8,10,12,18 mmยางอัดกระจก</t>
        </is>
      </c>
      <c r="P174" s="415" t="inlineStr">
        <is>
          <t>5,8,10,12,18 mm ROLL IN WEDGE</t>
        </is>
      </c>
      <c r="Q174" s="280" t="inlineStr">
        <is>
          <t>02-033</t>
        </is>
      </c>
      <c r="R174" s="213" t="n"/>
      <c r="S174" s="213" t="inlineStr">
        <is>
          <t>02-033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38</t>
        </is>
      </c>
      <c r="C175" s="140" t="inlineStr">
        <is>
          <t>#8x38 mm. SS PH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8</v>
      </c>
      <c r="I175" s="130" t="n"/>
      <c r="J175" s="131">
        <f>$J$120*H175</f>
        <v/>
      </c>
      <c r="N175" s="101" t="inlineStr">
        <is>
          <t>6,20</t>
        </is>
      </c>
      <c r="O175" s="415" t="inlineStr">
        <is>
          <t>6,20 mm ยางอัดกระจก</t>
        </is>
      </c>
      <c r="P175" s="415" t="inlineStr">
        <is>
          <t>6,20 mm ROLL IN WEDGE</t>
        </is>
      </c>
      <c r="Q175" s="280" t="inlineStr">
        <is>
          <t>02-034</t>
        </is>
      </c>
      <c r="R175" s="213" t="n"/>
      <c r="S175" s="213" t="inlineStr">
        <is>
          <t>02-034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12</t>
        </is>
      </c>
      <c r="C176" s="140" t="inlineStr">
        <is>
          <t>#8x12 mm. CSK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110</v>
      </c>
      <c r="I176" s="130" t="n"/>
      <c r="J176" s="131">
        <f>$J$120*H176</f>
        <v/>
      </c>
      <c r="N176" s="101" t="inlineStr">
        <is>
          <t>8,14</t>
        </is>
      </c>
      <c r="O176" s="415" t="inlineStr">
        <is>
          <t>8,14 mm ยางอัดกระจก</t>
        </is>
      </c>
      <c r="P176" s="415" t="inlineStr">
        <is>
          <t>8,14 mm ROLL IN WEDGE</t>
        </is>
      </c>
      <c r="Q176" s="280" t="inlineStr">
        <is>
          <t>02-045</t>
        </is>
      </c>
      <c r="R176" s="213" t="n"/>
      <c r="S176" s="213" t="inlineStr">
        <is>
          <t>02-045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ชุดล้อแขวนบานตายซ้าย</t>
        </is>
      </c>
      <c r="C177" s="140" t="inlineStr">
        <is>
          <t>Left Hand Pivot Set</t>
        </is>
      </c>
      <c r="D177" s="139" t="inlineStr">
        <is>
          <t>05-006</t>
        </is>
      </c>
      <c r="E177" s="143" t="n"/>
      <c r="F177" s="143" t="inlineStr">
        <is>
          <t>05-006</t>
        </is>
      </c>
      <c r="G177" s="143" t="inlineStr">
        <is>
          <t>SET</t>
        </is>
      </c>
      <c r="H177" s="143" t="n">
        <v>1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ชุดบานพับมีมือจับ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ชุดล้อแขวนบานกลาง</t>
        </is>
      </c>
      <c r="C179" s="140" t="inlineStr">
        <is>
          <t>Intermediate Carrier Set</t>
        </is>
      </c>
      <c r="D179" s="139" t="inlineStr">
        <is>
          <t>05-011</t>
        </is>
      </c>
      <c r="E179" s="143" t="n"/>
      <c r="F179" s="143" t="inlineStr">
        <is>
          <t>05-011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ชุดสลักล็อค</t>
        </is>
      </c>
      <c r="C181" s="140" t="inlineStr">
        <is>
          <t>Twin Bolt + Rods</t>
        </is>
      </c>
      <c r="D181" s="139" t="inlineStr">
        <is>
          <t>05-014</t>
        </is>
      </c>
      <c r="E181" s="143" t="n"/>
      <c r="F181" s="143" t="inlineStr">
        <is>
          <t>05-014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  <c r="N181" s="278" t="n"/>
      <c r="O181" s="278" t="n"/>
      <c r="P181" s="278" t="n"/>
      <c r="Q181" s="442" t="n"/>
      <c r="R181" s="442" t="n"/>
      <c r="S181" s="442" t="n"/>
      <c r="T181" s="109" t="n"/>
      <c r="U181" s="109" t="n"/>
      <c r="V181" s="109" t="n"/>
      <c r="W181" s="278" t="n"/>
    </row>
    <row r="182" ht="18" customFormat="1" customHeight="1" s="278">
      <c r="A182" s="201">
        <f>IF(B182="","",+A181+1)</f>
        <v/>
      </c>
      <c r="B182" s="140" t="inlineStr">
        <is>
          <t>ชุดมือจับล็อค</t>
        </is>
      </c>
      <c r="C182" s="140" t="inlineStr">
        <is>
          <t>Stainless steel mortise lock,handle,cylinder</t>
        </is>
      </c>
      <c r="D182" s="139" t="inlineStr">
        <is>
          <t>00-024 or 00-027</t>
        </is>
      </c>
      <c r="E182" s="143" t="n"/>
      <c r="F182" s="143" t="inlineStr">
        <is>
          <t>00-024 or 00-027</t>
        </is>
      </c>
      <c r="G182" s="143" t="inlineStr">
        <is>
          <t>SET</t>
        </is>
      </c>
      <c r="H182" s="143" t="n">
        <v>1</v>
      </c>
      <c r="I182" s="144" t="n"/>
      <c r="J182" s="131">
        <f>$J$120*H182</f>
        <v/>
      </c>
      <c r="N182" s="101" t="inlineStr">
        <is>
          <t>FRAME SEAL</t>
        </is>
      </c>
      <c r="O182" s="246" t="inlineStr">
        <is>
          <t>THAI</t>
        </is>
      </c>
      <c r="P182" s="246" t="inlineStr">
        <is>
          <t>DESCRIPTION</t>
        </is>
      </c>
      <c r="Q182" s="246" t="inlineStr">
        <is>
          <t>PART NO.</t>
        </is>
      </c>
      <c r="R182" s="246" t="inlineStr">
        <is>
          <t>KG/m</t>
        </is>
      </c>
      <c r="S182" s="246" t="inlineStr">
        <is>
          <t>DRAWING</t>
        </is>
      </c>
      <c r="T182" s="246" t="inlineStr">
        <is>
          <t>PER</t>
        </is>
      </c>
      <c r="U182" s="246" t="inlineStr">
        <is>
          <t>QUANTITY</t>
        </is>
      </c>
      <c r="V182" s="246" t="inlineStr">
        <is>
          <t>Pack QTY</t>
        </is>
      </c>
      <c r="W182" s="246" t="inlineStr">
        <is>
          <t>TOTAL</t>
        </is>
      </c>
    </row>
    <row r="183" ht="18" customFormat="1" customHeight="1" s="278">
      <c r="A183" s="201">
        <f>IF(B183="","",+A182+1)</f>
        <v/>
      </c>
      <c r="B183" s="140" t="inlineStr">
        <is>
          <t>ตัวประคองสลักล็อค</t>
        </is>
      </c>
      <c r="C183" s="140" t="inlineStr">
        <is>
          <t>Guide twin Bolt Rods</t>
        </is>
      </c>
      <c r="D183" s="139" t="inlineStr">
        <is>
          <t>04-009</t>
        </is>
      </c>
      <c r="E183" s="143" t="n"/>
      <c r="F183" s="143" t="inlineStr">
        <is>
          <t>04-009</t>
        </is>
      </c>
      <c r="G183" s="143" t="inlineStr">
        <is>
          <t>PC</t>
        </is>
      </c>
      <c r="H183" s="143" t="n">
        <v>4</v>
      </c>
      <c r="I183" s="144" t="n"/>
      <c r="J183" s="131">
        <f>$J$120*H183</f>
        <v/>
      </c>
      <c r="N183" s="101" t="inlineStr">
        <is>
          <t>ธรรมดา</t>
        </is>
      </c>
      <c r="O183" s="415" t="inlineStr">
        <is>
          <t>ยางเฟรมกันน้ำ (ธรรมดา)</t>
        </is>
      </c>
      <c r="P183" s="415" t="inlineStr">
        <is>
          <t>FRAME SEAL (Standard)</t>
        </is>
      </c>
      <c r="Q183" s="280" t="inlineStr">
        <is>
          <t>02-026</t>
        </is>
      </c>
      <c r="R183" s="213" t="n"/>
      <c r="S183" s="213" t="inlineStr">
        <is>
          <t>02-026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300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รางเสริมเปลี่ยนล้อ</t>
        </is>
      </c>
      <c r="C184" s="140" t="inlineStr">
        <is>
          <t>35 SERIES TRACK INSERT</t>
        </is>
      </c>
      <c r="D184" s="139" t="inlineStr">
        <is>
          <t>04-004</t>
        </is>
      </c>
      <c r="E184" s="143" t="n"/>
      <c r="F184" s="143" t="inlineStr">
        <is>
          <t>04-004</t>
        </is>
      </c>
      <c r="G184" s="143" t="inlineStr">
        <is>
          <t>PC</t>
        </is>
      </c>
      <c r="H184" s="143" t="n">
        <v>1</v>
      </c>
      <c r="I184" s="144" t="n"/>
      <c r="J184" s="131">
        <f>$J$120*H184</f>
        <v/>
      </c>
      <c r="N184" s="101" t="inlineStr">
        <is>
          <t>กันเสียง</t>
        </is>
      </c>
      <c r="O184" s="415" t="inlineStr">
        <is>
          <t>ยางเฟรมกันน้ำ (กันเสียง)</t>
        </is>
      </c>
      <c r="P184" s="415" t="inlineStr">
        <is>
          <t>FRAME SEAL (Soumdproof)</t>
        </is>
      </c>
      <c r="Q184" s="280" t="inlineStr">
        <is>
          <t>02-025</t>
        </is>
      </c>
      <c r="R184" s="213" t="n"/>
      <c r="S184" s="213" t="inlineStr">
        <is>
          <t>02-025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100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ตัวรับกลอน</t>
        </is>
      </c>
      <c r="C185" s="140" t="inlineStr">
        <is>
          <t xml:space="preserve">FLUSH BOLT RECEIVER </t>
        </is>
      </c>
      <c r="D185" s="139" t="inlineStr">
        <is>
          <t>04-016</t>
        </is>
      </c>
      <c r="E185" s="143" t="n"/>
      <c r="F185" s="143" t="inlineStr">
        <is>
          <t>04-016</t>
        </is>
      </c>
      <c r="G185" s="143" t="inlineStr">
        <is>
          <t>PC</t>
        </is>
      </c>
      <c r="H185" s="143" t="n">
        <v>2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ยางแซชกันน้ำ (ธรรมดา)</t>
        </is>
      </c>
      <c r="P185" s="415" t="inlineStr">
        <is>
          <t>SASH SEAL FOAM (Standard)</t>
        </is>
      </c>
      <c r="Q185" s="280" t="inlineStr">
        <is>
          <t>02-031</t>
        </is>
      </c>
      <c r="R185" s="213" t="n"/>
      <c r="S185" s="213" t="inlineStr">
        <is>
          <t>02-031</t>
        </is>
      </c>
      <c r="T185" s="213" t="inlineStr">
        <is>
          <t>M</t>
        </is>
      </c>
      <c r="U185" s="650">
        <f>((($I$141*$G$141*2)+($I$143*$G$143*2)+($I$144*$G$144))/1000)*$J$120</f>
        <v/>
      </c>
      <c r="V185" s="650" t="n">
        <v>350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IF($D$129="Standard",$O$183,IF($D$129="Soumdproof",$O$184,))</f>
        <v/>
      </c>
      <c r="C186" s="139">
        <f>IF($D$129="Standard",$P$183,IF($D$129="Soumdproof",$P$184,))</f>
        <v/>
      </c>
      <c r="D186" s="139">
        <f>IF($D$129="Standard",$Q$183,IF($D$129="Soumdproof",$Q$184,))</f>
        <v/>
      </c>
      <c r="E186" s="143">
        <f>IF($D$129="Standard",R184,IF($D$129="Soumdproof",R185,))</f>
        <v/>
      </c>
      <c r="F186" s="143">
        <f>IF($D$129="Standard",$S$183,IF($D$129="Soumdproof",$S$184,))</f>
        <v/>
      </c>
      <c r="G186" s="143">
        <f>IF($D$129="Standard",$T$183,IF($D$129="Soumdproof",$T$184,))</f>
        <v/>
      </c>
      <c r="H186" s="652">
        <f>IF($D$129="Standard",$U$183,IF($D$129="Soumdproof",$U$184,))</f>
        <v/>
      </c>
      <c r="I186" s="653">
        <f>IF($D$129="Standard",$V$183,IF($D$129="Soumdproof",$V$184,))</f>
        <v/>
      </c>
      <c r="J186" s="654">
        <f>ROUNDUP((H186)/100,0)</f>
        <v/>
      </c>
      <c r="N186" s="101" t="inlineStr">
        <is>
          <t>กันเสียง</t>
        </is>
      </c>
      <c r="O186" s="415" t="inlineStr">
        <is>
          <t>ยางแซชกันน้ำ (กันเสียง)</t>
        </is>
      </c>
      <c r="P186" s="415" t="inlineStr">
        <is>
          <t>SASH SEAL FOAM (Soumdproof)</t>
        </is>
      </c>
      <c r="Q186" s="280" t="inlineStr">
        <is>
          <t>02-035</t>
        </is>
      </c>
      <c r="R186" s="213" t="n"/>
      <c r="S186" s="213" t="inlineStr">
        <is>
          <t>02-035</t>
        </is>
      </c>
      <c r="T186" s="213" t="inlineStr">
        <is>
          <t>M</t>
        </is>
      </c>
      <c r="U186" s="650">
        <f>((($I$141*$G$141*2)+($I$143*$G$143*2)+($I$144*$G$144))/1000)*$J$120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IF($D$129="Standard",$O$185,IF($D$129="Soumdproof",$O$186,))</f>
        <v/>
      </c>
      <c r="C187" s="139">
        <f>IF($D$129="Standard",$P$185,IF($D$129="Soumdproof",$P$186,))</f>
        <v/>
      </c>
      <c r="D187" s="139">
        <f>IF($D$129="Standard",$Q$185,IF($D$129="Soumdproof",$Q$186,))</f>
        <v/>
      </c>
      <c r="E187" s="143">
        <f>IF($D$129="Standard",R186,IF($D$129="Soumdproof",R187,))</f>
        <v/>
      </c>
      <c r="F187" s="143">
        <f>IF($D$129="Standard",$S$185,IF($D$129="Soumdproof",$S$186,))</f>
        <v/>
      </c>
      <c r="G187" s="143">
        <f>IF($D$129="Standard",$T$185,IF($D$129="Soumdproof",$T$186,))</f>
        <v/>
      </c>
      <c r="H187" s="652">
        <f>IF($D$129="Standard",$U$185,IF($D$129="Soumdproof",$U$186,))</f>
        <v/>
      </c>
      <c r="I187" s="653">
        <f>IF($D$129="Standard",$V$185,IF($D$129="Soumdproof",$V$186,))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296">
        <f>IF($D$127=5,$O$174,IF($D$127=6,$O$175,IF($D$127=8,$O$176,IF($D$127=10,$O$174,IF($D$127=12,$O$174,IF($D$127=14,$O$176,IF($D$127=18,$O$174,IF($D$127=20,$O$175,IF($D$127=22,"")))))))))</f>
        <v/>
      </c>
      <c r="C188" s="296">
        <f>IF($D$127=5,$P$174,IF($D$127=6,$P$175,IF($D$127=8,$P$176,IF($D$127=10,$P$174,IF($D$127=12,$P$174,IF($D$127=14,$P$176,IF($D$127=18,$P$174,IF($D$127=20,$P$175,IF($D$127=22,"")))))))))</f>
        <v/>
      </c>
      <c r="D188" s="296">
        <f>IF($D$127=5,$Q$174,IF($D$127=6,$Q$175,IF($D$127=8,$Q$176,IF($D$127=10,$Q$174,IF($D$127=12,$Q$174,IF($D$127=14,$Q$176,IF($D$127=18,$Q$174,IF($D$127=20,$Q$175,IF($D$127=22,"")))))))))</f>
        <v/>
      </c>
      <c r="E188" s="296">
        <f>IF($D$127=5,R175,IF($D$127=6,R176,IF($D$127=8,R177,IF($D$127=10,R175,IF($D$127=12,R175,IF($D$127=14,R177,IF($D$127=18,R175,IF($D$127=20,R176,IF($D$127=22,"",)))))))))</f>
        <v/>
      </c>
      <c r="F188" s="242">
        <f>IF($D$127=5,$S$174,IF($D$127=6,$S$175,IF($D$127=8,$S$176,IF($D$127=10,$S$174,IF($D$127=12,$S$174,IF($D$127=14,$S$176,IF($D$127=18,$S$174,IF($D$127=20,$S$175,IF($D$127=22,"")))))))))</f>
        <v/>
      </c>
      <c r="G188" s="242">
        <f>IF($D$127=5,$T$174,IF($D$127=6,$T$175,IF($D$127=8,$T$176,IF($D$127=10,$T$174,IF($D$127=12,$T$174,IF($D$127=14,$T$176,IF($D$127=18,$T$174,IF($D$127=20,$T$175,IF($D$127=22,"")))))))))</f>
        <v/>
      </c>
      <c r="H188" s="652">
        <f>IF($D$127=5,$U$174,IF($D$127=6,$U$175,IF($D$127=8,$U$176,IF($D$127=10,$U$174*2,IF($D$127=12,$U$174,IF($D$127=14,$U$176*2,IF($D$127=18,$U$174,IF($D$127=20,$U$175,IF($D$127=22,"")))))))))</f>
        <v/>
      </c>
      <c r="I188" s="653">
        <f>IF($D$127=5,$V$174,IF($D$127=6,$V$175,IF($D$127=8,$V$176,IF($D$127=10,$V$174,IF($D$127=12,$V$174,IF($D$127=14,$V$176,IF($D$127=18,$V$174,IF($D$127=20,$V$175,IF($D$127=22,"")))))))))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296">
        <f>IF($D$127=5,$O$172,IF($D$127=6,$O$172,IF($D$127=8,$O$174,IF($D$127=10,"",IF($D$127=12,$O$173,IF($D$127=14,"",IF($D$127=18,$O$172,IF($D$127=20,$O$173,IF($D$127=22,"",)))))))))</f>
        <v/>
      </c>
      <c r="C189" s="296">
        <f>IF($D$127=5,$P$172,IF($D$127=6,$P$172,IF($D$127=8,$P$174,IF($D$127=10,"",IF($D$127=12,$P$173,IF($D$127=14,"",IF($D$127=18,$P$172,IF($D$127=20,$P$173,IF($D$127=22,"",)))))))))</f>
        <v/>
      </c>
      <c r="D189" s="296">
        <f>IF($D$127=5,$Q$172,IF($D$127=6,$Q$172,IF($D$127=8,$Q$174,IF($D$127=10,"",IF($D$127=12,$Q$173,IF($D$127=14,"",IF($D$127=18,$Q$172,IF($D$127=20,$Q$173,IF($D$127=22,"",)))))))))</f>
        <v/>
      </c>
      <c r="E189" s="296">
        <f>IF($D$127=5,R173,IF($D$127=6,R173,IF($D$127=8,R175,IF($D$127=10,"",IF($D$127=12,R174,IF($D$127=14,"",IF($D$127=18,R173,IF($D$127=20,R174,IF($D$127=22,"",)))))))))</f>
        <v/>
      </c>
      <c r="F189" s="242">
        <f>IF($D$127=5,$S$172,IF($D$127=6,$S$172,IF($D$127=8,$S$174,IF($D$127=10,"",IF($D$127=12,$S$173,IF($D$127=14,"",IF($D$127=18,$S$172,IF($D$127=20,$S$173,IF($D$127=22,"",)))))))))</f>
        <v/>
      </c>
      <c r="G189" s="242">
        <f>IF($D$127=5,$T$172,IF($D$127=6,$T$172,IF($D$127=8,$T$174,IF($D$127=10,"",IF($D$127=12,$T$173,IF($D$127=14,"",IF($D$127=18,$T$172,IF($D$127=20,$T$173,IF($D$127=22,"",)))))))))</f>
        <v/>
      </c>
      <c r="H189" s="652">
        <f>IF($D$127=5,$U$172,IF($D$127=6,$U$172,IF($D$127=8,$U$174,IF($D$127=10,"",IF($D$127=12,$U$173,IF($D$127=14,"",IF($D$127=18,$U$172,IF($D$127=20,$U$173,IF($D$127=22,"")))))))))</f>
        <v/>
      </c>
      <c r="I189" s="653">
        <f>IF($D$127=5,$V$172,IF($D$127=6,$V$172,IF($D$127=8,$V$174,IF($D$127=10,"",IF($D$127=12,$V$173,IF($D$127=14,"",IF($D$127=18,$V$172,IF($D$127=20,$V$173,IF($D$127=22,"",)))))))))</f>
        <v/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</row>
    <row r="192" ht="18" customHeight="1" s="344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  <c r="N192" s="278" t="n"/>
      <c r="O192" s="278" t="n"/>
      <c r="P192" s="278" t="n"/>
      <c r="Q192" s="278" t="n"/>
      <c r="R192" s="278" t="n"/>
      <c r="S192" s="278" t="n"/>
      <c r="T192" s="278" t="n"/>
      <c r="U192" s="278" t="n"/>
      <c r="V192" s="278" t="n"/>
      <c r="W192" s="278" t="n"/>
      <c r="X192" s="278" t="n"/>
      <c r="Y192" s="278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 t="n"/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LEFT($J$111,11)&amp;"-02"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- 182-(113.25 × 4))/5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- 182-(113.25 × 4))/5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- 182-(113.25 × 4))/5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- 182-(113.25 × 4))/5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n"/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n"/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LEFT($J$111,11)&amp;"-03"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44" t="n"/>
      <c r="B443" s="278" t="n"/>
      <c r="C443" s="43" t="n"/>
      <c r="D443" s="161" t="n"/>
      <c r="E443" s="109" t="n"/>
      <c r="F443" s="109" t="n"/>
      <c r="H443" s="44" t="n"/>
      <c r="I443" s="44" t="n"/>
      <c r="J443" s="119" t="n"/>
    </row>
    <row r="444" ht="15.9" customFormat="1" customHeight="1" s="278">
      <c r="A444" s="40" t="n"/>
      <c r="C444" s="44" t="n"/>
      <c r="D444" s="84" t="n"/>
      <c r="E444" s="44" t="n"/>
      <c r="F444" s="44" t="n"/>
      <c r="H444" s="44" t="n"/>
      <c r="I444" s="44" t="n"/>
      <c r="J444" s="119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278" t="n"/>
      <c r="C514" s="278" t="n"/>
      <c r="D514" s="161" t="n"/>
      <c r="E514" s="109" t="n"/>
      <c r="F514" s="109" t="n"/>
      <c r="G514" s="109" t="n"/>
      <c r="H514" s="287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((W-182-(113.25 × 4)/5)-13</t>
        </is>
      </c>
      <c r="I520" s="124">
        <f>(($J$126-182-(113.25*4))/5)-13</f>
        <v/>
      </c>
      <c r="J520" s="151">
        <f>$J$120*5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3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68:H169"/>
    <mergeCell ref="I154:J154"/>
    <mergeCell ref="D129:G129"/>
    <mergeCell ref="F329:G329"/>
    <mergeCell ref="D123:G123"/>
    <mergeCell ref="A170:J170"/>
    <mergeCell ref="A117:J117"/>
    <mergeCell ref="J123:J124"/>
    <mergeCell ref="I166:J167"/>
    <mergeCell ref="I156:J156"/>
    <mergeCell ref="A518:J518"/>
    <mergeCell ref="H159:H160"/>
    <mergeCell ref="H120:I121"/>
    <mergeCell ref="A319:J319"/>
    <mergeCell ref="F330:G330"/>
    <mergeCell ref="D119:G119"/>
    <mergeCell ref="H126:I127"/>
    <mergeCell ref="A6:J6"/>
    <mergeCell ref="I155:J155"/>
    <mergeCell ref="I161:J161"/>
    <mergeCell ref="D161:D162"/>
    <mergeCell ref="D168:D169"/>
    <mergeCell ref="A212:J212"/>
    <mergeCell ref="F333:G333"/>
    <mergeCell ref="J120:J121"/>
    <mergeCell ref="I157:J157"/>
    <mergeCell ref="A426:J426"/>
    <mergeCell ref="A125:B125"/>
    <mergeCell ref="J126:J127"/>
    <mergeCell ref="D159:D160"/>
    <mergeCell ref="F520:G520"/>
    <mergeCell ref="I159:J160"/>
    <mergeCell ref="D125:G125"/>
    <mergeCell ref="H123:I124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$O$172:$O$190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codeName="Sheet16">
    <tabColor theme="5" tint="-0.249977111117893"/>
    <outlinePr summaryBelow="1" summaryRight="1"/>
    <pageSetUpPr/>
  </sheetPr>
  <dimension ref="A2:Y527"/>
  <sheetViews>
    <sheetView showGridLines="0" view="pageBreakPreview" topLeftCell="A109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41.554687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240-5 Panel (5R)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FG-240-5P5R-01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D1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Golden Teak Wood Grain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2700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2750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10</v>
      </c>
      <c r="U133" s="283" t="inlineStr">
        <is>
          <t>(W-182-(113.25 × 4))/5</t>
        </is>
      </c>
      <c r="V133" s="285">
        <f>($J$126-182-(113.25*4))/5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10</v>
      </c>
      <c r="U134" s="143" t="inlineStr">
        <is>
          <t>(W-182-(113.25 × 4))/5</t>
        </is>
      </c>
      <c r="V134" s="285">
        <f>($J$126-182-(113.25*4))/5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10</v>
      </c>
      <c r="U135" s="240" t="inlineStr">
        <is>
          <t>(W-182-(113.25 × 4))/5</t>
        </is>
      </c>
      <c r="V135" s="285">
        <f>($J$126-182-(113.25*4))/5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10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B24005-003L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10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10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5</v>
      </c>
      <c r="H141" s="143" t="inlineStr">
        <is>
          <t>45° (W-60-(5+1)×4)/5</t>
        </is>
      </c>
      <c r="I141" s="178">
        <f>($J$126-60-(5+1)*4)/5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5</v>
      </c>
      <c r="H142" s="143" t="inlineStr">
        <is>
          <t>45° (W-60-(5+1)×4)/5</t>
        </is>
      </c>
      <c r="I142" s="178">
        <f>($J$126-60-(5+1)*4)/5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7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2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7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customFormat="1" s="278" thickBot="1">
      <c r="A169" s="213">
        <f>IF(B169="","",+A168+1)</f>
        <v/>
      </c>
      <c r="B169" s="173">
        <f>B147</f>
        <v/>
      </c>
      <c r="C169" s="173">
        <f>C147</f>
        <v/>
      </c>
      <c r="D169" s="648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ht="24.9" customFormat="1" customHeight="1" s="278" thickBot="1">
      <c r="A170" s="642" t="inlineStr">
        <is>
          <t>PARTS LIST HARDWARE &amp; ACCESSORIES</t>
        </is>
      </c>
      <c r="B170" s="634" t="n"/>
      <c r="C170" s="634" t="n"/>
      <c r="D170" s="634" t="n"/>
      <c r="E170" s="634" t="n"/>
      <c r="F170" s="634" t="n"/>
      <c r="G170" s="634" t="n"/>
      <c r="H170" s="634" t="n"/>
      <c r="I170" s="634" t="n"/>
      <c r="J170" s="635" t="n"/>
    </row>
    <row r="171" ht="35.1" customFormat="1" customHeight="1" s="278" thickBot="1">
      <c r="A171" s="102" t="inlineStr">
        <is>
          <t>ITEM</t>
        </is>
      </c>
      <c r="B171" s="103" t="inlineStr">
        <is>
          <t>THAI</t>
        </is>
      </c>
      <c r="C171" s="103" t="inlineStr">
        <is>
          <t>DESCRIPTION</t>
        </is>
      </c>
      <c r="D171" s="103" t="inlineStr">
        <is>
          <t>PART NO.</t>
        </is>
      </c>
      <c r="E171" s="103" t="inlineStr">
        <is>
          <t>KG/m</t>
        </is>
      </c>
      <c r="F171" s="104" t="inlineStr">
        <is>
          <t>DRAWING</t>
        </is>
      </c>
      <c r="G171" s="103" t="inlineStr">
        <is>
          <t>PER</t>
        </is>
      </c>
      <c r="H171" s="104" t="inlineStr">
        <is>
          <t>QUANTITY</t>
        </is>
      </c>
      <c r="I171" s="104" t="inlineStr">
        <is>
          <t>Pack QTY</t>
        </is>
      </c>
      <c r="J171" s="115" t="inlineStr">
        <is>
          <t>TOTAL</t>
        </is>
      </c>
      <c r="N171" s="101" t="inlineStr">
        <is>
          <t>Glass size</t>
        </is>
      </c>
      <c r="O171" s="246" t="inlineStr">
        <is>
          <t>THAI</t>
        </is>
      </c>
      <c r="P171" s="246" t="inlineStr">
        <is>
          <t>DESCRIPTION</t>
        </is>
      </c>
      <c r="Q171" s="246" t="inlineStr">
        <is>
          <t>PART NO.</t>
        </is>
      </c>
      <c r="R171" s="246" t="inlineStr">
        <is>
          <t>KG/m</t>
        </is>
      </c>
      <c r="S171" s="246" t="inlineStr">
        <is>
          <t>DRAWING</t>
        </is>
      </c>
      <c r="T171" s="246" t="inlineStr">
        <is>
          <t>PER</t>
        </is>
      </c>
      <c r="U171" s="246" t="inlineStr">
        <is>
          <t>QUANTITY</t>
        </is>
      </c>
      <c r="V171" s="246" t="inlineStr">
        <is>
          <t>Pack QTY</t>
        </is>
      </c>
      <c r="W171" s="246" t="inlineStr">
        <is>
          <t>TOTAL</t>
        </is>
      </c>
    </row>
    <row r="172" ht="18" customFormat="1" customHeight="1" s="278">
      <c r="A172" s="200">
        <f>IF(B172="","",1)</f>
        <v/>
      </c>
      <c r="B172" s="140" t="inlineStr">
        <is>
          <t>หมอนรองกระจก</t>
        </is>
      </c>
      <c r="C172" s="140" t="inlineStr">
        <is>
          <t>SETTING BLOCK</t>
        </is>
      </c>
      <c r="D172" s="139" t="inlineStr">
        <is>
          <t>02-037</t>
        </is>
      </c>
      <c r="E172" s="143" t="n"/>
      <c r="F172" s="143" t="inlineStr">
        <is>
          <t>02-037</t>
        </is>
      </c>
      <c r="G172" s="143" t="inlineStr">
        <is>
          <t>PC</t>
        </is>
      </c>
      <c r="H172" s="143" t="n">
        <v>10</v>
      </c>
      <c r="I172" s="184" t="n"/>
      <c r="J172" s="131">
        <f>$J$120*H172</f>
        <v/>
      </c>
      <c r="N172" s="101" t="inlineStr">
        <is>
          <t>5,6,18</t>
        </is>
      </c>
      <c r="O172" s="280" t="inlineStr">
        <is>
          <t>5,6,18 mm ยางรองกระจก</t>
        </is>
      </c>
      <c r="P172" s="415" t="inlineStr">
        <is>
          <t>5,6,18 mm CAPTIVE WEDGE</t>
        </is>
      </c>
      <c r="Q172" s="280" t="inlineStr">
        <is>
          <t>02-022</t>
        </is>
      </c>
      <c r="R172" s="213" t="n"/>
      <c r="S172" s="213" t="inlineStr">
        <is>
          <t>02-022</t>
        </is>
      </c>
      <c r="T172" s="213" t="inlineStr">
        <is>
          <t>M</t>
        </is>
      </c>
      <c r="U172" s="650">
        <f>((($I$141*$G$141)+($I$142*$G$142)+($I$143*$G$143)+($I$144*$G$144)+($I$145*$G$145))/1000)*$J$120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ประเก็นเฟรมบน</t>
        </is>
      </c>
      <c r="C173" s="140" t="inlineStr">
        <is>
          <t>FRAME SEAL BI-FOLD HEAD (L/R)</t>
        </is>
      </c>
      <c r="D173" s="139" t="inlineStr">
        <is>
          <t>02-015</t>
        </is>
      </c>
      <c r="E173" s="143" t="n"/>
      <c r="F173" s="143" t="inlineStr">
        <is>
          <t>02-015</t>
        </is>
      </c>
      <c r="G173" s="143" t="inlineStr">
        <is>
          <t>PC</t>
        </is>
      </c>
      <c r="H173" s="143" t="n">
        <v>2</v>
      </c>
      <c r="I173" s="184" t="n"/>
      <c r="J173" s="131">
        <f>$J$120*H173</f>
        <v/>
      </c>
      <c r="N173" s="101" t="inlineStr">
        <is>
          <t>12,20</t>
        </is>
      </c>
      <c r="O173" s="280" t="inlineStr">
        <is>
          <t>12,20 mm ยางรองกระจก</t>
        </is>
      </c>
      <c r="P173" s="415" t="inlineStr">
        <is>
          <t>12,20 mm CAPTIVE WEDGE</t>
        </is>
      </c>
      <c r="Q173" s="280" t="inlineStr">
        <is>
          <t>02-032</t>
        </is>
      </c>
      <c r="R173" s="213" t="n"/>
      <c r="S173" s="213" t="inlineStr">
        <is>
          <t>02-032</t>
        </is>
      </c>
      <c r="T173" s="213" t="inlineStr">
        <is>
          <t>M</t>
        </is>
      </c>
      <c r="U173" s="650">
        <f>((($I$141*$G$141)+($I$142*$G$142)+($I$143*$G$143)+($I$144*$G$144)+($I$145*$G$145))/1000)*$J$120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ประเก็นเฟรมล่าง</t>
        </is>
      </c>
      <c r="C174" s="140" t="inlineStr">
        <is>
          <t>FRAME SEAL BI-FOLD SILL (L/R)</t>
        </is>
      </c>
      <c r="D174" s="139" t="inlineStr">
        <is>
          <t>02-016</t>
        </is>
      </c>
      <c r="E174" s="143" t="n"/>
      <c r="F174" s="143" t="inlineStr">
        <is>
          <t>02-016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5,8,10,12,18</t>
        </is>
      </c>
      <c r="O174" s="415" t="inlineStr">
        <is>
          <t>5,8,10,12,18 mmยางอัดกระจก</t>
        </is>
      </c>
      <c r="P174" s="415" t="inlineStr">
        <is>
          <t>5,8,10,12,18 mm ROLL IN WEDGE</t>
        </is>
      </c>
      <c r="Q174" s="280" t="inlineStr">
        <is>
          <t>02-033</t>
        </is>
      </c>
      <c r="R174" s="213" t="n"/>
      <c r="S174" s="213" t="inlineStr">
        <is>
          <t>02-033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38</t>
        </is>
      </c>
      <c r="C175" s="140" t="inlineStr">
        <is>
          <t>#8x38 mm. SS PH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8</v>
      </c>
      <c r="I175" s="130" t="n"/>
      <c r="J175" s="131">
        <f>$J$120*H175</f>
        <v/>
      </c>
      <c r="N175" s="101" t="inlineStr">
        <is>
          <t>6,20</t>
        </is>
      </c>
      <c r="O175" s="415" t="inlineStr">
        <is>
          <t>6,20 mm ยางอัดกระจก</t>
        </is>
      </c>
      <c r="P175" s="415" t="inlineStr">
        <is>
          <t>6,20 mm ROLL IN WEDGE</t>
        </is>
      </c>
      <c r="Q175" s="280" t="inlineStr">
        <is>
          <t>02-034</t>
        </is>
      </c>
      <c r="R175" s="213" t="n"/>
      <c r="S175" s="213" t="inlineStr">
        <is>
          <t>02-034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12</t>
        </is>
      </c>
      <c r="C176" s="140" t="inlineStr">
        <is>
          <t>#8x12 mm. CSK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110</v>
      </c>
      <c r="I176" s="130" t="n"/>
      <c r="J176" s="131">
        <f>$J$120*H176</f>
        <v/>
      </c>
      <c r="N176" s="101" t="inlineStr">
        <is>
          <t>8,14</t>
        </is>
      </c>
      <c r="O176" s="415" t="inlineStr">
        <is>
          <t>8,14 mm ยางอัดกระจก</t>
        </is>
      </c>
      <c r="P176" s="415" t="inlineStr">
        <is>
          <t>8,14 mm ROLL IN WEDGE</t>
        </is>
      </c>
      <c r="Q176" s="280" t="inlineStr">
        <is>
          <t>02-045</t>
        </is>
      </c>
      <c r="R176" s="213" t="n"/>
      <c r="S176" s="213" t="inlineStr">
        <is>
          <t>02-045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ชุดล้อแขวนบานตายขวา</t>
        </is>
      </c>
      <c r="C177" s="140" t="inlineStr">
        <is>
          <t>Right Hand Pivot Set</t>
        </is>
      </c>
      <c r="D177" s="139" t="inlineStr">
        <is>
          <t>05-007</t>
        </is>
      </c>
      <c r="E177" s="143" t="n"/>
      <c r="F177" s="143" t="inlineStr">
        <is>
          <t>05-007</t>
        </is>
      </c>
      <c r="G177" s="143" t="inlineStr">
        <is>
          <t>SET</t>
        </is>
      </c>
      <c r="H177" s="143" t="n">
        <v>1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ชุดบานพับมีมือจับ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ชุดล้อแขวนบานกลาง</t>
        </is>
      </c>
      <c r="C179" s="140" t="inlineStr">
        <is>
          <t>Intermediate Carrier Set</t>
        </is>
      </c>
      <c r="D179" s="139" t="inlineStr">
        <is>
          <t>05-011</t>
        </is>
      </c>
      <c r="E179" s="143" t="n"/>
      <c r="F179" s="143" t="inlineStr">
        <is>
          <t>05-011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ชุดสลักล็อค</t>
        </is>
      </c>
      <c r="C181" s="140" t="inlineStr">
        <is>
          <t>Twin Bolt + Rods</t>
        </is>
      </c>
      <c r="D181" s="139" t="inlineStr">
        <is>
          <t>05-014</t>
        </is>
      </c>
      <c r="E181" s="143" t="n"/>
      <c r="F181" s="143" t="inlineStr">
        <is>
          <t>05-014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  <c r="N181" s="278" t="n"/>
      <c r="O181" s="278" t="n"/>
      <c r="P181" s="278" t="n"/>
      <c r="Q181" s="442" t="n"/>
      <c r="R181" s="442" t="n"/>
      <c r="S181" s="442" t="n"/>
      <c r="T181" s="109" t="n"/>
      <c r="U181" s="109" t="n"/>
      <c r="V181" s="109" t="n"/>
      <c r="W181" s="278" t="n"/>
    </row>
    <row r="182" ht="18" customFormat="1" customHeight="1" s="278">
      <c r="A182" s="201">
        <f>IF(B182="","",+A181+1)</f>
        <v/>
      </c>
      <c r="B182" s="140" t="inlineStr">
        <is>
          <t>ชุดมือจับล็อค</t>
        </is>
      </c>
      <c r="C182" s="140" t="inlineStr">
        <is>
          <t>Stainless steel mortise lock,handle,cylinder</t>
        </is>
      </c>
      <c r="D182" s="139" t="inlineStr">
        <is>
          <t>00-024 or 00-027</t>
        </is>
      </c>
      <c r="E182" s="143" t="n"/>
      <c r="F182" s="143" t="inlineStr">
        <is>
          <t>00-024 or 00-027</t>
        </is>
      </c>
      <c r="G182" s="143" t="inlineStr">
        <is>
          <t>SET</t>
        </is>
      </c>
      <c r="H182" s="143" t="n">
        <v>1</v>
      </c>
      <c r="I182" s="144" t="n"/>
      <c r="J182" s="131">
        <f>$J$120*H182</f>
        <v/>
      </c>
      <c r="N182" s="101" t="inlineStr">
        <is>
          <t>FRAME SEAL</t>
        </is>
      </c>
      <c r="O182" s="246" t="inlineStr">
        <is>
          <t>THAI</t>
        </is>
      </c>
      <c r="P182" s="246" t="inlineStr">
        <is>
          <t>DESCRIPTION</t>
        </is>
      </c>
      <c r="Q182" s="246" t="inlineStr">
        <is>
          <t>PART NO.</t>
        </is>
      </c>
      <c r="R182" s="246" t="inlineStr">
        <is>
          <t>KG/m</t>
        </is>
      </c>
      <c r="S182" s="246" t="inlineStr">
        <is>
          <t>DRAWING</t>
        </is>
      </c>
      <c r="T182" s="246" t="inlineStr">
        <is>
          <t>PER</t>
        </is>
      </c>
      <c r="U182" s="246" t="inlineStr">
        <is>
          <t>QUANTITY</t>
        </is>
      </c>
      <c r="V182" s="246" t="inlineStr">
        <is>
          <t>Pack QTY</t>
        </is>
      </c>
      <c r="W182" s="246" t="inlineStr">
        <is>
          <t>TOTAL</t>
        </is>
      </c>
    </row>
    <row r="183" ht="18" customFormat="1" customHeight="1" s="278">
      <c r="A183" s="201">
        <f>IF(B183="","",+A182+1)</f>
        <v/>
      </c>
      <c r="B183" s="140" t="inlineStr">
        <is>
          <t>ตัวประคองสลักล็อค</t>
        </is>
      </c>
      <c r="C183" s="140" t="inlineStr">
        <is>
          <t>Guide twin Bolt Rods</t>
        </is>
      </c>
      <c r="D183" s="139" t="inlineStr">
        <is>
          <t>04-009</t>
        </is>
      </c>
      <c r="E183" s="143" t="n"/>
      <c r="F183" s="143" t="inlineStr">
        <is>
          <t>04-009</t>
        </is>
      </c>
      <c r="G183" s="143" t="inlineStr">
        <is>
          <t>PC</t>
        </is>
      </c>
      <c r="H183" s="143" t="n">
        <v>4</v>
      </c>
      <c r="I183" s="144" t="n"/>
      <c r="J183" s="131">
        <f>$J$120*H183</f>
        <v/>
      </c>
      <c r="N183" s="101" t="inlineStr">
        <is>
          <t>ธรรมดา</t>
        </is>
      </c>
      <c r="O183" s="415" t="inlineStr">
        <is>
          <t>ยางเฟรมกันน้ำ (ธรรมดา)</t>
        </is>
      </c>
      <c r="P183" s="415" t="inlineStr">
        <is>
          <t>FRAME SEAL (Standard)</t>
        </is>
      </c>
      <c r="Q183" s="280" t="inlineStr">
        <is>
          <t>02-026</t>
        </is>
      </c>
      <c r="R183" s="213" t="n"/>
      <c r="S183" s="213" t="inlineStr">
        <is>
          <t>02-026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300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รางเสริมเปลี่ยนล้อ</t>
        </is>
      </c>
      <c r="C184" s="140" t="inlineStr">
        <is>
          <t>35 SERIES TRACK INSERT</t>
        </is>
      </c>
      <c r="D184" s="139" t="inlineStr">
        <is>
          <t>04-004</t>
        </is>
      </c>
      <c r="E184" s="143" t="n"/>
      <c r="F184" s="143" t="inlineStr">
        <is>
          <t>04-004</t>
        </is>
      </c>
      <c r="G184" s="143" t="inlineStr">
        <is>
          <t>PC</t>
        </is>
      </c>
      <c r="H184" s="143" t="n">
        <v>1</v>
      </c>
      <c r="I184" s="144" t="n"/>
      <c r="J184" s="131">
        <f>$J$120*H184</f>
        <v/>
      </c>
      <c r="N184" s="101" t="inlineStr">
        <is>
          <t>กันเสียง</t>
        </is>
      </c>
      <c r="O184" s="415" t="inlineStr">
        <is>
          <t>ยางเฟรมกันน้ำ (กันเสียง)</t>
        </is>
      </c>
      <c r="P184" s="415" t="inlineStr">
        <is>
          <t>FRAME SEAL (Soumdproof)</t>
        </is>
      </c>
      <c r="Q184" s="280" t="inlineStr">
        <is>
          <t>02-025</t>
        </is>
      </c>
      <c r="R184" s="213" t="n"/>
      <c r="S184" s="213" t="inlineStr">
        <is>
          <t>02-025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100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ตัวรับกลอน</t>
        </is>
      </c>
      <c r="C185" s="140" t="inlineStr">
        <is>
          <t xml:space="preserve">FLUSH BOLT RECEIVER </t>
        </is>
      </c>
      <c r="D185" s="139" t="inlineStr">
        <is>
          <t>04-016</t>
        </is>
      </c>
      <c r="E185" s="143" t="n"/>
      <c r="F185" s="143" t="inlineStr">
        <is>
          <t>04-016</t>
        </is>
      </c>
      <c r="G185" s="143" t="inlineStr">
        <is>
          <t>PC</t>
        </is>
      </c>
      <c r="H185" s="143" t="n">
        <v>2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ยางแซชกันน้ำ (ธรรมดา)</t>
        </is>
      </c>
      <c r="P185" s="415" t="inlineStr">
        <is>
          <t>SASH SEAL FOAM (Standard)</t>
        </is>
      </c>
      <c r="Q185" s="280" t="inlineStr">
        <is>
          <t>02-031</t>
        </is>
      </c>
      <c r="R185" s="213" t="n"/>
      <c r="S185" s="213" t="inlineStr">
        <is>
          <t>02-031</t>
        </is>
      </c>
      <c r="T185" s="213" t="inlineStr">
        <is>
          <t>M</t>
        </is>
      </c>
      <c r="U185" s="650">
        <f>((($I$141*$G$141*2)+($I$143*$G$143*2)+($I$144*$G$144))/1000)*$J$120</f>
        <v/>
      </c>
      <c r="V185" s="650" t="n">
        <v>350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IF($D$129="Standard",$O$183,IF($D$129="Soumdproof",$O$184,))</f>
        <v/>
      </c>
      <c r="C186" s="139">
        <f>IF($D$129="Standard",$P$183,IF($D$129="Soumdproof",$P$184,))</f>
        <v/>
      </c>
      <c r="D186" s="139">
        <f>IF($D$129="Standard",$Q$183,IF($D$129="Soumdproof",$Q$184,))</f>
        <v/>
      </c>
      <c r="E186" s="143">
        <f>IF($D$129="Standard",R184,IF($D$129="Soumdproof",R185,))</f>
        <v/>
      </c>
      <c r="F186" s="143">
        <f>IF($D$129="Standard",$S$183,IF($D$129="Soumdproof",$S$184,))</f>
        <v/>
      </c>
      <c r="G186" s="143">
        <f>IF($D$129="Standard",$T$183,IF($D$129="Soumdproof",$T$184,))</f>
        <v/>
      </c>
      <c r="H186" s="652">
        <f>IF($D$129="Standard",$U$183,IF($D$129="Soumdproof",$U$184,))</f>
        <v/>
      </c>
      <c r="I186" s="653">
        <f>IF($D$129="Standard",$V$183,IF($D$129="Soumdproof",$V$184,))</f>
        <v/>
      </c>
      <c r="J186" s="654">
        <f>ROUNDUP((H186)/100,0)</f>
        <v/>
      </c>
      <c r="N186" s="101" t="inlineStr">
        <is>
          <t>กันเสียง</t>
        </is>
      </c>
      <c r="O186" s="415" t="inlineStr">
        <is>
          <t>ยางแซชกันน้ำ (กันเสียง)</t>
        </is>
      </c>
      <c r="P186" s="415" t="inlineStr">
        <is>
          <t>SASH SEAL FOAM (Soumdproof)</t>
        </is>
      </c>
      <c r="Q186" s="280" t="inlineStr">
        <is>
          <t>02-035</t>
        </is>
      </c>
      <c r="R186" s="213" t="n"/>
      <c r="S186" s="213" t="inlineStr">
        <is>
          <t>02-035</t>
        </is>
      </c>
      <c r="T186" s="213" t="inlineStr">
        <is>
          <t>M</t>
        </is>
      </c>
      <c r="U186" s="650">
        <f>((($I$141*$G$141*2)+($I$143*$G$143*2)+($I$144*$G$144))/1000)*$J$120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IF($D$129="Standard",$O$185,IF($D$129="Soumdproof",$O$186,))</f>
        <v/>
      </c>
      <c r="C187" s="139">
        <f>IF($D$129="Standard",$P$185,IF($D$129="Soumdproof",$P$186,))</f>
        <v/>
      </c>
      <c r="D187" s="139">
        <f>IF($D$129="Standard",$Q$185,IF($D$129="Soumdproof",$Q$186,))</f>
        <v/>
      </c>
      <c r="E187" s="143">
        <f>IF($D$129="Standard",R186,IF($D$129="Soumdproof",R187,))</f>
        <v/>
      </c>
      <c r="F187" s="143">
        <f>IF($D$129="Standard",$S$185,IF($D$129="Soumdproof",$S$186,))</f>
        <v/>
      </c>
      <c r="G187" s="143">
        <f>IF($D$129="Standard",$T$185,IF($D$129="Soumdproof",$T$186,))</f>
        <v/>
      </c>
      <c r="H187" s="652">
        <f>IF($D$129="Standard",$U$185,IF($D$129="Soumdproof",$U$186,))</f>
        <v/>
      </c>
      <c r="I187" s="653">
        <f>IF($D$129="Standard",$V$185,IF($D$129="Soumdproof",$V$186,))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296">
        <f>IF($D$127=5,$O$174,IF($D$127=6,$O$175,IF($D$127=8,$O$176,IF($D$127=10,$O$174,IF($D$127=12,$O$174,IF($D$127=14,$O$176,IF($D$127=18,$O$174,IF($D$127=20,$O$175,IF($D$127=22,"")))))))))</f>
        <v/>
      </c>
      <c r="C188" s="296">
        <f>IF($D$127=5,$P$174,IF($D$127=6,$P$175,IF($D$127=8,$P$176,IF($D$127=10,$P$174,IF($D$127=12,$P$174,IF($D$127=14,$P$176,IF($D$127=18,$P$174,IF($D$127=20,$P$175,IF($D$127=22,"")))))))))</f>
        <v/>
      </c>
      <c r="D188" s="296">
        <f>IF($D$127=5,$Q$174,IF($D$127=6,$Q$175,IF($D$127=8,$Q$176,IF($D$127=10,$Q$174,IF($D$127=12,$Q$174,IF($D$127=14,$Q$176,IF($D$127=18,$Q$174,IF($D$127=20,$Q$175,IF($D$127=22,"")))))))))</f>
        <v/>
      </c>
      <c r="E188" s="296">
        <f>IF($D$127=5,R175,IF($D$127=6,R176,IF($D$127=8,R177,IF($D$127=10,R175,IF($D$127=12,R175,IF($D$127=14,R177,IF($D$127=18,R175,IF($D$127=20,R176,IF($D$127=22,"",)))))))))</f>
        <v/>
      </c>
      <c r="F188" s="242">
        <f>IF($D$127=5,$S$174,IF($D$127=6,$S$175,IF($D$127=8,$S$176,IF($D$127=10,$S$174,IF($D$127=12,$S$174,IF($D$127=14,$S$176,IF($D$127=18,$S$174,IF($D$127=20,$S$175,IF($D$127=22,"")))))))))</f>
        <v/>
      </c>
      <c r="G188" s="242">
        <f>IF($D$127=5,$T$174,IF($D$127=6,$T$175,IF($D$127=8,$T$176,IF($D$127=10,$T$174,IF($D$127=12,$T$174,IF($D$127=14,$T$176,IF($D$127=18,$T$174,IF($D$127=20,$T$175,IF($D$127=22,"")))))))))</f>
        <v/>
      </c>
      <c r="H188" s="652">
        <f>IF($D$127=5,$U$174,IF($D$127=6,$U$175,IF($D$127=8,$U$176,IF($D$127=10,$U$174*2,IF($D$127=12,$U$174,IF($D$127=14,$U$176*2,IF($D$127=18,$U$174,IF($D$127=20,$U$175,IF($D$127=22,"")))))))))</f>
        <v/>
      </c>
      <c r="I188" s="653">
        <f>IF($D$127=5,$V$174,IF($D$127=6,$V$175,IF($D$127=8,$V$176,IF($D$127=10,$V$174,IF($D$127=12,$V$174,IF($D$127=14,$V$176,IF($D$127=18,$V$174,IF($D$127=20,$V$175,IF($D$127=22,"")))))))))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296">
        <f>IF($D$127=5,$O$172,IF($D$127=6,$O$172,IF($D$127=8,$O$174,IF($D$127=10,"",IF($D$127=12,$O$173,IF($D$127=14,"",IF($D$127=18,$O$172,IF($D$127=20,$O$173,IF($D$127=22,"",)))))))))</f>
        <v/>
      </c>
      <c r="C189" s="296">
        <f>IF($D$127=5,$P$172,IF($D$127=6,$P$172,IF($D$127=8,$P$174,IF($D$127=10,"",IF($D$127=12,$P$173,IF($D$127=14,"",IF($D$127=18,$P$172,IF($D$127=20,$P$173,IF($D$127=22,"",)))))))))</f>
        <v/>
      </c>
      <c r="D189" s="296">
        <f>IF($D$127=5,$Q$172,IF($D$127=6,$Q$172,IF($D$127=8,$Q$174,IF($D$127=10,"",IF($D$127=12,$Q$173,IF($D$127=14,"",IF($D$127=18,$Q$172,IF($D$127=20,$Q$173,IF($D$127=22,"",)))))))))</f>
        <v/>
      </c>
      <c r="E189" s="296">
        <f>IF($D$127=5,R173,IF($D$127=6,R173,IF($D$127=8,R175,IF($D$127=10,"",IF($D$127=12,R174,IF($D$127=14,"",IF($D$127=18,R173,IF($D$127=20,R174,IF($D$127=22,"",)))))))))</f>
        <v/>
      </c>
      <c r="F189" s="242">
        <f>IF($D$127=5,$S$172,IF($D$127=6,$S$172,IF($D$127=8,$S$174,IF($D$127=10,"",IF($D$127=12,$S$173,IF($D$127=14,"",IF($D$127=18,$S$172,IF($D$127=20,$S$173,IF($D$127=22,"",)))))))))</f>
        <v/>
      </c>
      <c r="G189" s="242">
        <f>IF($D$127=5,$T$172,IF($D$127=6,$T$172,IF($D$127=8,$T$174,IF($D$127=10,"",IF($D$127=12,$T$173,IF($D$127=14,"",IF($D$127=18,$T$172,IF($D$127=20,$T$173,IF($D$127=22,"",)))))))))</f>
        <v/>
      </c>
      <c r="H189" s="652">
        <f>IF($D$127=5,$U$172,IF($D$127=6,$U$172,IF($D$127=8,$U$174,IF($D$127=10,"",IF($D$127=12,$U$173,IF($D$127=14,"",IF($D$127=18,$U$172,IF($D$127=20,$U$173,IF($D$127=22,"")))))))))</f>
        <v/>
      </c>
      <c r="I189" s="653">
        <f>IF($D$127=5,$V$172,IF($D$127=6,$V$172,IF($D$127=8,$V$174,IF($D$127=10,"",IF($D$127=12,$V$173,IF($D$127=14,"",IF($D$127=18,$V$172,IF($D$127=20,$V$173,IF($D$127=22,"",)))))))))</f>
        <v/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</row>
    <row r="192" ht="18" customHeight="1" s="344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  <c r="N192" s="278" t="n"/>
      <c r="O192" s="278" t="n"/>
      <c r="P192" s="278" t="n"/>
      <c r="Q192" s="278" t="n"/>
      <c r="R192" s="278" t="n"/>
      <c r="S192" s="278" t="n"/>
      <c r="T192" s="278" t="n"/>
      <c r="U192" s="278" t="n"/>
      <c r="V192" s="278" t="n"/>
      <c r="W192" s="278" t="n"/>
      <c r="X192" s="278" t="n"/>
      <c r="Y192" s="278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IF(B204="","",+""+1)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LEFT($J$111,11)&amp;"-02"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328" t="n"/>
      <c r="E271" s="328" t="n"/>
      <c r="F271" s="109" t="n"/>
      <c r="G271" s="109" t="n"/>
      <c r="I271" s="501" t="n"/>
      <c r="J271" s="501" t="n"/>
    </row>
    <row r="272" ht="15.9" customFormat="1" customHeight="1" s="278">
      <c r="A272" s="27" t="n"/>
      <c r="B272" s="278" t="n"/>
      <c r="C272" s="278" t="n"/>
      <c r="D272" s="161" t="n"/>
      <c r="E272" s="109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89" t="inlineStr">
        <is>
          <t xml:space="preserve">                   Door Stop Jamb</t>
        </is>
      </c>
      <c r="D273" s="162" t="n"/>
      <c r="E273" s="501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328" t="inlineStr">
        <is>
          <t xml:space="preserve">                          = FAME HIGHT - 96</t>
        </is>
      </c>
      <c r="D274" s="328" t="n"/>
      <c r="E274" s="328" t="n"/>
      <c r="F274" s="109" t="n"/>
      <c r="G274" s="109" t="n"/>
      <c r="I274" s="109" t="n"/>
      <c r="J274" s="501" t="n"/>
    </row>
    <row r="275" ht="15.9" customFormat="1" customHeight="1" s="278">
      <c r="A275" s="27" t="n"/>
      <c r="B275" s="278" t="n"/>
      <c r="C275" s="542" t="inlineStr">
        <is>
          <t xml:space="preserve">                          ความสูง (วงกบ) - 96</t>
        </is>
      </c>
      <c r="D275" s="542" t="n"/>
      <c r="E275" s="542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656">
        <f>$I$139</f>
        <v/>
      </c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7">
        <f>$J$139+$J$140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F278" s="109" t="n"/>
      <c r="G278" s="109" t="n"/>
      <c r="H278" s="109" t="n"/>
      <c r="J278" s="109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- 182-(113.25 × 4))/5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- 182-(113.25 × 4))/5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278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23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89" t="inlineStr">
        <is>
          <t xml:space="preserve">                   Glazing Bead</t>
        </is>
      </c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94" t="inlineStr">
        <is>
          <t xml:space="preserve">                          = ((Frame Width - 182-(113.25 × 4))/5</t>
        </is>
      </c>
      <c r="D296" s="161" t="n"/>
      <c r="E296" s="109" t="n"/>
      <c r="F296" s="109" t="n"/>
      <c r="G296" s="44" t="n"/>
      <c r="H296" s="44" t="n"/>
      <c r="I296" s="109" t="n"/>
      <c r="J296" s="501" t="n"/>
    </row>
    <row r="297" ht="15.9" customFormat="1" customHeight="1" s="278">
      <c r="A297" s="27" t="n"/>
      <c r="B297" s="278" t="n"/>
      <c r="C297" s="542" t="inlineStr">
        <is>
          <t xml:space="preserve">                          ((ความกว้าง (วงกบ) - 182-(113.25 × 4))/5</t>
        </is>
      </c>
      <c r="D297" s="328" t="n"/>
      <c r="E297" s="328" t="n"/>
      <c r="F297" s="109" t="n"/>
      <c r="G297" s="40" t="n"/>
      <c r="H297" s="32" t="n"/>
      <c r="I297" s="109" t="n"/>
      <c r="J297" s="501" t="n"/>
    </row>
    <row r="298" ht="15.9" customFormat="1" customHeight="1" s="278">
      <c r="A298" s="101" t="n"/>
      <c r="B298" s="278" t="n"/>
      <c r="C298" s="328" t="inlineStr">
        <is>
          <t xml:space="preserve">                          = FAME HIGHT - 242.00</t>
        </is>
      </c>
      <c r="D298" s="542" t="n"/>
      <c r="E298" s="542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44" t="n"/>
      <c r="B299" s="44" t="n"/>
      <c r="C299" s="542" t="inlineStr">
        <is>
          <t xml:space="preserve">                          ความสูง (วงกบ) - 242.00</t>
        </is>
      </c>
      <c r="D299" s="86" t="n"/>
      <c r="E299" s="79" t="n"/>
      <c r="F299" s="44" t="n"/>
      <c r="G299" s="109" t="n"/>
      <c r="H299" s="109" t="n"/>
      <c r="I299" s="109" t="n"/>
      <c r="J299" s="501" t="n"/>
    </row>
    <row r="300" ht="15.9" customFormat="1" customHeight="1" s="278">
      <c r="A300" s="40" t="n"/>
      <c r="B300" s="40" t="n"/>
      <c r="C300" s="656">
        <f>$I$146</f>
        <v/>
      </c>
      <c r="D300" s="87" t="n"/>
      <c r="E300" s="80" t="n"/>
      <c r="F300" s="32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$J$146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6">
        <f>$I$147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n"/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n"/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n"/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LEFT($J$111,11)&amp;"-03"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35.1" customFormat="1" customHeight="1" s="278">
      <c r="A443" s="109" t="n"/>
      <c r="C443" s="161" t="n"/>
      <c r="D443" s="85" t="n"/>
      <c r="E443" s="40" t="n"/>
      <c r="F443" s="32" t="n"/>
      <c r="H443" s="44" t="n"/>
      <c r="I443" s="501" t="n"/>
      <c r="J443" s="501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66" t="n"/>
      <c r="I513" s="278" t="n"/>
      <c r="J513" s="10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02" t="inlineStr">
        <is>
          <t>ITEM</t>
        </is>
      </c>
      <c r="B518" s="103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86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((W-182-(113.25 × 4)/5)-13</t>
        </is>
      </c>
      <c r="I519" s="124">
        <f>(($J$126-185-(113.25*4))/5)-13</f>
        <v/>
      </c>
      <c r="J519" s="151">
        <f>$J$120*5</f>
        <v/>
      </c>
      <c r="M519" s="278">
        <f>ROW()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346" t="n"/>
      <c r="B520" s="295" t="n"/>
      <c r="C520" s="295" t="n"/>
      <c r="D520" s="296" t="n"/>
      <c r="E520" s="242" t="n"/>
      <c r="F520" s="251" t="n"/>
      <c r="G520" s="297" t="n"/>
      <c r="H520" s="242" t="n"/>
      <c r="I520" s="298" t="n"/>
      <c r="J520" s="299" t="n"/>
      <c r="M520" s="278">
        <f>ROW()</f>
        <v/>
      </c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43">
        <f>IF(B522="","",+""+1)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M522" s="278">
        <f>ROW()</f>
        <v/>
      </c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M523" s="278">
        <f>ROW()</f>
        <v/>
      </c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M524" s="278">
        <f>ROW()</f>
        <v/>
      </c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J525" s="99">
        <f>LEFT($J$111,11)&amp;"-05"</f>
        <v/>
      </c>
      <c r="M525" s="278">
        <f>ROW()</f>
        <v/>
      </c>
      <c r="N525" s="415" t="inlineStr">
        <is>
          <t>กระจก 18 mm (สูง) (กว้าง)</t>
        </is>
      </c>
      <c r="O525" s="415" t="inlineStr">
        <is>
          <t>GLASS thk.18 mm (H) (W)</t>
        </is>
      </c>
    </row>
    <row r="526">
      <c r="M526" s="278">
        <f>ROW()</f>
        <v/>
      </c>
      <c r="N526" s="415" t="inlineStr">
        <is>
          <t>กระจก 20 mm (สูง) (กว้าง)</t>
        </is>
      </c>
      <c r="O526" s="415" t="inlineStr">
        <is>
          <t>GLASS thk.20 mm (H) (W)</t>
        </is>
      </c>
    </row>
    <row r="527">
      <c r="M527" s="278">
        <f>ROW()</f>
        <v/>
      </c>
      <c r="N527" s="415" t="inlineStr">
        <is>
          <t>กระจก 22 mm (สูง) (กว้าง)</t>
        </is>
      </c>
      <c r="O527" s="415" t="inlineStr">
        <is>
          <t>GLASS thk.22 mm (H) (W)</t>
        </is>
      </c>
    </row>
  </sheetData>
  <mergeCells count="43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F329:G329"/>
    <mergeCell ref="D123:G123"/>
    <mergeCell ref="A170:J170"/>
    <mergeCell ref="A117:J117"/>
    <mergeCell ref="J123:J124"/>
    <mergeCell ref="I166:J167"/>
    <mergeCell ref="I156:J156"/>
    <mergeCell ref="H159:H160"/>
    <mergeCell ref="H120:I121"/>
    <mergeCell ref="A319:J319"/>
    <mergeCell ref="F330:G330"/>
    <mergeCell ref="D119:G119"/>
    <mergeCell ref="H126:I127"/>
    <mergeCell ref="A6:J6"/>
    <mergeCell ref="I155:J155"/>
    <mergeCell ref="I161:J161"/>
    <mergeCell ref="D161:D162"/>
    <mergeCell ref="A517:J517"/>
    <mergeCell ref="F519:G519"/>
    <mergeCell ref="D168:D169"/>
    <mergeCell ref="A212:J212"/>
    <mergeCell ref="F333:G333"/>
    <mergeCell ref="J120:J121"/>
    <mergeCell ref="I157:J157"/>
    <mergeCell ref="A426:J426"/>
    <mergeCell ref="A125:B125"/>
    <mergeCell ref="J126:J127"/>
    <mergeCell ref="D159:D160"/>
    <mergeCell ref="I159:J160"/>
    <mergeCell ref="D125:G125"/>
    <mergeCell ref="H123:I124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$O$172:$O$190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codeName="Sheet17">
    <tabColor theme="5" tint="-0.249977111117893"/>
    <outlinePr summaryBelow="1" summaryRight="1"/>
    <pageSetUpPr/>
  </sheetPr>
  <dimension ref="A2:X529"/>
  <sheetViews>
    <sheetView showGridLines="0" view="pageBreakPreview" topLeftCell="A175" zoomScale="75" zoomScaleNormal="75" zoomScaleSheetLayoutView="75" workbookViewId="0">
      <selection activeCell="D187" sqref="D18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41.554687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(1L5R)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FG-240-6P1L5R-01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2400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3900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12</v>
      </c>
      <c r="U133" s="283" t="inlineStr">
        <is>
          <t>(W-185-(113.25 × 5))/6</t>
        </is>
      </c>
      <c r="V133" s="307">
        <f>($J$126-185-(113.25*5))/6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12</v>
      </c>
      <c r="U134" s="283" t="inlineStr">
        <is>
          <t>(W-185-(113.25 × 5))/6</t>
        </is>
      </c>
      <c r="V134" s="307">
        <f>($J$126-185-(113.25*5))/6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12</v>
      </c>
      <c r="U135" s="283" t="inlineStr">
        <is>
          <t>(W-185-(113.25 × 5))/6</t>
        </is>
      </c>
      <c r="V135" s="307">
        <f>($J$126-185-(113.25*5))/6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12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12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12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 (W-60-(6+1)×4)/6</t>
        </is>
      </c>
      <c r="I141" s="178">
        <f>($J$126-60-(6+1)*4)/6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 (W-60-(6+1)×4)/6</t>
        </is>
      </c>
      <c r="I142" s="178">
        <f>($J$126-60-(6+1)*4)/6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207" t="n"/>
      <c r="C152" s="207" t="n"/>
      <c r="D152" s="208" t="n"/>
      <c r="E152" s="209" t="n"/>
      <c r="F152" s="208" t="n"/>
      <c r="G152" s="209" t="n"/>
      <c r="H152" s="209" t="n"/>
      <c r="I152" s="316" t="n"/>
      <c r="J152" s="304" t="n"/>
      <c r="N152" s="287" t="n"/>
    </row>
    <row r="153" ht="18" customFormat="1" customHeight="1" s="278" thickBot="1">
      <c r="A153" s="143">
        <f>IF(B153="","",+A151+1)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2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12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44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2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4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((($I$141*$G$141*2)+($I$143*$G$143*2)+($I$144*$G$144))/1000)*$J$120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04-015</t>
        </is>
      </c>
      <c r="E188" s="143" t="n"/>
      <c r="F188" s="143" t="inlineStr">
        <is>
          <t>04-015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((($I$141*$G$141*2)+($I$143*$G$143*2)+($I$144*$G$144))/1000)*$J$120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2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กลอนสวิง 250 มม.</t>
        </is>
      </c>
      <c r="C190" s="140" t="inlineStr">
        <is>
          <t>Surface mounted flush bolt</t>
        </is>
      </c>
      <c r="D190" s="139" t="inlineStr">
        <is>
          <t>00-020-25</t>
        </is>
      </c>
      <c r="E190" s="143" t="n"/>
      <c r="F190" s="143" t="inlineStr">
        <is>
          <t>00-020-25</t>
        </is>
      </c>
      <c r="G190" s="143" t="inlineStr">
        <is>
          <t>SET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900 มม.</t>
        </is>
      </c>
      <c r="C191" s="140" t="inlineStr">
        <is>
          <t>Surface mounted flush bolt</t>
        </is>
      </c>
      <c r="D191" s="139" t="inlineStr">
        <is>
          <t>00-020-90</t>
        </is>
      </c>
      <c r="E191" s="143" t="n"/>
      <c r="F191" s="143" t="inlineStr">
        <is>
          <t>00-020-90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สักหลาดบังใบ</t>
        </is>
      </c>
      <c r="C192" s="140" t="inlineStr">
        <is>
          <t>MOHAIR FOR SASH STOP</t>
        </is>
      </c>
      <c r="D192" s="139" t="inlineStr">
        <is>
          <t>02-028</t>
        </is>
      </c>
      <c r="E192" s="143" t="n"/>
      <c r="F192" s="143" t="inlineStr">
        <is>
          <t>02-028</t>
        </is>
      </c>
      <c r="G192" s="143" t="inlineStr">
        <is>
          <t>M</t>
        </is>
      </c>
      <c r="H192" s="652">
        <f>((($I$148*$G$148)+($I$149*$G$149))/1000)*$J$120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สักหลาดเสา</t>
        </is>
      </c>
      <c r="C193" s="140" t="inlineStr">
        <is>
          <t>MOHAIR FOR SASH (Ver)</t>
        </is>
      </c>
      <c r="D193" s="139" t="inlineStr">
        <is>
          <t>02-036</t>
        </is>
      </c>
      <c r="E193" s="143" t="n"/>
      <c r="F193" s="143" t="inlineStr">
        <is>
          <t>02-036</t>
        </is>
      </c>
      <c r="G193" s="143" t="inlineStr">
        <is>
          <t>M</t>
        </is>
      </c>
      <c r="H193" s="652">
        <f>((($I$145*$G$145)+($I$145*$G$145))/1000)*$J$120</f>
        <v/>
      </c>
      <c r="I193" s="653" t="n">
        <v>100</v>
      </c>
      <c r="J193" s="654">
        <f>ROUNDUP((H193)/100,0)</f>
        <v/>
      </c>
    </row>
    <row r="194" ht="18" customHeight="1" s="344">
      <c r="A194" s="201">
        <f>IF(B194="","",+A193+1)</f>
        <v/>
      </c>
      <c r="B194" s="139">
        <f>IF($D$129="Standard",$O$185,IF($D$129="Soumdproof",$O$186,))</f>
        <v/>
      </c>
      <c r="C194" s="139">
        <f>IF($D$129="Standard",$P$185,IF($D$129="Soumdproof",$P$186,))</f>
        <v/>
      </c>
      <c r="D194" s="139">
        <f>IF($D$129="Standard",$Q$185,IF($D$129="Soumdproof",$Q$186,))</f>
        <v/>
      </c>
      <c r="E194" s="143">
        <f>IF($D$129="Standard",R190,IF($D$129="Soumdproof",R191,))</f>
        <v/>
      </c>
      <c r="F194" s="143">
        <f>IF($D$129="Standard",$S$185,IF($D$129="Soumdproof",$S$186,))</f>
        <v/>
      </c>
      <c r="G194" s="143">
        <f>IF($D$129="Standard",$T$185,IF($D$129="Soumdproof",$T$186,))</f>
        <v/>
      </c>
      <c r="H194" s="652">
        <f>IF($D$129="Standard",$U$185,IF($D$129="Soumdproof",$U$186,))</f>
        <v/>
      </c>
      <c r="I194" s="653">
        <f>IF($D$129="Standard",$V$185,IF($D$129="Soumdproof",$V$186,))</f>
        <v/>
      </c>
      <c r="J194" s="654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139">
        <f>IF($D$129="Standard",$O$187,IF($D$129="Soumdproof",$O$188,))</f>
        <v/>
      </c>
      <c r="C195" s="139">
        <f>IF($D$129="Standard",$P$187,IF($D$129="Soumdproof",$P$188,))</f>
        <v/>
      </c>
      <c r="D195" s="139">
        <f>IF($D$129="Standard",$Q$187,IF($D$129="Soumdproof",$Q$188,))</f>
        <v/>
      </c>
      <c r="E195" s="143">
        <f>IF($D$129="Standard",R192,IF($D$129="Soumdproof",R193,))</f>
        <v/>
      </c>
      <c r="F195" s="143">
        <f>IF($D$129="Standard",$S$187,IF($D$129="Soumdproof",$S$188,))</f>
        <v/>
      </c>
      <c r="G195" s="143">
        <f>IF($D$129="Standard",$T$187,IF($D$129="Soumdproof",$T$188,))</f>
        <v/>
      </c>
      <c r="H195" s="652">
        <f>IF($D$129="Standard",$U$187,IF($D$129="Soumdproof",$U$188,))</f>
        <v/>
      </c>
      <c r="I195" s="653">
        <f>IF($D$129="Standard",$V$187,IF($D$129="Soumdproof",$V$188,))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296">
        <f>IF($D$127=5,$O$176,IF($D$127=6,$O$177,IF($D$127=8,$O$178,IF($D$127=10,$O$176,IF($D$127=12,$O$176,IF($D$127=14,$O$178,IF($D$127=18,$O$176,IF($D$127=20,$O$177,IF($D$127=22,"")))))))))</f>
        <v/>
      </c>
      <c r="C196" s="296">
        <f>IF($D$127=5,$P$176,IF($D$127=6,$P$177,IF($D$127=8,$P$178,IF($D$127=10,$P$176,IF($D$127=12,$P$176,IF($D$127=14,$P$178,IF($D$127=18,$P$176,IF($D$127=20,$P$177,IF($D$127=22,"")))))))))</f>
        <v/>
      </c>
      <c r="D196" s="296">
        <f>IF($D$127=5,$Q$176,IF($D$127=6,$Q$177,IF($D$127=8,$Q$178,IF($D$127=10,$Q$176,IF($D$127=12,$Q$176,IF($D$127=14,$Q$178,IF($D$127=18,$Q$176,IF($D$127=20,$Q$177,IF($D$127=22,"")))))))))</f>
        <v/>
      </c>
      <c r="E196" s="296">
        <f>IF($D$127=5,R181,IF($D$127=6,R182,IF($D$127=8,R183,IF($D$127=10,R181,IF($D$127=12,R181,IF($D$127=14,R183,IF($D$127=18,R181,IF($D$127=20,R182,IF($D$127=22,"",)))))))))</f>
        <v/>
      </c>
      <c r="F196" s="242">
        <f>IF($D$127=5,$S$176,IF($D$127=6,$S$177,IF($D$127=8,$S$178,IF($D$127=10,$S$176,IF($D$127=12,$S$176,IF($D$127=14,$S$178,IF($D$127=18,$S$176,IF($D$127=20,$S$177,IF($D$127=22,"")))))))))</f>
        <v/>
      </c>
      <c r="G196" s="242">
        <f>IF($D$127=5,$T$176,IF($D$127=6,$T$177,IF($D$127=8,$T$178,IF($D$127=10,$T$176,IF($D$127=12,$T$176,IF($D$127=14,$T$178,IF($D$127=18,$T$176,IF($D$127=20,$T$177,IF($D$127=22,"")))))))))</f>
        <v/>
      </c>
      <c r="H196" s="652">
        <f>IF($D$127=5,$U$176,IF($D$127=6,$U$177,IF($D$127=8,$U$178,IF($D$127=10,$U$176*2,IF($D$127=12,$U$176,IF($D$127=14,$U$178*2,IF($D$127=18,$U$176,IF($D$127=20,$U$177,IF($D$127=22,"")))))))))</f>
        <v/>
      </c>
      <c r="I196" s="653">
        <f>IF($D$127=5,$V$176,IF($D$127=6,$V$177,IF($D$127=8,$V$178,IF($D$127=10,$V$176,IF($D$127=12,$V$176,IF($D$127=14,$V$178,IF($D$127=18,$V$176,IF($D$127=20,$V$177,IF($D$127=22,"")))))))))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IF($D$127=5,$O$174,IF($D$127=6,$O$174,IF($D$127=8,$O$176,IF($D$127=10,"",IF($D$127=12,$O$175,IF($D$127=14,"",IF($D$127=18,$O$174,IF($D$127=20,$O$175,IF($D$127=22,"",)))))))))</f>
        <v/>
      </c>
      <c r="C197" s="296">
        <f>IF($D$127=5,$P$174,IF($D$127=6,$P$174,IF($D$127=8,$P$176,IF($D$127=10,"",IF($D$127=12,$P$175,IF($D$127=14,"",IF($D$127=18,$P$174,IF($D$127=20,$P$175,IF($D$127=22,"",)))))))))</f>
        <v/>
      </c>
      <c r="D197" s="296">
        <f>IF($D$127=5,$Q$174,IF($D$127=6,$Q$174,IF($D$127=8,$Q$176,IF($D$127=10,"",IF($D$127=12,$Q$175,IF($D$127=14,"",IF($D$127=18,$Q$174,IF($D$127=20,$Q$175,IF($D$127=22,"",)))))))))</f>
        <v/>
      </c>
      <c r="E197" s="296">
        <f>IF($D$127=5,R179,IF($D$127=6,R179,IF($D$127=8,R181,IF($D$127=10,"",IF($D$127=12,R180,IF($D$127=14,"",IF($D$127=18,R179,IF($D$127=20,R180,IF($D$127=22,"",)))))))))</f>
        <v/>
      </c>
      <c r="F197" s="242">
        <f>IF($D$127=5,$S$174,IF($D$127=6,$S$174,IF($D$127=8,$S$176,IF($D$127=10,"",IF($D$127=12,$S$175,IF($D$127=14,"",IF($D$127=18,$S$174,IF($D$127=20,$S$175,IF($D$127=22,"",)))))))))</f>
        <v/>
      </c>
      <c r="G197" s="242">
        <f>IF($D$127=5,$T$174,IF($D$127=6,$T$174,IF($D$127=8,$T$176,IF($D$127=10,"",IF($D$127=12,$T$175,IF($D$127=14,"",IF($D$127=18,$T$174,IF($D$127=20,$T$175,IF($D$127=22,"",)))))))))</f>
        <v/>
      </c>
      <c r="H197" s="652">
        <f>IF($D$127=5,$U$174,IF($D$127=6,$U$174,IF($D$127=8,$U$176,IF($D$127=10,"",IF($D$127=12,$U$175,IF($D$127=14,"",IF($D$127=18,$U$174,IF($D$127=20,$U$175,IF($D$127=22,"")))))))))</f>
        <v/>
      </c>
      <c r="I197" s="653">
        <f>IF($D$127=5,$V$174,IF($D$127=6,$V$174,IF($D$127=8,$V$176,IF($D$127=10,"",IF($D$127=12,$V$175,IF($D$127=14,"",IF($D$127=18,$V$174,IF($D$127=20,$V$175,IF($D$127=22,"",)))))))))</f>
        <v/>
      </c>
      <c r="J197" s="654">
        <f>ROUNDUP((H197)/100,0)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5))/6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5))/6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5))/6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5))/6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$I$146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$J$146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89" t="inlineStr">
        <is>
          <t xml:space="preserve">                    Sash Stop</t>
        </is>
      </c>
      <c r="D305" s="161" t="n"/>
      <c r="E305" s="109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328" t="inlineStr">
        <is>
          <t xml:space="preserve">                          = FAME HIGHT - 92.00</t>
        </is>
      </c>
      <c r="D306" s="328" t="n"/>
      <c r="E306" s="328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542" t="inlineStr">
        <is>
          <t xml:space="preserve">                          ความสูง (วงกบ) - 92.00</t>
        </is>
      </c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6">
        <f>$I$148</f>
        <v/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$J$148+$J$149</f>
        <v/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63" t="n"/>
      <c r="D323" s="345" t="n"/>
      <c r="I323" s="160" t="n"/>
      <c r="J323" s="532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44" t="n"/>
      <c r="B444" s="278" t="n"/>
      <c r="C444" s="43" t="n"/>
      <c r="D444" s="161" t="n"/>
      <c r="E444" s="109" t="n"/>
      <c r="F444" s="109" t="n"/>
      <c r="H444" s="44" t="n"/>
      <c r="I444" s="44" t="n"/>
      <c r="J444" s="119" t="n"/>
    </row>
    <row r="445" ht="15.9" customFormat="1" customHeight="1" s="278">
      <c r="A445" s="40" t="n"/>
      <c r="C445" s="44" t="n"/>
      <c r="D445" s="84" t="n"/>
      <c r="E445" s="44" t="n"/>
      <c r="F445" s="44" t="n"/>
      <c r="H445" s="44" t="n"/>
      <c r="I445" s="44" t="n"/>
      <c r="J445" s="119" t="n"/>
    </row>
    <row r="446" ht="15.6" customHeight="1" s="344">
      <c r="B446" s="64" t="n"/>
      <c r="C446" s="163" t="n"/>
      <c r="D446" s="161" t="n"/>
      <c r="E446" s="109" t="n"/>
      <c r="F446" s="161" t="n"/>
      <c r="G446" s="109" t="n"/>
      <c r="H446" s="109" t="n"/>
    </row>
    <row r="451" ht="15.9" customFormat="1" customHeight="1" s="278">
      <c r="A451" s="109" t="n"/>
      <c r="D451" s="345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44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3" t="n"/>
      <c r="D457" s="161" t="n"/>
      <c r="E457" s="109" t="n"/>
      <c r="F457" s="161" t="n"/>
      <c r="G457" s="109" t="n"/>
      <c r="H457" s="109" t="n"/>
      <c r="I457" s="109" t="n"/>
      <c r="J457" s="501" t="n"/>
    </row>
    <row r="458" ht="15.9" customFormat="1" customHeight="1" s="278">
      <c r="A458" s="109" t="n"/>
      <c r="B458" s="278" t="n"/>
      <c r="C458" s="161" t="n"/>
      <c r="D458" s="161" t="n"/>
      <c r="E458" s="109" t="n"/>
      <c r="F458" s="161" t="n"/>
      <c r="G458" s="109" t="n"/>
      <c r="H458" s="109" t="n"/>
      <c r="I458" s="501" t="n"/>
      <c r="J458" s="501" t="n"/>
    </row>
    <row r="459" ht="15.9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7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109" t="n"/>
      <c r="J478" s="109" t="n"/>
    </row>
    <row r="479" ht="15.9" customFormat="1" customHeight="1" s="278">
      <c r="A479" s="44" t="n"/>
      <c r="B479" s="278" t="n"/>
      <c r="C479" s="278" t="n"/>
      <c r="D479" s="161" t="n"/>
      <c r="E479" s="109" t="n"/>
      <c r="F479" s="109" t="n"/>
      <c r="G479" s="109" t="n"/>
      <c r="H479" s="109" t="n"/>
      <c r="I479" s="44" t="n"/>
      <c r="J479" s="119" t="n"/>
    </row>
    <row r="480" ht="15.9" customFormat="1" customHeight="1" s="278">
      <c r="A480" s="40" t="n"/>
      <c r="B480" s="44" t="n"/>
      <c r="C480" s="44" t="n"/>
      <c r="D480" s="84" t="n"/>
      <c r="E480" s="44" t="n"/>
      <c r="F480" s="44" t="n"/>
      <c r="G480" s="44" t="n"/>
      <c r="H480" s="44" t="n"/>
      <c r="I480" s="32" t="n"/>
      <c r="J480" s="40" t="n"/>
    </row>
    <row r="481" ht="15.9" customFormat="1" customHeight="1" s="278">
      <c r="A481" s="27" t="n"/>
      <c r="B481" s="40" t="n"/>
      <c r="C481" s="44" t="n"/>
      <c r="D481" s="85" t="n"/>
      <c r="E481" s="40" t="n"/>
      <c r="F481" s="32" t="n"/>
      <c r="G481" s="40" t="n"/>
      <c r="H481" s="32" t="n"/>
      <c r="I481" s="501" t="n"/>
      <c r="J481" s="501" t="n"/>
    </row>
    <row r="482" ht="15.9" customFormat="1" customHeight="1" s="278">
      <c r="A482" s="27" t="n"/>
      <c r="B482" s="278" t="n"/>
      <c r="C482" s="93" t="n"/>
      <c r="D482" s="161" t="n"/>
      <c r="E482" s="109" t="n"/>
      <c r="F482" s="109" t="n"/>
      <c r="G482" s="109" t="n"/>
      <c r="H482" s="93" t="n"/>
      <c r="I482" s="287" t="n"/>
      <c r="J482" s="302" t="n"/>
    </row>
    <row r="483" ht="15.9" customFormat="1" customHeight="1" s="278">
      <c r="A483" s="27" t="n"/>
      <c r="B483" s="278" t="n"/>
      <c r="C483" s="163" t="n"/>
      <c r="D483" s="161" t="n"/>
      <c r="E483" s="109" t="n"/>
      <c r="F483" s="109" t="n"/>
      <c r="G483" s="109" t="n"/>
      <c r="H483" s="287" t="n"/>
      <c r="I483" s="278" t="n"/>
      <c r="J483" s="109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278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87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D496" s="161" t="n"/>
      <c r="E496" s="109" t="n"/>
      <c r="F496" s="109" t="n"/>
      <c r="G496" s="278" t="n"/>
      <c r="H496" s="278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63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87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161" t="n"/>
      <c r="D503" s="161" t="n"/>
      <c r="E503" s="109" t="n"/>
      <c r="F503" s="109" t="n"/>
      <c r="G503" s="109" t="n"/>
      <c r="H503" s="93" t="n"/>
      <c r="I503" s="287" t="n"/>
      <c r="J503" s="302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87" t="n"/>
      <c r="I504" s="278" t="n"/>
      <c r="J504" s="109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5)/6)-13</t>
        </is>
      </c>
      <c r="I521" s="124">
        <f>(($J$126-185-(113.25*5))/6)-13</f>
        <v/>
      </c>
      <c r="J521" s="151">
        <f>$J$120*6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D123:G123"/>
    <mergeCell ref="A117:J117"/>
    <mergeCell ref="J123:J124"/>
    <mergeCell ref="F521:G521"/>
    <mergeCell ref="I166:J167"/>
    <mergeCell ref="D170:D171"/>
    <mergeCell ref="I156:J156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A6:J6"/>
    <mergeCell ref="I161:J161"/>
    <mergeCell ref="I155:J155"/>
    <mergeCell ref="D161:D162"/>
    <mergeCell ref="A427:J427"/>
    <mergeCell ref="C307:E307"/>
    <mergeCell ref="D168:D169"/>
    <mergeCell ref="H170:H171"/>
    <mergeCell ref="A172:J172"/>
    <mergeCell ref="J120:J121"/>
    <mergeCell ref="I157:J157"/>
    <mergeCell ref="A125:B125"/>
    <mergeCell ref="A519:J519"/>
    <mergeCell ref="J126:J127"/>
    <mergeCell ref="D159:D160"/>
    <mergeCell ref="I159:J160"/>
    <mergeCell ref="D125:G125"/>
    <mergeCell ref="H123:I124"/>
    <mergeCell ref="A213:J213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$O$174:$O$192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codeName="Sheet18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(3L3R)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FG-240-6P3L3R-01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8" customFormat="1" customHeight="1" s="278">
      <c r="A119" s="109" t="n"/>
      <c r="C119" s="110" t="inlineStr">
        <is>
          <t>Project Name :</t>
        </is>
      </c>
      <c r="D119" s="637" t="inlineStr">
        <is>
          <t>D1 ฮวดเจริญ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4000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  <c r="P129" s="278" t="inlineStr">
        <is>
          <t>-</t>
        </is>
      </c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12</v>
      </c>
      <c r="U133" s="283" t="inlineStr">
        <is>
          <t>(W-185-(113.25 × 5))/6</t>
        </is>
      </c>
      <c r="V133" s="307">
        <f>($J$126-185-(113.25*5))/6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12</v>
      </c>
      <c r="U134" s="143" t="inlineStr">
        <is>
          <t>(W-185-(113.25 × 5))/6</t>
        </is>
      </c>
      <c r="V134" s="307">
        <f>($J$126-185-(113.25*5))/6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12</v>
      </c>
      <c r="U135" s="240" t="inlineStr">
        <is>
          <t>(W-185-(113.25 × 5))/6</t>
        </is>
      </c>
      <c r="V135" s="307">
        <f>($J$126-185-(113.25*5))/6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12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12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12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45°แยกฝั่ง (W/2-60-(3+1)×4)/3</t>
        </is>
      </c>
      <c r="I141" s="178">
        <f>(($J$126/2)-60-(3+1)*4)/3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45°แยกฝั่ง (W/2-60-(3+1)×4)/3</t>
        </is>
      </c>
      <c r="I142" s="178">
        <f>(($J$126/2)-60-(3+1)*4)/3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12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((($I$141*$G$141)+($I$142*$G$142)+($I$143*$G$143)+($I$144*$G$144)+($I$145*$G$145)+($I$147*$G$146))/1000)*$J$120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((($I$141*$G$141)+($I$142*$G$142)+($I$143*$G$143)+($I$144*$G$144)+($I$145*$G$145)+($I$147*$G$146))/1000)*$J$120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((($I$141*$G$141)+($I$142*$G$142)+($I$143*$G$143)+($I$144*$G$144)+($I$145*$G$145)+($I$147*$G$146))/1000)*$J$120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((($I$141*$G$141)+($I$142*$G$142)+($I$143*$G$143)+($I$144*$G$144)+($I$145*$G$145)+($I$147*$G$146))/1000)*$J$120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((($I$141*$G$141)+($I$142*$G$142)+($I$143*$G$143)+($I$144*$G$144)+($I$145*$G$145)+($I$147*$G$146))/1000)*$J$120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2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39" t="inlineStr">
        <is>
          <t>00-024 or 00-027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4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04-015</t>
        </is>
      </c>
      <c r="E188" s="143" t="n"/>
      <c r="F188" s="143" t="inlineStr">
        <is>
          <t>04-015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2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กลอนสวิง 250 มม.</t>
        </is>
      </c>
      <c r="C190" s="140" t="inlineStr">
        <is>
          <t>Surface mounted flush bolt</t>
        </is>
      </c>
      <c r="D190" s="139" t="inlineStr">
        <is>
          <t>00-020-25</t>
        </is>
      </c>
      <c r="E190" s="143" t="n"/>
      <c r="F190" s="143" t="inlineStr">
        <is>
          <t>00-020-25</t>
        </is>
      </c>
      <c r="G190" s="143" t="inlineStr">
        <is>
          <t>SET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900 มม.</t>
        </is>
      </c>
      <c r="C191" s="140" t="inlineStr">
        <is>
          <t>Surface mounted flush bolt</t>
        </is>
      </c>
      <c r="D191" s="139" t="inlineStr">
        <is>
          <t>00-020-90</t>
        </is>
      </c>
      <c r="E191" s="143" t="n"/>
      <c r="F191" s="143" t="inlineStr">
        <is>
          <t>00-020-90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สักหลาดบังใบ</t>
        </is>
      </c>
      <c r="C192" s="140" t="inlineStr">
        <is>
          <t>MOHAIR FOR SASH STOP</t>
        </is>
      </c>
      <c r="D192" s="139" t="inlineStr">
        <is>
          <t>02-028</t>
        </is>
      </c>
      <c r="E192" s="143" t="n"/>
      <c r="F192" s="143" t="inlineStr">
        <is>
          <t>02-028</t>
        </is>
      </c>
      <c r="G192" s="143" t="inlineStr">
        <is>
          <t>M</t>
        </is>
      </c>
      <c r="H192" s="652">
        <f>((($I$149*$G$149)+($I$150*$G$150))/1000)*$J$120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สักหลาดเสา</t>
        </is>
      </c>
      <c r="C193" s="140" t="inlineStr">
        <is>
          <t>MOHAIR FOR SASH (Ver)</t>
        </is>
      </c>
      <c r="D193" s="139" t="inlineStr">
        <is>
          <t>02-036</t>
        </is>
      </c>
      <c r="E193" s="143" t="n"/>
      <c r="F193" s="143" t="inlineStr">
        <is>
          <t>02-036</t>
        </is>
      </c>
      <c r="G193" s="143" t="inlineStr">
        <is>
          <t>M</t>
        </is>
      </c>
      <c r="H193" s="652">
        <f>((($I$145*$G$145)+($I$146*$G$146))/1000)*$J$120</f>
        <v/>
      </c>
      <c r="I193" s="653" t="n">
        <v>100</v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IF($D$129="Standard",$O$186,IF($D$129="Soumdproof",$O$187,))</f>
        <v/>
      </c>
      <c r="C194" s="139">
        <f>IF($D$129="Standard",$P$186,IF($D$129="Soumdproof",$P$187,))</f>
        <v/>
      </c>
      <c r="D194" s="139">
        <f>IF($D$129="Standard",$Q$186,IF($D$129="Soumdproof",$Q$187,))</f>
        <v/>
      </c>
      <c r="E194" s="143">
        <f>IF($D$129="Standard",R190,IF($D$129="Soumdproof",R191,))</f>
        <v/>
      </c>
      <c r="F194" s="143">
        <f>IF($D$129="Standard",$S$186,IF($D$129="Soumdproof",$S$187,))</f>
        <v/>
      </c>
      <c r="G194" s="143">
        <f>IF($D$129="Standard",$T$186,IF($D$129="Soumdproof",$T$187,))</f>
        <v/>
      </c>
      <c r="H194" s="652">
        <f>IF($D$129="Standard",$U$186,IF($D$129="Soumdproof",$U$187,))</f>
        <v/>
      </c>
      <c r="I194" s="653">
        <f>IF($D$129="Standard",$V$186,IF($D$129="Soumdproof",$V$187,))</f>
        <v/>
      </c>
      <c r="J194" s="654">
        <f>ROUNDUP((H194)/100,0)</f>
        <v/>
      </c>
    </row>
    <row r="195" ht="18" customFormat="1" customHeight="1" s="278">
      <c r="A195" s="201">
        <f>IF(B195="","",+A194+1)</f>
        <v/>
      </c>
      <c r="B195" s="139">
        <f>IF($D$129="Standard",$O$188,IF($D$129="Soumdproof",$O$189,))</f>
        <v/>
      </c>
      <c r="C195" s="139">
        <f>IF($D$129="Standard",$P$188,IF($D$129="Soumdproof",$P$189,))</f>
        <v/>
      </c>
      <c r="D195" s="139">
        <f>IF($D$129="Standard",$Q$188,IF($D$129="Soumdproof",$Q$189,))</f>
        <v/>
      </c>
      <c r="E195" s="143">
        <f>IF($D$129="Standard",R193,IF($D$129="Soumdproof",R194,))</f>
        <v/>
      </c>
      <c r="F195" s="143">
        <f>IF($D$129="Standard",$S$188,IF($D$129="Soumdproof",$S$189,))</f>
        <v/>
      </c>
      <c r="G195" s="143">
        <f>IF($D$129="Standard",$T$188,IF($D$129="Soumdproof",$T$189,))</f>
        <v/>
      </c>
      <c r="H195" s="652">
        <f>IF($D$129="Standard",$U$188,IF($D$129="Soumdproof",$U$189,))</f>
        <v/>
      </c>
      <c r="I195" s="653">
        <f>IF($D$129="Standard",$V$188,IF($D$129="Soumdproof",$V$189,))</f>
        <v/>
      </c>
      <c r="J195" s="654">
        <f>ROUNDUP((H195)/100,0)</f>
        <v/>
      </c>
    </row>
    <row r="196" ht="18" customHeight="1" s="344">
      <c r="A196" s="201">
        <f>IF(B196="","",+A195+1)</f>
        <v/>
      </c>
      <c r="B196" s="296">
        <f>IF($D$127=5,$O$177,IF($D$127=6,$O$178,IF($D$127=8,$O$179,IF($D$127=10,$O$177,IF($D$127=12,$O$177,IF($D$127=14,$O$179,IF($D$127=18,$O$177,IF($D$127=20,$O$178,IF($D$127=22,"")))))))))</f>
        <v/>
      </c>
      <c r="C196" s="296">
        <f>IF($D$127=5,$P$177,IF($D$127=6,$P$178,IF($D$127=8,$P$179,IF($D$127=10,$P$177,IF($D$127=12,$P$177,IF($D$127=14,$P$179,IF($D$127=18,$P$177,IF($D$127=20,$P$178,IF($D$127=22,"")))))))))</f>
        <v/>
      </c>
      <c r="D196" s="296">
        <f>IF($D$127=5,$Q$177,IF($D$127=6,$Q$178,IF($D$127=8,$Q$179,IF($D$127=10,$Q$177,IF($D$127=12,$Q$177,IF($D$127=14,$Q$179,IF($D$127=18,$Q$177,IF($D$127=20,$Q$178,IF($D$127=22,"")))))))))</f>
        <v/>
      </c>
      <c r="E196" s="296">
        <f>IF($D$127=5,R181,IF($D$127=6,R182,IF($D$127=8,R183,IF($D$127=10,R181,IF($D$127=12,R181,IF($D$127=14,R183,IF($D$127=18,R181,IF($D$127=20,R182,IF($D$127=22,"",)))))))))</f>
        <v/>
      </c>
      <c r="F196" s="242">
        <f>IF($D$127=5,$S$177,IF($D$127=6,$S$178,IF($D$127=8,$S$179,IF($D$127=10,$S$177,IF($D$127=12,$S$177,IF($D$127=14,$S$179,IF($D$127=18,$S$177,IF($D$127=20,$S$178,IF($D$127=22,"")))))))))</f>
        <v/>
      </c>
      <c r="G196" s="242">
        <f>IF($D$127=5,$T$177,IF($D$127=6,$T$178,IF($D$127=8,$T$179,IF($D$127=10,$T$177,IF($D$127=12,$T$177,IF($D$127=14,$T$179,IF($D$127=18,$T$177,IF($D$127=20,$T$178,IF($D$127=22,"")))))))))</f>
        <v/>
      </c>
      <c r="H196" s="652">
        <f>IF($D$127=5,$U$177,IF($D$127=6,$U$178,IF($D$127=8,$U$179,IF($D$127=10,$U$177*2,IF($D$127=12,$U$177,IF($D$127=14,$U$179*2,IF($D$127=18,$U$177,IF($D$127=20,$U$178,IF($D$127=22,"")))))))))</f>
        <v/>
      </c>
      <c r="I196" s="653">
        <f>IF($D$127=5,$V$177,IF($D$127=6,$V$178,IF($D$127=8,$V$179,IF($D$127=10,$V$177,IF($D$127=12,$V$177,IF($D$127=14,$V$179,IF($D$127=18,$V$177,IF($D$127=20,$V$178,IF($D$127=22,"")))))))))</f>
        <v/>
      </c>
      <c r="J196" s="654">
        <f>ROUNDUP((H196)/100,0)</f>
        <v/>
      </c>
      <c r="N196" s="278" t="n"/>
      <c r="O196" s="278" t="n"/>
      <c r="P196" s="278" t="n"/>
      <c r="Q196" s="278" t="n"/>
      <c r="R196" s="278" t="n"/>
      <c r="S196" s="278" t="n"/>
      <c r="T196" s="278" t="n"/>
      <c r="U196" s="278" t="n"/>
      <c r="V196" s="278" t="n"/>
      <c r="W196" s="278" t="n"/>
      <c r="X196" s="278" t="n"/>
    </row>
    <row r="197" ht="18" customFormat="1" customHeight="1" s="278">
      <c r="A197" s="201">
        <f>IF(B197="","",+A196+1)</f>
        <v/>
      </c>
      <c r="B197" s="296">
        <f>IF($D$127=5,$O$175,IF($D$127=6,$O$175,IF($D$127=8,$O$177,IF($D$127=10,"",IF($D$127=12,$O$176,IF($D$127=14,"",IF($D$127=18,$O$175,IF($D$127=20,$O$176,IF($D$127=22,"",)))))))))</f>
        <v/>
      </c>
      <c r="C197" s="296">
        <f>IF($D$127=5,$P$175,IF($D$127=6,$P$175,IF($D$127=8,$P$177,IF($D$127=10,"",IF($D$127=12,$P$176,IF($D$127=14,"",IF($D$127=18,$P$175,IF($D$127=20,$P$176,IF($D$127=22,"",)))))))))</f>
        <v/>
      </c>
      <c r="D197" s="296">
        <f>IF($D$127=5,$Q$175,IF($D$127=6,$Q$175,IF($D$127=8,$Q$177,IF($D$127=10,"",IF($D$127=12,$Q$176,IF($D$127=14,"",IF($D$127=18,$Q$175,IF($D$127=20,$Q$176,IF($D$127=22,"",)))))))))</f>
        <v/>
      </c>
      <c r="E197" s="296">
        <f>IF($D$127=5,R179,IF($D$127=6,R179,IF($D$127=8,R181,IF($D$127=10,"",IF($D$127=12,R180,IF($D$127=14,"",IF($D$127=18,R179,IF($D$127=20,R180,IF($D$127=22,"",)))))))))</f>
        <v/>
      </c>
      <c r="F197" s="242">
        <f>IF($D$127=5,$S$175,IF($D$127=6,$S$175,IF($D$127=8,$S$177,IF($D$127=10,"",IF($D$127=12,$S$176,IF($D$127=14,"",IF($D$127=18,$S$175,IF($D$127=20,$S$176,IF($D$127=22,"",)))))))))</f>
        <v/>
      </c>
      <c r="G197" s="242">
        <f>IF($D$127=5,$T$175,IF($D$127=6,$T$175,IF($D$127=8,$T$177,IF($D$127=10,"",IF($D$127=12,$T$176,IF($D$127=14,"",IF($D$127=18,$T$175,IF($D$127=20,$T$176,IF($D$127=22,"",)))))))))</f>
        <v/>
      </c>
      <c r="H197" s="652">
        <f>IF($D$127=5,$U$175,IF($D$127=6,$U$175,IF($D$127=8,$U$177,IF($D$127=10,"",IF($D$127=12,$U$176,IF($D$127=14,"",IF($D$127=18,$U$175,IF($D$127=20,$U$176,IF($D$127=22,"")))))))))</f>
        <v/>
      </c>
      <c r="I197" s="653">
        <f>IF($D$127=5,$V$175,IF($D$127=6,$V$175,IF($D$127=8,$V$177,IF($D$127=10,"",IF($D$127=12,$V$176,IF($D$127=14,"",IF($D$127=18,$V$175,IF($D$127=20,$V$176,IF($D$127=22,"",)))))))))</f>
        <v/>
      </c>
      <c r="J197" s="654">
        <f>ROUNDUP((H197)/100,0)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44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IF(B203="","",+""+1)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- 185)-(113.25 × 5))/6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( (ความกว้างวงกบ - 185)-(113.25 × 5))/6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$J$143+$J$144+$J$145+$J$146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(Frame Width - 185)-(113.25 × 5))/6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((ความกว้างวงกบ - 185)-(113.25 × 5))/6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6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657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inlineStr">
        <is>
          <t xml:space="preserve">                   Sash Stop</t>
        </is>
      </c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inlineStr">
        <is>
          <t xml:space="preserve">                          = FAME HIGHT - 92.00</t>
        </is>
      </c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inlineStr">
        <is>
          <t xml:space="preserve">                          ความสูง (วงกบ) - 92.00</t>
        </is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$I$149</f>
        <v/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$J$149+$J$150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" customFormat="1" customHeight="1" s="278">
      <c r="A334" s="76" t="n"/>
      <c r="B334" s="532" t="n"/>
      <c r="C334" s="161" t="n"/>
      <c r="D334" s="161" t="n"/>
      <c r="E334" s="109" t="n"/>
      <c r="F334" s="507" t="n"/>
      <c r="G334" s="507" t="n"/>
      <c r="H334" s="507" t="n"/>
      <c r="I334" s="109" t="n"/>
      <c r="J334" s="109" t="n"/>
    </row>
    <row r="335" ht="15" customFormat="1" customHeight="1" s="278">
      <c r="A335" s="76" t="n"/>
      <c r="B335" s="532" t="n"/>
      <c r="C335" s="161" t="n"/>
      <c r="D335" s="161" t="n"/>
      <c r="E335" s="109" t="n"/>
      <c r="F335" s="507" t="n"/>
      <c r="G335" s="507" t="n"/>
      <c r="H335" s="507" t="n"/>
      <c r="I335" s="109" t="n"/>
      <c r="J335" s="109" t="n"/>
    </row>
    <row r="336" ht="15" customFormat="1" customHeight="1" s="278">
      <c r="A336" s="76" t="n"/>
      <c r="B336" s="532" t="n"/>
      <c r="C336" s="161" t="n"/>
      <c r="D336" s="161" t="n"/>
      <c r="E336" s="109" t="n"/>
      <c r="F336" s="507" t="n"/>
      <c r="G336" s="507" t="n"/>
      <c r="H336" s="507" t="n"/>
      <c r="I336" s="109" t="n"/>
      <c r="J336" s="109" t="n"/>
    </row>
    <row r="337" ht="15" customFormat="1" customHeight="1" s="278">
      <c r="A337" s="76" t="n"/>
      <c r="B337" s="532" t="n"/>
      <c r="C337" s="161" t="n"/>
      <c r="D337" s="161" t="n"/>
      <c r="E337" s="109" t="n"/>
      <c r="F337" s="507" t="n"/>
      <c r="G337" s="507" t="n"/>
      <c r="H337" s="507" t="n"/>
      <c r="I337" s="109" t="n"/>
      <c r="J337" s="109" t="n"/>
    </row>
    <row r="338" ht="15.9" customFormat="1" customHeight="1" s="278">
      <c r="A338" s="109" t="n"/>
      <c r="B338" s="63" t="n"/>
      <c r="C338" s="93" t="n"/>
      <c r="D338" s="161" t="n"/>
      <c r="E338" s="109" t="n"/>
      <c r="F338" s="507" t="n"/>
      <c r="H338" s="507" t="n"/>
      <c r="I338" s="109" t="n"/>
      <c r="J338" s="109" t="n"/>
    </row>
    <row r="339" ht="15.9" customFormat="1" customHeight="1" s="278">
      <c r="A339" s="72" t="n"/>
      <c r="B339" s="109" t="n"/>
      <c r="C339" s="161" t="n"/>
      <c r="D339" s="161" t="n"/>
      <c r="E339" s="109" t="n"/>
      <c r="F339" s="37" t="n"/>
      <c r="G339" s="278" t="n"/>
      <c r="H339" s="109" t="n"/>
      <c r="I339" s="109" t="n"/>
      <c r="J339" s="109" t="n"/>
    </row>
    <row r="340" ht="15.9" customFormat="1" customHeight="1" s="278">
      <c r="A340" s="44" t="n"/>
      <c r="C340" s="43" t="n"/>
      <c r="D340" s="161" t="n"/>
      <c r="E340" s="109" t="n"/>
      <c r="F340" s="109" t="n"/>
      <c r="G340" s="109" t="n"/>
      <c r="H340" s="109" t="n"/>
      <c r="I340" s="44" t="n"/>
      <c r="J340" s="119" t="n"/>
    </row>
    <row r="341" ht="15.9" customFormat="1" customHeight="1" s="278">
      <c r="A341" s="40" t="n"/>
      <c r="C341" s="44" t="n"/>
      <c r="D341" s="84" t="n"/>
      <c r="E341" s="44" t="n"/>
      <c r="F341" s="44" t="n"/>
      <c r="G341" s="44" t="n"/>
      <c r="H341" s="44" t="n"/>
      <c r="I341" s="32" t="n"/>
      <c r="J341" s="40" t="n"/>
    </row>
    <row r="342" ht="15.9" customFormat="1" customHeight="1" s="278">
      <c r="A342" s="109" t="n"/>
      <c r="C342" s="161" t="n"/>
      <c r="D342" s="85" t="n"/>
      <c r="E342" s="40" t="n"/>
      <c r="F342" s="32" t="n"/>
      <c r="G342" s="40" t="n"/>
      <c r="H342" s="32" t="n"/>
      <c r="I342" s="501" t="n"/>
      <c r="J342" s="501" t="n"/>
    </row>
    <row r="343" ht="15.9" customFormat="1" customHeight="1" s="278">
      <c r="A343" s="109" t="n"/>
      <c r="C343" s="163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162" t="n"/>
      <c r="J344" s="162" t="n"/>
    </row>
    <row r="345" ht="15.9" customFormat="1" customHeight="1" s="278">
      <c r="A345" s="109" t="n"/>
      <c r="B345" s="278" t="n"/>
      <c r="C345" s="44" t="n"/>
      <c r="D345" s="161" t="n"/>
      <c r="E345" s="109" t="n"/>
      <c r="F345" s="161" t="n"/>
      <c r="G345" s="109" t="n"/>
      <c r="H345" s="162" t="n"/>
      <c r="I345" s="161" t="n"/>
      <c r="J345" s="161" t="n"/>
    </row>
    <row r="346" ht="15.9" customFormat="1" customHeight="1" s="278">
      <c r="A346" s="109" t="n"/>
      <c r="B346" s="278" t="n"/>
      <c r="C346" s="93" t="n"/>
      <c r="D346" s="161" t="n"/>
      <c r="E346" s="109" t="n"/>
      <c r="F346" s="161" t="n"/>
      <c r="G346" s="109" t="n"/>
      <c r="H346" s="161" t="n"/>
      <c r="I346" s="161" t="n"/>
      <c r="J346" s="161" t="n"/>
    </row>
    <row r="347" ht="15.9" customFormat="1" customHeight="1" s="278">
      <c r="A347" s="109" t="n"/>
      <c r="B347" s="278" t="n"/>
      <c r="C347" s="163" t="n"/>
      <c r="D347" s="161" t="n"/>
      <c r="E347" s="109" t="n"/>
      <c r="F347" s="161" t="n"/>
      <c r="G347" s="109" t="n"/>
      <c r="H347" s="161" t="n"/>
      <c r="I347" s="109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278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44" t="n"/>
      <c r="D352" s="161" t="n"/>
      <c r="E352" s="109" t="n"/>
      <c r="F352" s="161" t="n"/>
      <c r="G352" s="109" t="n"/>
      <c r="H352" s="109" t="n"/>
      <c r="I352" s="501" t="n"/>
      <c r="J352" s="501" t="n"/>
    </row>
    <row r="353" ht="15.9" customFormat="1" customHeight="1" s="278">
      <c r="A353" s="109" t="n"/>
      <c r="B353" s="278" t="n"/>
      <c r="C353" s="161" t="n"/>
      <c r="D353" s="161" t="n"/>
      <c r="E353" s="109" t="n"/>
      <c r="F353" s="161" t="n"/>
      <c r="G353" s="109" t="n"/>
      <c r="H353" s="109" t="n"/>
      <c r="I353" s="501" t="n"/>
      <c r="J353" s="501" t="n"/>
    </row>
    <row r="354" ht="15.9" customFormat="1" customHeight="1" s="278">
      <c r="A354" s="109" t="n"/>
      <c r="B354" s="278" t="n"/>
      <c r="C354" s="163" t="n"/>
      <c r="D354" s="161" t="n"/>
      <c r="E354" s="109" t="n"/>
      <c r="F354" s="161" t="n"/>
      <c r="G354" s="109" t="n"/>
      <c r="H354" s="109" t="n"/>
      <c r="I354" s="109" t="n"/>
      <c r="J354" s="501" t="n"/>
    </row>
    <row r="355" ht="15.9" customFormat="1" customHeight="1" s="278">
      <c r="A355" s="109" t="n"/>
      <c r="B355" s="278" t="n"/>
      <c r="C355" s="161" t="n"/>
      <c r="D355" s="161" t="n"/>
      <c r="E355" s="109" t="n"/>
      <c r="F355" s="161" t="n"/>
      <c r="G355" s="109" t="n"/>
      <c r="H355" s="109" t="n"/>
      <c r="I355" s="501" t="n"/>
      <c r="J355" s="501" t="n"/>
    </row>
    <row r="356" ht="15.9" customFormat="1" customHeight="1" s="278">
      <c r="A356" s="109" t="n"/>
      <c r="B356" s="278" t="n"/>
      <c r="C356" s="278" t="n"/>
      <c r="D356" s="161" t="n"/>
      <c r="E356" s="109" t="n"/>
      <c r="F356" s="109" t="n"/>
      <c r="G356" s="109" t="n"/>
      <c r="H356" s="109" t="n"/>
      <c r="I356" s="501" t="n"/>
      <c r="J356" s="501" t="n"/>
    </row>
    <row r="357" ht="15" customFormat="1" customHeight="1" s="278">
      <c r="A357" s="109" t="n"/>
      <c r="B357" s="278" t="n"/>
      <c r="C357" s="278" t="n"/>
      <c r="D357" s="161" t="n"/>
      <c r="E357" s="109" t="n"/>
      <c r="F357" s="109" t="n"/>
      <c r="G357" s="109" t="n"/>
      <c r="H357" s="107" t="n"/>
      <c r="I357" s="501" t="n"/>
      <c r="J357" s="501" t="n"/>
    </row>
    <row r="358" ht="15.9" customFormat="1" customHeight="1" s="23">
      <c r="A358" s="109" t="n"/>
      <c r="B358" s="278" t="n"/>
      <c r="C358" s="278" t="n"/>
      <c r="D358" s="161" t="n"/>
      <c r="E358" s="109" t="n"/>
      <c r="F358" s="109" t="n"/>
      <c r="G358" s="109" t="n"/>
      <c r="H358" s="109" t="n"/>
      <c r="I358" s="109" t="n"/>
      <c r="J358" s="109" t="n"/>
    </row>
    <row r="359" ht="15.9" customFormat="1" customHeight="1" s="278">
      <c r="A359" s="44" t="n"/>
      <c r="B359" s="278" t="n"/>
      <c r="C359" s="278" t="n"/>
      <c r="D359" s="161" t="n"/>
      <c r="E359" s="109" t="n"/>
      <c r="F359" s="109" t="n"/>
      <c r="G359" s="109" t="n"/>
      <c r="H359" s="109" t="n"/>
      <c r="I359" s="44" t="n"/>
      <c r="J359" s="119" t="n"/>
    </row>
    <row r="360" ht="15.9" customFormat="1" customHeight="1" s="278">
      <c r="A360" s="40" t="n"/>
      <c r="B360" s="44" t="n"/>
      <c r="C360" s="44" t="n"/>
      <c r="D360" s="84" t="n"/>
      <c r="E360" s="44" t="n"/>
      <c r="F360" s="44" t="n"/>
      <c r="G360" s="44" t="n"/>
      <c r="H360" s="44" t="n"/>
      <c r="I360" s="32" t="n"/>
      <c r="J360" s="40" t="n"/>
    </row>
    <row r="361" ht="15.9" customFormat="1" customHeight="1" s="278">
      <c r="A361" s="27" t="n"/>
      <c r="B361" s="40" t="n"/>
      <c r="C361" s="44" t="n"/>
      <c r="D361" s="85" t="n"/>
      <c r="E361" s="40" t="n"/>
      <c r="F361" s="32" t="n"/>
      <c r="G361" s="40" t="n"/>
      <c r="H361" s="32" t="n"/>
      <c r="I361" s="501" t="n"/>
      <c r="J361" s="501" t="n"/>
    </row>
    <row r="362" ht="15.9" customFormat="1" customHeight="1" s="278">
      <c r="A362" s="27" t="n"/>
      <c r="B362" s="278" t="n"/>
      <c r="C362" s="93" t="n"/>
      <c r="D362" s="161" t="n"/>
      <c r="E362" s="109" t="n"/>
      <c r="F362" s="109" t="n"/>
      <c r="G362" s="109" t="n"/>
      <c r="H362" s="93" t="n"/>
      <c r="I362" s="163" t="n"/>
      <c r="J362" s="163" t="n"/>
    </row>
    <row r="363" ht="15.9" customFormat="1" customHeight="1" s="278">
      <c r="A363" s="27" t="n"/>
      <c r="B363" s="278" t="n"/>
      <c r="C363" s="163" t="n"/>
      <c r="D363" s="161" t="n"/>
      <c r="E363" s="109" t="n"/>
      <c r="F363" s="109" t="n"/>
      <c r="G363" s="109" t="n"/>
      <c r="H363" s="163" t="n"/>
      <c r="I363" s="161" t="n"/>
      <c r="J363" s="16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61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87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161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D376" s="161" t="n"/>
      <c r="E376" s="109" t="n"/>
      <c r="F376" s="109" t="n"/>
      <c r="G376" s="278" t="n"/>
      <c r="H376" s="278" t="n"/>
      <c r="I376" s="501" t="n"/>
      <c r="J376" s="501" t="n"/>
    </row>
    <row r="377" ht="15.9" customFormat="1" customHeight="1" s="278">
      <c r="A377" s="27" t="n"/>
      <c r="B377" s="278" t="n"/>
      <c r="C377" s="278" t="n"/>
      <c r="D377" s="161" t="n"/>
      <c r="E377" s="109" t="n"/>
      <c r="F377" s="109" t="n"/>
      <c r="G377" s="109" t="n"/>
      <c r="H377" s="109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09" t="n"/>
      <c r="I378" s="501" t="n"/>
      <c r="J378" s="501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09" t="n"/>
      <c r="I379" s="501" t="n"/>
      <c r="J379" s="50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93" t="n"/>
      <c r="I380" s="163" t="n"/>
      <c r="J380" s="163" t="n"/>
    </row>
    <row r="381" ht="15.9" customFormat="1" customHeight="1" s="278">
      <c r="A381" s="27" t="n"/>
      <c r="B381" s="278" t="n"/>
      <c r="C381" s="63" t="n"/>
      <c r="D381" s="161" t="n"/>
      <c r="E381" s="109" t="n"/>
      <c r="F381" s="109" t="n"/>
      <c r="G381" s="109" t="n"/>
      <c r="H381" s="163" t="n"/>
      <c r="I381" s="161" t="n"/>
      <c r="J381" s="161" t="n"/>
    </row>
    <row r="382" ht="15.9" customFormat="1" customHeight="1" s="278">
      <c r="A382" s="27" t="n"/>
      <c r="B382" s="278" t="n"/>
      <c r="C382" s="287" t="n"/>
      <c r="D382" s="161" t="n"/>
      <c r="E382" s="109" t="n"/>
      <c r="F382" s="109" t="n"/>
      <c r="G382" s="109" t="n"/>
      <c r="H382" s="161" t="n"/>
      <c r="I382" s="501" t="n"/>
      <c r="J382" s="501" t="n"/>
    </row>
    <row r="383" ht="15.9" customFormat="1" customHeight="1" s="278">
      <c r="A383" s="27" t="n"/>
      <c r="B383" s="278" t="n"/>
      <c r="C383" s="161" t="n"/>
      <c r="D383" s="161" t="n"/>
      <c r="E383" s="109" t="n"/>
      <c r="F383" s="109" t="n"/>
      <c r="G383" s="109" t="n"/>
      <c r="H383" s="93" t="n"/>
      <c r="I383" s="163" t="n"/>
      <c r="J383" s="163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63" t="n"/>
      <c r="I384" s="161" t="n"/>
      <c r="J384" s="16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61" t="n"/>
      <c r="I385" s="501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501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501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09" t="n"/>
      <c r="J388" s="501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09" t="n"/>
      <c r="I389" s="109" t="n"/>
      <c r="J389" s="501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109" t="n"/>
      <c r="I390" s="109" t="n"/>
      <c r="J390" s="501" t="n"/>
    </row>
    <row r="391" ht="15.9" customFormat="1" customHeight="1" s="278">
      <c r="A391" s="27" t="n"/>
      <c r="B391" s="278" t="n"/>
      <c r="C391" s="278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164" t="n"/>
      <c r="J392" s="164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64" t="n"/>
      <c r="I393" s="302" t="n"/>
      <c r="J393" s="302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302" t="n"/>
      <c r="I394" s="161" t="n"/>
      <c r="J394" s="161" t="n"/>
    </row>
    <row r="395" ht="15.9" customFormat="1" customHeight="1" s="278">
      <c r="A395" s="27" t="n"/>
      <c r="B395" s="278" t="n"/>
      <c r="C395" s="63" t="n"/>
      <c r="D395" s="161" t="n"/>
      <c r="E395" s="109" t="n"/>
      <c r="F395" s="109" t="n"/>
      <c r="G395" s="109" t="n"/>
      <c r="H395" s="161" t="n"/>
      <c r="I395" s="501" t="n"/>
      <c r="J395" s="501" t="n"/>
    </row>
    <row r="396" ht="15.9" customFormat="1" customHeight="1" s="278">
      <c r="A396" s="27" t="n"/>
      <c r="B396" s="278" t="n"/>
      <c r="C396" s="287" t="n"/>
      <c r="D396" s="161" t="n"/>
      <c r="E396" s="109" t="n"/>
      <c r="F396" s="109" t="n"/>
      <c r="G396" s="109" t="n"/>
      <c r="H396" s="109" t="n"/>
      <c r="I396" s="109" t="n"/>
      <c r="J396" s="501" t="n"/>
    </row>
    <row r="397" ht="15.9" customFormat="1" customHeight="1" s="278">
      <c r="A397" s="27" t="n"/>
      <c r="B397" s="278" t="n"/>
      <c r="C397" s="161" t="n"/>
      <c r="D397" s="161" t="n"/>
      <c r="E397" s="109" t="n"/>
      <c r="F397" s="109" t="n"/>
      <c r="G397" s="109" t="n"/>
      <c r="H397" s="109" t="n"/>
      <c r="I397" s="501" t="n"/>
      <c r="J397" s="501" t="n"/>
    </row>
    <row r="398" ht="15.9" customFormat="1" customHeight="1" s="278">
      <c r="A398" s="27" t="n"/>
      <c r="B398" s="278" t="n"/>
      <c r="C398" s="278" t="n"/>
      <c r="D398" s="161" t="n"/>
      <c r="E398" s="109" t="n"/>
      <c r="F398" s="109" t="n"/>
      <c r="G398" s="109" t="n"/>
      <c r="H398" s="109" t="n"/>
      <c r="I398" s="501" t="n"/>
      <c r="J398" s="501" t="n"/>
    </row>
    <row r="399" ht="15.9" customFormat="1" customHeight="1" s="278">
      <c r="A399" s="27" t="n"/>
      <c r="B399" s="278" t="n"/>
      <c r="C399" s="278" t="n"/>
      <c r="D399" s="161" t="n"/>
      <c r="E399" s="109" t="n"/>
      <c r="F399" s="109" t="n"/>
      <c r="G399" s="109" t="n"/>
      <c r="H399" s="109" t="n"/>
      <c r="I399" s="501" t="n"/>
      <c r="J399" s="501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101" t="n"/>
      <c r="B406" s="278" t="n"/>
      <c r="C406" s="278" t="n"/>
      <c r="D406" s="161" t="n"/>
      <c r="E406" s="109" t="n"/>
      <c r="F406" s="109" t="n"/>
      <c r="G406" s="109" t="n"/>
      <c r="H406" s="109" t="n"/>
      <c r="I406" s="109" t="n"/>
      <c r="J406" s="109" t="n"/>
    </row>
    <row r="407" ht="15.9" customFormat="1" customHeight="1" s="278">
      <c r="A407" s="101" t="n"/>
      <c r="B407" s="278" t="n"/>
      <c r="C407" s="278" t="n"/>
      <c r="D407" s="161" t="n"/>
      <c r="E407" s="109" t="n"/>
      <c r="F407" s="109" t="n"/>
      <c r="G407" s="109" t="n"/>
      <c r="H407" s="109" t="n"/>
      <c r="I407" s="109" t="n"/>
      <c r="J407" s="109" t="n"/>
    </row>
    <row r="408" ht="15.9" customFormat="1" customHeight="1" s="23">
      <c r="A408" s="101" t="n"/>
      <c r="B408" s="278" t="n"/>
      <c r="C408" s="278" t="n"/>
      <c r="D408" s="161" t="n"/>
      <c r="E408" s="109" t="n"/>
      <c r="F408" s="109" t="n"/>
      <c r="G408" s="109" t="n"/>
      <c r="H408" s="109" t="n"/>
      <c r="I408" s="109" t="n"/>
      <c r="J408" s="109" t="n"/>
    </row>
    <row r="409" ht="15.9" customFormat="1" customHeight="1" s="278">
      <c r="A409" s="44" t="n"/>
      <c r="B409" s="278" t="n"/>
      <c r="C409" s="278" t="n"/>
      <c r="D409" s="161" t="n"/>
      <c r="E409" s="109" t="n"/>
      <c r="F409" s="109" t="n"/>
      <c r="G409" s="109" t="n"/>
      <c r="H409" s="109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5)/6)-13</t>
        </is>
      </c>
      <c r="I520" s="124">
        <f>(($J$126-185-(113.25*5))/6)-13</f>
        <v/>
      </c>
      <c r="J520" s="151">
        <f>$J$120*6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A131:J131"/>
    <mergeCell ref="D121:G121"/>
    <mergeCell ref="H161:H162"/>
    <mergeCell ref="I154:J154"/>
    <mergeCell ref="D129:G129"/>
    <mergeCell ref="D123:G123"/>
    <mergeCell ref="I166:J167"/>
    <mergeCell ref="J123:J124"/>
    <mergeCell ref="A117:J117"/>
    <mergeCell ref="I156:J156"/>
    <mergeCell ref="A173:J173"/>
    <mergeCell ref="A518:J518"/>
    <mergeCell ref="A320:J320"/>
    <mergeCell ref="H159:H160"/>
    <mergeCell ref="F331:G331"/>
    <mergeCell ref="H169:H170"/>
    <mergeCell ref="H120:I121"/>
    <mergeCell ref="D163:D168"/>
    <mergeCell ref="D119:G119"/>
    <mergeCell ref="F330:G330"/>
    <mergeCell ref="H163:H168"/>
    <mergeCell ref="H126:I127"/>
    <mergeCell ref="D171:D172"/>
    <mergeCell ref="I155:J155"/>
    <mergeCell ref="I161:J161"/>
    <mergeCell ref="A6:J6"/>
    <mergeCell ref="D161:D162"/>
    <mergeCell ref="A427:J427"/>
    <mergeCell ref="J120:J121"/>
    <mergeCell ref="I157:J157"/>
    <mergeCell ref="F338:G338"/>
    <mergeCell ref="H123:I124"/>
    <mergeCell ref="A125:B125"/>
    <mergeCell ref="J126:J127"/>
    <mergeCell ref="D159:D160"/>
    <mergeCell ref="D169:D170"/>
    <mergeCell ref="F520:G520"/>
    <mergeCell ref="I159:J160"/>
    <mergeCell ref="D125:G125"/>
    <mergeCell ref="C309:E309"/>
    <mergeCell ref="A213:J213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$O$175:$O$194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X528"/>
  <sheetViews>
    <sheetView showGridLines="0" view="pageBreakPreview" topLeftCell="A119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(3L3R)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FG-240-6P3L3R-01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8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4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Mill Finish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2700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inlineStr">
        <is>
          <t>P1</t>
        </is>
      </c>
      <c r="J125" s="109" t="inlineStr">
        <is>
          <t>P2</t>
        </is>
      </c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I126" s="366" t="n">
        <v>600</v>
      </c>
      <c r="J126" s="372">
        <f>$I$143-($I$126*2)</f>
        <v/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H128" s="519" t="inlineStr">
        <is>
          <t>Width
ความกว้าง</t>
        </is>
      </c>
      <c r="J128" s="366" t="n">
        <v>4600</v>
      </c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J129" s="640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$J$128-60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36</v>
      </c>
      <c r="U133" s="283" t="inlineStr">
        <is>
          <t>(W-185-(113.25 × 5))/6</t>
        </is>
      </c>
      <c r="V133" s="307">
        <f>($J$128-185-(113.25*5))/6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$J$128-86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36</v>
      </c>
      <c r="U134" s="143" t="inlineStr">
        <is>
          <t>(W-185-(113.25 × 5))/6</t>
        </is>
      </c>
      <c r="V134" s="307">
        <f>($J$128-185-(113.25*5))/6</f>
        <v/>
      </c>
      <c r="W134" s="286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$J$128-60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36</v>
      </c>
      <c r="U135" s="240" t="inlineStr">
        <is>
          <t>(W-185-(113.25 × 5))/6</t>
        </is>
      </c>
      <c r="V135" s="307">
        <f>($J$128-185-(113.25*5))/6</f>
        <v/>
      </c>
      <c r="W135" s="286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$J$128-60</f>
        <v/>
      </c>
      <c r="J136" s="131">
        <f>$J$120*G136</f>
        <v/>
      </c>
      <c r="N136" s="101" t="inlineStr">
        <is>
          <t>P1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 P1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24</v>
      </c>
      <c r="U136" s="213" t="inlineStr">
        <is>
          <t>SASH -P1-P2-112.5</t>
        </is>
      </c>
      <c r="V136" s="307">
        <f>$I$143-$I$126-$J$126-112.5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 P1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24</v>
      </c>
      <c r="U137" s="213" t="inlineStr">
        <is>
          <t>SASH -P1-P2-112.5</t>
        </is>
      </c>
      <c r="V137" s="307">
        <f>$I$143-$I$126-$J$126-112.5</f>
        <v/>
      </c>
      <c r="W137" s="286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 P1</t>
        </is>
      </c>
      <c r="Q138" s="141" t="inlineStr">
        <is>
          <t>B24013</t>
        </is>
      </c>
      <c r="R138" s="240" t="n">
        <v>0.169</v>
      </c>
      <c r="S138" s="142" t="inlineStr">
        <is>
          <t>B24013-001</t>
        </is>
      </c>
      <c r="T138" s="240" t="n">
        <v>24</v>
      </c>
      <c r="U138" s="213" t="inlineStr">
        <is>
          <t>SASH -P1-P2-112.5</t>
        </is>
      </c>
      <c r="V138" s="307">
        <f>$I$143-$I$126-$J$126-112.5</f>
        <v/>
      </c>
      <c r="W138" s="286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101" t="inlineStr">
        <is>
          <t>P2</t>
        </is>
      </c>
      <c r="O139" s="281" t="inlineStr">
        <is>
          <t>5-6mm คิ้วตบกระจกแนวตั้ง</t>
        </is>
      </c>
      <c r="P139" s="281" t="inlineStr">
        <is>
          <t>5-6mm GLAZING BEAD VERTICAL P2</t>
        </is>
      </c>
      <c r="Q139" s="284" t="inlineStr">
        <is>
          <t>B24008</t>
        </is>
      </c>
      <c r="R139" s="283" t="n">
        <v>0.231</v>
      </c>
      <c r="S139" s="284" t="inlineStr">
        <is>
          <t>B24008-002</t>
        </is>
      </c>
      <c r="T139" s="283" t="n">
        <v>12</v>
      </c>
      <c r="U139" s="283" t="inlineStr">
        <is>
          <t>SASH -(2P1)-75</t>
        </is>
      </c>
      <c r="V139" s="307">
        <f>$I$143-($I$126*2)-75</f>
        <v/>
      </c>
      <c r="W139" s="286">
        <f>$J$120*T139</f>
        <v/>
      </c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  <c r="O140" s="140" t="inlineStr">
        <is>
          <t>8-12mm คิ้วตบกระจกแนวตั้ง</t>
        </is>
      </c>
      <c r="P140" s="140" t="inlineStr">
        <is>
          <t>8-12mm GLAZING BEAD VERTICAL P2</t>
        </is>
      </c>
      <c r="Q140" s="140" t="inlineStr">
        <is>
          <t>B24016</t>
        </is>
      </c>
      <c r="R140" s="143" t="n">
        <v>0.215</v>
      </c>
      <c r="S140" s="140" t="inlineStr">
        <is>
          <t>B24016-002</t>
        </is>
      </c>
      <c r="T140" s="143" t="n">
        <v>12</v>
      </c>
      <c r="U140" s="283" t="inlineStr">
        <is>
          <t>SASH -(2P1)-75</t>
        </is>
      </c>
      <c r="V140" s="307">
        <f>$I$143-($I$126*2)-75</f>
        <v/>
      </c>
      <c r="W140" s="286">
        <f>$J$120*T140</f>
        <v/>
      </c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 (W-60-(6+1)×4)/6</t>
        </is>
      </c>
      <c r="I141" s="178">
        <f>($J$128-60-(6+1)*4)/6</f>
        <v/>
      </c>
      <c r="J141" s="131">
        <f>$J$120*G141</f>
        <v/>
      </c>
      <c r="N141" s="287" t="n"/>
      <c r="O141" s="142" t="inlineStr">
        <is>
          <t>14-22mm คิ้วตบกระจกแนวตั้ง</t>
        </is>
      </c>
      <c r="P141" s="142" t="inlineStr">
        <is>
          <t>14-22mm GLAZING BEAD VERTICAL P2</t>
        </is>
      </c>
      <c r="Q141" s="141" t="inlineStr">
        <is>
          <t>B24013</t>
        </is>
      </c>
      <c r="R141" s="240" t="n">
        <v>0.169</v>
      </c>
      <c r="S141" s="142" t="inlineStr">
        <is>
          <t>B24013-001</t>
        </is>
      </c>
      <c r="T141" s="240" t="n">
        <v>12</v>
      </c>
      <c r="U141" s="213" t="inlineStr">
        <is>
          <t>SASH -(2P1)-75</t>
        </is>
      </c>
      <c r="V141" s="367">
        <f>$I$143-($I$126*2)-75</f>
        <v/>
      </c>
      <c r="W141" s="373">
        <f>$J$120*T141</f>
        <v/>
      </c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 (W-60-(6+1)×4)/6</t>
        </is>
      </c>
      <c r="I142" s="178">
        <f>($J$128-60-(6+1)*4)/6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44">
        <f>IF($D$127=5,W133,IF($D$127=6,W133,IF($D$127=8,W134,IF($D$127=10,W134,IF($D$127=12,W134,IF($D$127=14,W135,IF($D$127=18,W135,IF($D$127=20,W135,IF($D$127=22,W135,)))))))))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44">
        <f>IF($D$127=5,W136,IF($D$127=6,W136,IF($D$127=8,W137,IF($D$127=10,W137,IF($D$127=12,W137,IF($D$127=14,W138,IF($D$127=18,W138,IF($D$127=20,W138,IF($D$127=22,W138,)))))))))</f>
        <v/>
      </c>
      <c r="N148" s="287" t="n"/>
    </row>
    <row r="149" ht="18" customFormat="1" customHeight="1" s="278">
      <c r="A149" s="143">
        <f>IF(B149="","",+A148+1)</f>
        <v/>
      </c>
      <c r="B149" s="140">
        <f>IF($D$127=5,O139,IF($D$127=6,O139,IF($D$127=8,O140,IF($D$127=10,O140,IF($D$127=12,O140,IF($D$127=14,O141,IF($D$127=18,O141,IF($D$127=20,O141,IF($D$127=22,O141,)))))))))</f>
        <v/>
      </c>
      <c r="C149" s="140">
        <f>IF($D$127=5,P139,IF($D$127=6,P139,IF($D$127=8,P140,IF($D$127=10,P140,IF($D$127=12,P140,IF($D$127=14,P141,IF($D$127=18,P141,IF($D$127=20,P141,IF($D$127=22,P141,)))))))))</f>
        <v/>
      </c>
      <c r="D149" s="140">
        <f>IF($D$127=5,Q139,IF($D$127=6,Q139,IF($D$127=8,Q140,IF($D$127=10,Q140,IF($D$127=12,Q140,IF($D$127=14,Q141,IF($D$127=18,Q141,IF($D$127=20,Q141,IF($D$127=22,Q141,)))))))))</f>
        <v/>
      </c>
      <c r="E149" s="140">
        <f>IF($D$127=5,R139,IF($D$127=6,R139,IF($D$127=8,R140,IF($D$127=10,R140,IF($D$127=12,R140,IF($D$127=14,R141,IF($D$127=18,R141,IF($D$127=20,R141,IF($D$127=22,R141,)))))))))</f>
        <v/>
      </c>
      <c r="F149" s="140">
        <f>IF($D$127=5,S139,IF($D$127=6,S139,IF($D$127=8,S140,IF($D$127=10,S140,IF($D$127=12,S140,IF($D$127=14,S141,IF($D$127=18,S141,IF($D$127=20,S141,IF($D$127=22,S141,)))))))))</f>
        <v/>
      </c>
      <c r="G149" s="143">
        <f>IF($D$127=5,T139,IF($D$127=6,T139,IF($D$127=8,T140,IF($D$127=10,T140,IF($D$127=12,T140,IF($D$127=14,T141,IF($D$127=18,T141,IF($D$127=20,T141,IF($D$127=22,T141,)))))))))</f>
        <v/>
      </c>
      <c r="H149" s="143">
        <f>IF($D$127=5,U139,IF($D$127=6,U139,IF($D$127=8,U140,IF($D$127=10,U140,IF($D$127=12,U140,IF($D$127=14,U141,IF($D$127=18,U141,IF($D$127=20,U141,IF($D$127=22,U141,)))))))))</f>
        <v/>
      </c>
      <c r="I149" s="144">
        <f>IF($D$127=5,V139,IF($D$127=6,V139,IF($D$127=8,V140,IF($D$127=10,V140,IF($D$127=12,V140,IF($D$127=14,V141,IF($D$127=18,V141,IF($D$127=20,V141,IF($D$127=22,V141,)))))))))</f>
        <v/>
      </c>
      <c r="J149" s="144">
        <f>IF($D$127=5,W139,IF($D$127=6,W139,IF($D$127=8,W140,IF($D$127=10,W140,IF($D$127=12,W140,IF($D$127=14,W141,IF($D$127=18,W141,IF($D$127=20,W141,IF($D$127=22,W141,)))))))))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ตัวแบ่งบาน</t>
        </is>
      </c>
      <c r="C150" s="140" t="inlineStr">
        <is>
          <t>Door Middle</t>
        </is>
      </c>
      <c r="D150" s="139" t="inlineStr">
        <is>
          <t>B25006</t>
        </is>
      </c>
      <c r="E150" s="143" t="n">
        <v>0.9320000000000001</v>
      </c>
      <c r="F150" s="139" t="inlineStr">
        <is>
          <t>B25006-001</t>
        </is>
      </c>
      <c r="G150" s="143" t="n">
        <v>12</v>
      </c>
      <c r="H150" s="143" t="inlineStr">
        <is>
          <t>(W-185-(113.25 × 5))/6</t>
        </is>
      </c>
      <c r="I150" s="178">
        <f>($J$128-185-(113.25*5))/6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inlineStr">
        <is>
          <t>บังใบ</t>
        </is>
      </c>
      <c r="C151" s="140" t="inlineStr">
        <is>
          <t>SASH STOP</t>
        </is>
      </c>
      <c r="D151" s="139" t="inlineStr">
        <is>
          <t>B24009</t>
        </is>
      </c>
      <c r="E151" s="143" t="n"/>
      <c r="F151" s="139" t="inlineStr">
        <is>
          <t>B24009-001</t>
        </is>
      </c>
      <c r="G151" s="143" t="n">
        <v>1</v>
      </c>
      <c r="H151" s="143" t="inlineStr">
        <is>
          <t>H-92</t>
        </is>
      </c>
      <c r="I151" s="130">
        <f>$J$123-92</f>
        <v/>
      </c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inlineStr">
        <is>
          <t>บังใบ</t>
        </is>
      </c>
      <c r="C152" s="140" t="inlineStr">
        <is>
          <t>SASH STOP</t>
        </is>
      </c>
      <c r="D152" s="139" t="inlineStr">
        <is>
          <t>B24009</t>
        </is>
      </c>
      <c r="E152" s="143" t="n"/>
      <c r="F152" s="139" t="inlineStr">
        <is>
          <t>B24009-002</t>
        </is>
      </c>
      <c r="G152" s="143" t="n">
        <v>1</v>
      </c>
      <c r="H152" s="143" t="inlineStr">
        <is>
          <t>H-92</t>
        </is>
      </c>
      <c r="I152" s="130">
        <f>$J$123-92</f>
        <v/>
      </c>
      <c r="J152" s="131">
        <f>$J$120*G152</f>
        <v/>
      </c>
      <c r="N152" s="287" t="n"/>
    </row>
    <row r="153" ht="18" customFormat="1" customHeight="1" s="278" thickBot="1">
      <c r="A153" s="143">
        <f>IF(B153="","",+A140+1)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ROUNDUP(((F169*G169)+(F170*G170)+(F171*G171))/6400,0)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4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6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25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outlineLevel="1" ht="13.8" customFormat="1" customHeight="1" s="278">
      <c r="A172" s="213">
        <f>IF(B172="","",+A171+1)</f>
        <v/>
      </c>
      <c r="B172" s="173">
        <f>B150</f>
        <v/>
      </c>
      <c r="C172" s="173">
        <f>C150</f>
        <v/>
      </c>
      <c r="D172" s="577">
        <f>VLOOKUP(C172,$C$133:$H$153,2,0)</f>
        <v/>
      </c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192">
        <f>ROUNDUP((F172*G172)/6400,0)</f>
        <v/>
      </c>
      <c r="I172" s="501" t="n"/>
      <c r="J172" s="501" t="n"/>
    </row>
    <row r="173" outlineLevel="1" ht="13.8" customFormat="1" customHeight="1" s="278">
      <c r="A173" s="213">
        <f>IF(B173="","",+A172+1)</f>
        <v/>
      </c>
      <c r="B173" s="173">
        <f>B151</f>
        <v/>
      </c>
      <c r="C173" s="173">
        <f>C151</f>
        <v/>
      </c>
      <c r="D173" s="647">
        <f>VLOOKUP(C173,$C$133:$H$153,2,0)</f>
        <v/>
      </c>
      <c r="E173" s="175">
        <f>VLOOKUP(C173,$C$133:$H$153,3,0)</f>
        <v/>
      </c>
      <c r="F173" s="353">
        <f>VLOOKUP(C173,$C$133:$I$153,7,0)</f>
        <v/>
      </c>
      <c r="G173" s="175">
        <f>VLOOKUP(C173,$C$133:$J$153,8,0)</f>
        <v/>
      </c>
      <c r="H173" s="516">
        <f>ROUNDUP(((F173*G173)+(F174*G174))/6400,0)</f>
        <v/>
      </c>
      <c r="I173" s="501" t="n"/>
      <c r="J173" s="501" t="n"/>
    </row>
    <row r="174" outlineLevel="1" customFormat="1" s="278" thickBot="1">
      <c r="A174" s="213">
        <f>IF(B174="","",+A173+1)</f>
        <v/>
      </c>
      <c r="B174" s="173">
        <f>B152</f>
        <v/>
      </c>
      <c r="C174" s="173">
        <f>C152</f>
        <v/>
      </c>
      <c r="D174" s="648" t="n"/>
      <c r="E174" s="175">
        <f>VLOOKUP(C174,$C$133:$H$153,3,0)</f>
        <v/>
      </c>
      <c r="F174" s="353">
        <f>VLOOKUP(C174,$C$133:$I$153,7,0)</f>
        <v/>
      </c>
      <c r="G174" s="175">
        <f>VLOOKUP(C174,$C$133:$J$153,8,0)</f>
        <v/>
      </c>
      <c r="H174" s="644" t="n"/>
      <c r="I174" s="501" t="n"/>
      <c r="J174" s="501" t="n"/>
    </row>
    <row r="175" ht="24.9" customFormat="1" customHeight="1" s="278" thickBot="1">
      <c r="A175" s="642" t="inlineStr">
        <is>
          <t>PARTS LIST HARDWARE &amp; ACCESSORIES</t>
        </is>
      </c>
      <c r="B175" s="634" t="n"/>
      <c r="C175" s="634" t="n"/>
      <c r="D175" s="634" t="n"/>
      <c r="E175" s="634" t="n"/>
      <c r="F175" s="634" t="n"/>
      <c r="G175" s="634" t="n"/>
      <c r="H175" s="634" t="n"/>
      <c r="I175" s="634" t="n"/>
      <c r="J175" s="635" t="n"/>
    </row>
    <row r="176" ht="35.1" customFormat="1" customHeight="1" s="278" thickBot="1">
      <c r="A176" s="102" t="inlineStr">
        <is>
          <t>ITEM</t>
        </is>
      </c>
      <c r="B176" s="103" t="inlineStr">
        <is>
          <t>THAI</t>
        </is>
      </c>
      <c r="C176" s="103" t="inlineStr">
        <is>
          <t>DESCRIPTION</t>
        </is>
      </c>
      <c r="D176" s="103" t="inlineStr">
        <is>
          <t>PART NO.</t>
        </is>
      </c>
      <c r="E176" s="103" t="inlineStr">
        <is>
          <t>KG/m</t>
        </is>
      </c>
      <c r="F176" s="104" t="inlineStr">
        <is>
          <t>DRAWING</t>
        </is>
      </c>
      <c r="G176" s="103" t="inlineStr">
        <is>
          <t>PER</t>
        </is>
      </c>
      <c r="H176" s="104" t="inlineStr">
        <is>
          <t>QUANTITY</t>
        </is>
      </c>
      <c r="I176" s="104" t="inlineStr">
        <is>
          <t>Pack QTY</t>
        </is>
      </c>
      <c r="J176" s="115" t="inlineStr">
        <is>
          <t>TOTAL</t>
        </is>
      </c>
      <c r="N176" s="101" t="inlineStr">
        <is>
          <t>Glass size</t>
        </is>
      </c>
      <c r="O176" s="246" t="inlineStr">
        <is>
          <t>THAI</t>
        </is>
      </c>
      <c r="P176" s="246" t="inlineStr">
        <is>
          <t>DESCRIPTION</t>
        </is>
      </c>
      <c r="Q176" s="246" t="inlineStr">
        <is>
          <t>PART NO.</t>
        </is>
      </c>
      <c r="R176" s="246" t="inlineStr">
        <is>
          <t>KG/m</t>
        </is>
      </c>
      <c r="S176" s="246" t="inlineStr">
        <is>
          <t>DRAWING</t>
        </is>
      </c>
      <c r="T176" s="246" t="inlineStr">
        <is>
          <t>PER</t>
        </is>
      </c>
      <c r="U176" s="246" t="inlineStr">
        <is>
          <t>QUANTITY</t>
        </is>
      </c>
      <c r="V176" s="246" t="inlineStr">
        <is>
          <t>Pack QTY</t>
        </is>
      </c>
      <c r="W176" s="246" t="inlineStr">
        <is>
          <t>TOTAL</t>
        </is>
      </c>
    </row>
    <row r="177" ht="18" customFormat="1" customHeight="1" s="278">
      <c r="A177" s="200">
        <f>IF(B177="","",1)</f>
        <v/>
      </c>
      <c r="B177" s="140" t="inlineStr">
        <is>
          <t>หมอนรองกระจก</t>
        </is>
      </c>
      <c r="C177" s="140" t="inlineStr">
        <is>
          <t>SETTING BLOCK</t>
        </is>
      </c>
      <c r="D177" s="139" t="inlineStr">
        <is>
          <t>02-037</t>
        </is>
      </c>
      <c r="E177" s="143" t="n"/>
      <c r="F177" s="143" t="inlineStr">
        <is>
          <t>02-037</t>
        </is>
      </c>
      <c r="G177" s="143" t="inlineStr">
        <is>
          <t>PC</t>
        </is>
      </c>
      <c r="H177" s="143" t="n">
        <v>12</v>
      </c>
      <c r="I177" s="130" t="n"/>
      <c r="J177" s="131">
        <f>$J$120*H177</f>
        <v/>
      </c>
      <c r="N177" s="101" t="inlineStr">
        <is>
          <t>5,6,18</t>
        </is>
      </c>
      <c r="O177" s="280" t="inlineStr">
        <is>
          <t>5,6,18 mm ยางรองกระจก</t>
        </is>
      </c>
      <c r="P177" s="415" t="inlineStr">
        <is>
          <t>5,6,18 mm CAPTIVE WEDGE</t>
        </is>
      </c>
      <c r="Q177" s="280" t="inlineStr">
        <is>
          <t>02-022</t>
        </is>
      </c>
      <c r="R177" s="213" t="n"/>
      <c r="S177" s="213" t="inlineStr">
        <is>
          <t>02-022</t>
        </is>
      </c>
      <c r="T177" s="213" t="inlineStr">
        <is>
          <t>M</t>
        </is>
      </c>
      <c r="U177" s="650">
        <f>((($I$141*$G$141)+($I$142*$G$142)+($I$143*$G$143)+($I$144*$G$144)+($I$145*$G$145)+($I$146*$G$146)+($I$150*$G$150*2))/1000)*$J$120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ประเก็นเฟรมบน</t>
        </is>
      </c>
      <c r="C178" s="140" t="inlineStr">
        <is>
          <t>FRAME SEAL BI-FOLD HEAD (L/R)</t>
        </is>
      </c>
      <c r="D178" s="139" t="inlineStr">
        <is>
          <t>02-015</t>
        </is>
      </c>
      <c r="E178" s="143" t="n"/>
      <c r="F178" s="143" t="inlineStr">
        <is>
          <t>02-015</t>
        </is>
      </c>
      <c r="G178" s="143" t="inlineStr">
        <is>
          <t>PC</t>
        </is>
      </c>
      <c r="H178" s="143" t="n">
        <v>2</v>
      </c>
      <c r="I178" s="130" t="n"/>
      <c r="J178" s="131">
        <f>$J$120*H178</f>
        <v/>
      </c>
      <c r="N178" s="101" t="inlineStr">
        <is>
          <t>12,20</t>
        </is>
      </c>
      <c r="O178" s="280" t="inlineStr">
        <is>
          <t>12,20 mm ยางรองกระจก</t>
        </is>
      </c>
      <c r="P178" s="415" t="inlineStr">
        <is>
          <t>12,20 mm CAPTIVE WEDGE</t>
        </is>
      </c>
      <c r="Q178" s="280" t="inlineStr">
        <is>
          <t>02-032</t>
        </is>
      </c>
      <c r="R178" s="213" t="n"/>
      <c r="S178" s="213" t="inlineStr">
        <is>
          <t>02-032</t>
        </is>
      </c>
      <c r="T178" s="213" t="inlineStr">
        <is>
          <t>M</t>
        </is>
      </c>
      <c r="U178" s="650">
        <f>((($I$141*$G$141)+($I$142*$G$142)+($I$143*$G$143)+($I$144*$G$144)+($I$145*$G$145)+($I$146*$G$146)+($I$150*$G$150*2))/1000)*$J$120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ประเก็นเฟรมล่าง</t>
        </is>
      </c>
      <c r="C179" s="140" t="inlineStr">
        <is>
          <t>FRAME SEAL BI-FOLD SILL (L/R)</t>
        </is>
      </c>
      <c r="D179" s="139" t="inlineStr">
        <is>
          <t>02-016</t>
        </is>
      </c>
      <c r="E179" s="143" t="n"/>
      <c r="F179" s="143" t="inlineStr">
        <is>
          <t>02-016</t>
        </is>
      </c>
      <c r="G179" s="143" t="inlineStr">
        <is>
          <t>PC</t>
        </is>
      </c>
      <c r="H179" s="143" t="n">
        <v>2</v>
      </c>
      <c r="I179" s="130" t="n"/>
      <c r="J179" s="131">
        <f>$J$120*H179</f>
        <v/>
      </c>
      <c r="N179" s="101" t="inlineStr">
        <is>
          <t>5,8,10,12,18</t>
        </is>
      </c>
      <c r="O179" s="415" t="inlineStr">
        <is>
          <t>5,8,10,12,18 mmยางอัดกระจก</t>
        </is>
      </c>
      <c r="P179" s="415" t="inlineStr">
        <is>
          <t>5,8,10,12,18 mm ROLL IN WEDGE</t>
        </is>
      </c>
      <c r="Q179" s="280" t="inlineStr">
        <is>
          <t>02-033</t>
        </is>
      </c>
      <c r="R179" s="213" t="n"/>
      <c r="S179" s="213" t="inlineStr">
        <is>
          <t>02-033</t>
        </is>
      </c>
      <c r="T179" s="213" t="inlineStr">
        <is>
          <t>M</t>
        </is>
      </c>
      <c r="U179" s="650">
        <f>((($I$141*$G$141)+($I$142*$G$142)+($I$143*$G$143)+($I$144*$G$144)+($I$145*$G$145)+($I$146*$G$146)+($I$150*$G$150*2))/1000)*$J$120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สกรู × 38</t>
        </is>
      </c>
      <c r="C180" s="140" t="inlineStr">
        <is>
          <t>#8x38 mm. SS PH SELF TAPPING SCREW</t>
        </is>
      </c>
      <c r="D180" s="139" t="n">
        <v>9</v>
      </c>
      <c r="E180" s="143" t="n"/>
      <c r="F180" s="143" t="n">
        <v>9</v>
      </c>
      <c r="G180" s="143" t="inlineStr">
        <is>
          <t>PC</t>
        </is>
      </c>
      <c r="H180" s="143" t="n">
        <v>8</v>
      </c>
      <c r="I180" s="130" t="n"/>
      <c r="J180" s="131">
        <f>$J$120*H180</f>
        <v/>
      </c>
      <c r="N180" s="101" t="inlineStr">
        <is>
          <t>6,20</t>
        </is>
      </c>
      <c r="O180" s="415" t="inlineStr">
        <is>
          <t>6,20 mm ยางอัดกระจก</t>
        </is>
      </c>
      <c r="P180" s="415" t="inlineStr">
        <is>
          <t>6,20 mm ROLL IN WEDGE</t>
        </is>
      </c>
      <c r="Q180" s="280" t="inlineStr">
        <is>
          <t>02-034</t>
        </is>
      </c>
      <c r="R180" s="213" t="n"/>
      <c r="S180" s="213" t="inlineStr">
        <is>
          <t>02-034</t>
        </is>
      </c>
      <c r="T180" s="213" t="inlineStr">
        <is>
          <t>M</t>
        </is>
      </c>
      <c r="U180" s="650">
        <f>((($I$141*$G$141)+($I$142*$G$142)+($I$143*$G$143)+($I$144*$G$144)+($I$145*$G$145)+($I$146*$G$146)+($I$150*$G$150*2))/1000)*$J$120</f>
        <v/>
      </c>
      <c r="V180" s="650" t="n">
        <v>100</v>
      </c>
      <c r="W180" s="651">
        <f>ROUNDUP((U180)/100,0)</f>
        <v/>
      </c>
    </row>
    <row r="181" ht="18" customFormat="1" customHeight="1" s="278">
      <c r="A181" s="201">
        <f>IF(B181="","",+A180+1)</f>
        <v/>
      </c>
      <c r="B181" s="140" t="inlineStr">
        <is>
          <t>สกรู × 12</t>
        </is>
      </c>
      <c r="C181" s="140" t="inlineStr">
        <is>
          <t>#8x12 mm. CSK SELF TAPPING SCREW</t>
        </is>
      </c>
      <c r="D181" s="139" t="n">
        <v>9</v>
      </c>
      <c r="E181" s="143" t="n"/>
      <c r="F181" s="143" t="n">
        <v>9</v>
      </c>
      <c r="G181" s="143" t="inlineStr">
        <is>
          <t>PC</t>
        </is>
      </c>
      <c r="H181" s="143" t="n">
        <v>110</v>
      </c>
      <c r="I181" s="130" t="n"/>
      <c r="J181" s="131">
        <f>$J$120*H181</f>
        <v/>
      </c>
      <c r="N181" s="101" t="inlineStr">
        <is>
          <t>8,14</t>
        </is>
      </c>
      <c r="O181" s="415" t="inlineStr">
        <is>
          <t>8,14 mm ยางอัดกระจก</t>
        </is>
      </c>
      <c r="P181" s="415" t="inlineStr">
        <is>
          <t>8,14 mm ROLL IN WEDGE</t>
        </is>
      </c>
      <c r="Q181" s="280" t="inlineStr">
        <is>
          <t>02-045</t>
        </is>
      </c>
      <c r="R181" s="213" t="n"/>
      <c r="S181" s="213" t="inlineStr">
        <is>
          <t>02-045</t>
        </is>
      </c>
      <c r="T181" s="213" t="inlineStr">
        <is>
          <t>M</t>
        </is>
      </c>
      <c r="U181" s="650">
        <f>((($I$141*$G$141)+($I$142*$G$142)+($I$143*$G$143)+($I$144*$G$144)+($I$145*$G$145)+($I$146*$G$146)+($I$150*$G$150*2))/1000)*$J$120</f>
        <v/>
      </c>
      <c r="V181" s="650" t="n">
        <v>100</v>
      </c>
      <c r="W181" s="651">
        <f>ROUNDUP((U181)/100,0)</f>
        <v/>
      </c>
    </row>
    <row r="182" ht="18" customFormat="1" customHeight="1" s="278">
      <c r="A182" s="201">
        <f>IF(B182="","",+A181+1)</f>
        <v/>
      </c>
      <c r="B182" s="140" t="inlineStr">
        <is>
          <t>ชุดบานพับต่างระดับมีมือจับ</t>
        </is>
      </c>
      <c r="C182" s="140" t="inlineStr">
        <is>
          <t>offset Hinge Handle Set</t>
        </is>
      </c>
      <c r="D182" s="139" t="inlineStr">
        <is>
          <t>05-005</t>
        </is>
      </c>
      <c r="E182" s="143" t="n"/>
      <c r="F182" s="143" t="inlineStr">
        <is>
          <t>05-005</t>
        </is>
      </c>
      <c r="G182" s="143" t="inlineStr">
        <is>
          <t>SET</t>
        </is>
      </c>
      <c r="H182" s="143" t="n">
        <v>2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ชุดล้อแขวนบานตายซ้าย</t>
        </is>
      </c>
      <c r="C183" s="140" t="inlineStr">
        <is>
          <t>Left Hand Pivot Set</t>
        </is>
      </c>
      <c r="D183" s="139" t="inlineStr">
        <is>
          <t>05-006</t>
        </is>
      </c>
      <c r="E183" s="143" t="n"/>
      <c r="F183" s="143" t="inlineStr">
        <is>
          <t>05-006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ชุดล้อแขวนบานตายขวา</t>
        </is>
      </c>
      <c r="C184" s="140" t="inlineStr">
        <is>
          <t>Right Hand Pivot Set</t>
        </is>
      </c>
      <c r="D184" s="139" t="inlineStr">
        <is>
          <t>05-007</t>
        </is>
      </c>
      <c r="E184" s="143" t="n"/>
      <c r="F184" s="143" t="inlineStr">
        <is>
          <t>05-007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</row>
    <row r="185" ht="18" customFormat="1" customHeight="1" s="278">
      <c r="A185" s="201">
        <f>IF(B185="","",+A184+1)</f>
        <v/>
      </c>
      <c r="B185" s="140" t="inlineStr">
        <is>
          <t>ชุดล้อแขวนบานกลาง</t>
        </is>
      </c>
      <c r="C185" s="140" t="inlineStr">
        <is>
          <t>Intermediate Carrier Set</t>
        </is>
      </c>
      <c r="D185" s="139" t="inlineStr">
        <is>
          <t>05-011</t>
        </is>
      </c>
      <c r="E185" s="143" t="n"/>
      <c r="F185" s="143" t="inlineStr">
        <is>
          <t>05-011</t>
        </is>
      </c>
      <c r="G185" s="143" t="inlineStr">
        <is>
          <t>SET</t>
        </is>
      </c>
      <c r="H185" s="143" t="n">
        <v>2</v>
      </c>
      <c r="I185" s="130" t="n"/>
      <c r="J185" s="131">
        <f>$J$120*H185</f>
        <v/>
      </c>
    </row>
    <row r="186" ht="18" customFormat="1" customHeight="1" s="278">
      <c r="A186" s="201">
        <f>IF(B186="","",+A185+1)</f>
        <v/>
      </c>
      <c r="B186" s="140" t="inlineStr">
        <is>
          <t>บานพับต่างระดับมีมือจับ</t>
        </is>
      </c>
      <c r="C186" s="140" t="inlineStr">
        <is>
          <t>Offset Hinge Only With Handle</t>
        </is>
      </c>
      <c r="D186" s="139" t="inlineStr">
        <is>
          <t>05-013</t>
        </is>
      </c>
      <c r="E186" s="143" t="n"/>
      <c r="F186" s="143" t="inlineStr">
        <is>
          <t>05-013</t>
        </is>
      </c>
      <c r="G186" s="143" t="inlineStr">
        <is>
          <t>SET</t>
        </is>
      </c>
      <c r="H186" s="143" t="n">
        <v>2</v>
      </c>
      <c r="I186" s="144" t="n"/>
      <c r="J186" s="131">
        <f>$J$120*H186</f>
        <v/>
      </c>
      <c r="N186" s="278" t="n"/>
      <c r="O186" s="278" t="n"/>
      <c r="P186" s="278" t="n"/>
      <c r="Q186" s="442" t="n"/>
      <c r="R186" s="442" t="n"/>
      <c r="S186" s="442" t="n"/>
      <c r="T186" s="109" t="n"/>
      <c r="U186" s="109" t="n"/>
      <c r="V186" s="109" t="n"/>
      <c r="W186" s="278" t="n"/>
    </row>
    <row r="187" ht="18" customFormat="1" customHeight="1" s="278">
      <c r="A187" s="201">
        <f>IF(B187="","",+A186+1)</f>
        <v/>
      </c>
      <c r="B187" s="140" t="inlineStr">
        <is>
          <t>ชุดสลักล็อค</t>
        </is>
      </c>
      <c r="C187" s="140" t="inlineStr">
        <is>
          <t>Twin Bolt + Rods</t>
        </is>
      </c>
      <c r="D187" s="139" t="inlineStr">
        <is>
          <t>05-014</t>
        </is>
      </c>
      <c r="E187" s="143" t="n"/>
      <c r="F187" s="143" t="inlineStr">
        <is>
          <t>05-014</t>
        </is>
      </c>
      <c r="G187" s="143" t="inlineStr">
        <is>
          <t>SET</t>
        </is>
      </c>
      <c r="H187" s="143" t="n">
        <v>6</v>
      </c>
      <c r="I187" s="144" t="n"/>
      <c r="J187" s="131">
        <f>$J$120*H187</f>
        <v/>
      </c>
      <c r="N187" s="101" t="inlineStr">
        <is>
          <t>FRAME SEAL</t>
        </is>
      </c>
      <c r="O187" s="246" t="inlineStr">
        <is>
          <t>THAI</t>
        </is>
      </c>
      <c r="P187" s="246" t="inlineStr">
        <is>
          <t>DESCRIPTION</t>
        </is>
      </c>
      <c r="Q187" s="246" t="inlineStr">
        <is>
          <t>PART NO.</t>
        </is>
      </c>
      <c r="R187" s="246" t="inlineStr">
        <is>
          <t>KG/m</t>
        </is>
      </c>
      <c r="S187" s="246" t="inlineStr">
        <is>
          <t>DRAWING</t>
        </is>
      </c>
      <c r="T187" s="246" t="inlineStr">
        <is>
          <t>PER</t>
        </is>
      </c>
      <c r="U187" s="246" t="inlineStr">
        <is>
          <t>QUANTITY</t>
        </is>
      </c>
      <c r="V187" s="246" t="inlineStr">
        <is>
          <t>Pack QTY</t>
        </is>
      </c>
      <c r="W187" s="246" t="inlineStr">
        <is>
          <t>TOTAL</t>
        </is>
      </c>
    </row>
    <row r="188" ht="18" customFormat="1" customHeight="1" s="278">
      <c r="A188" s="201">
        <f>IF(B188="","",+A187+1)</f>
        <v/>
      </c>
      <c r="B188" s="140" t="inlineStr">
        <is>
          <t>ชุดมือจับล็อค</t>
        </is>
      </c>
      <c r="C188" s="140" t="inlineStr">
        <is>
          <t>Stainless steel mortise lock,handle,cylinder</t>
        </is>
      </c>
      <c r="D188" s="139" t="inlineStr">
        <is>
          <t>00-24 or 00-027</t>
        </is>
      </c>
      <c r="E188" s="143" t="n"/>
      <c r="F188" s="143" t="inlineStr">
        <is>
          <t>00-24 or 00-027</t>
        </is>
      </c>
      <c r="G188" s="143" t="inlineStr">
        <is>
          <t>SET</t>
        </is>
      </c>
      <c r="H188" s="143" t="n">
        <v>1</v>
      </c>
      <c r="I188" s="144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ยางเฟรมกันน้ำ (ธรรมดา)</t>
        </is>
      </c>
      <c r="P188" s="415" t="inlineStr">
        <is>
          <t>FRAME SEAL (Standard)</t>
        </is>
      </c>
      <c r="Q188" s="280" t="inlineStr">
        <is>
          <t>02-026</t>
        </is>
      </c>
      <c r="R188" s="213" t="n"/>
      <c r="S188" s="213" t="inlineStr">
        <is>
          <t>02-026</t>
        </is>
      </c>
      <c r="T188" s="213" t="inlineStr">
        <is>
          <t>M</t>
        </is>
      </c>
      <c r="U188" s="650">
        <f>((($I$134*$G$134)+($I$136*$G$136)+($I$139*$G$139))/1000)*$J$120</f>
        <v/>
      </c>
      <c r="V188" s="650" t="n">
        <v>300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ตัวประคองสลักล็อค</t>
        </is>
      </c>
      <c r="C189" s="140" t="inlineStr">
        <is>
          <t>Guide twin Bolt Rods</t>
        </is>
      </c>
      <c r="D189" s="139" t="inlineStr">
        <is>
          <t>04-009</t>
        </is>
      </c>
      <c r="E189" s="143" t="n"/>
      <c r="F189" s="143" t="inlineStr">
        <is>
          <t>04-009</t>
        </is>
      </c>
      <c r="G189" s="143" t="inlineStr">
        <is>
          <t>PC</t>
        </is>
      </c>
      <c r="H189" s="143" t="n">
        <v>4</v>
      </c>
      <c r="I189" s="144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ยางเฟรมกันน้ำ (กันเสียง)</t>
        </is>
      </c>
      <c r="P189" s="415" t="inlineStr">
        <is>
          <t>FRAME SEAL (Soumdproof)</t>
        </is>
      </c>
      <c r="Q189" s="280" t="inlineStr">
        <is>
          <t>02-025</t>
        </is>
      </c>
      <c r="R189" s="213" t="n"/>
      <c r="S189" s="213" t="inlineStr">
        <is>
          <t>02-025</t>
        </is>
      </c>
      <c r="T189" s="213" t="inlineStr">
        <is>
          <t>M</t>
        </is>
      </c>
      <c r="U189" s="650">
        <f>((($I$134*$G$134)+($I$136*$G$136)+($I$139*$G$139))/1000)*$J$120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รางเสริมเปลี่ยนล้อ</t>
        </is>
      </c>
      <c r="C190" s="140" t="inlineStr">
        <is>
          <t>35 SERIES TRACK INSERT</t>
        </is>
      </c>
      <c r="D190" s="139" t="inlineStr">
        <is>
          <t>04-004</t>
        </is>
      </c>
      <c r="E190" s="143" t="n"/>
      <c r="F190" s="143" t="inlineStr">
        <is>
          <t>04-004</t>
        </is>
      </c>
      <c r="G190" s="143" t="inlineStr">
        <is>
          <t>PC</t>
        </is>
      </c>
      <c r="H190" s="143" t="n">
        <v>1</v>
      </c>
      <c r="I190" s="130" t="n"/>
      <c r="J190" s="131">
        <f>$J$120*H190</f>
        <v/>
      </c>
      <c r="N190" s="101" t="inlineStr">
        <is>
          <t>ธรรมดา</t>
        </is>
      </c>
      <c r="O190" s="415" t="inlineStr">
        <is>
          <t>ยางแซชกันน้ำ (ธรรมดา)</t>
        </is>
      </c>
      <c r="P190" s="415" t="inlineStr">
        <is>
          <t>SASH SEAL FOAM (Standard)</t>
        </is>
      </c>
      <c r="Q190" s="280" t="inlineStr">
        <is>
          <t>02-031</t>
        </is>
      </c>
      <c r="R190" s="213" t="n"/>
      <c r="S190" s="213" t="inlineStr">
        <is>
          <t>02-031</t>
        </is>
      </c>
      <c r="T190" s="213" t="inlineStr">
        <is>
          <t>M</t>
        </is>
      </c>
      <c r="U190" s="650">
        <f>((($I$141*$G$141*2)+($I$143*$G$143*2)+($I$144*$G$144*2))/1000)*$J$120</f>
        <v/>
      </c>
      <c r="V190" s="650" t="n">
        <v>350</v>
      </c>
      <c r="W190" s="651">
        <f>ROUNDUP((U190)/V190,0)</f>
        <v/>
      </c>
    </row>
    <row r="191" ht="18" customFormat="1" customHeight="1" s="278">
      <c r="A191" s="201">
        <f>IF(B191="","",+A190+1)</f>
        <v/>
      </c>
      <c r="B191" s="140" t="inlineStr">
        <is>
          <t>ตัวรับกลอน</t>
        </is>
      </c>
      <c r="C191" s="140" t="inlineStr">
        <is>
          <t xml:space="preserve">FLUSH BOLT RECEIVER </t>
        </is>
      </c>
      <c r="D191" s="139" t="inlineStr">
        <is>
          <t>04-015</t>
        </is>
      </c>
      <c r="E191" s="143" t="n"/>
      <c r="F191" s="143" t="inlineStr">
        <is>
          <t>04-015</t>
        </is>
      </c>
      <c r="G191" s="143" t="inlineStr">
        <is>
          <t>PC</t>
        </is>
      </c>
      <c r="H191" s="143" t="n">
        <v>1</v>
      </c>
      <c r="I191" s="130" t="n"/>
      <c r="J191" s="131">
        <f>$J$120*H191</f>
        <v/>
      </c>
      <c r="N191" s="101" t="inlineStr">
        <is>
          <t>กันเสียง</t>
        </is>
      </c>
      <c r="O191" s="415" t="inlineStr">
        <is>
          <t>ยางแซชกันน้ำ (กันเสียง)</t>
        </is>
      </c>
      <c r="P191" s="415" t="inlineStr">
        <is>
          <t>SASH SEAL FOAM (Soumdproof)</t>
        </is>
      </c>
      <c r="Q191" s="280" t="inlineStr">
        <is>
          <t>02-035</t>
        </is>
      </c>
      <c r="R191" s="213" t="n"/>
      <c r="S191" s="213" t="inlineStr">
        <is>
          <t>02-035</t>
        </is>
      </c>
      <c r="T191" s="213" t="inlineStr">
        <is>
          <t>M</t>
        </is>
      </c>
      <c r="U191" s="650">
        <f>((($I$141*$G$141*2)+($I$143*$G$143*2)+($I$144*$G$144*2))/1000)*$J$120</f>
        <v/>
      </c>
      <c r="V191" s="650" t="n">
        <v>100</v>
      </c>
      <c r="W191" s="651">
        <f>ROUNDUP((U191)/V191,0)</f>
        <v/>
      </c>
    </row>
    <row r="192" ht="18" customFormat="1" customHeight="1" s="278">
      <c r="A192" s="201">
        <f>IF(B192="","",+A191+1)</f>
        <v/>
      </c>
      <c r="B192" s="140" t="inlineStr">
        <is>
          <t>ตัวรับกลอน</t>
        </is>
      </c>
      <c r="C192" s="140" t="inlineStr">
        <is>
          <t xml:space="preserve">FLUSH BOLT RECEIVER </t>
        </is>
      </c>
      <c r="D192" s="139" t="inlineStr">
        <is>
          <t>04-016</t>
        </is>
      </c>
      <c r="E192" s="143" t="n"/>
      <c r="F192" s="143" t="inlineStr">
        <is>
          <t>04-016</t>
        </is>
      </c>
      <c r="G192" s="143" t="inlineStr">
        <is>
          <t>PC</t>
        </is>
      </c>
      <c r="H192" s="143" t="n">
        <v>2</v>
      </c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inlineStr">
        <is>
          <t>กลอนสวิง 250 มม.</t>
        </is>
      </c>
      <c r="C193" s="140" t="inlineStr">
        <is>
          <t>Surface mounted flush bolt</t>
        </is>
      </c>
      <c r="D193" s="139" t="inlineStr">
        <is>
          <t>00-020-25</t>
        </is>
      </c>
      <c r="E193" s="143" t="n"/>
      <c r="F193" s="143" t="inlineStr">
        <is>
          <t>00-020-25</t>
        </is>
      </c>
      <c r="G193" s="143" t="inlineStr">
        <is>
          <t>SET</t>
        </is>
      </c>
      <c r="H193" s="143" t="n">
        <v>1</v>
      </c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inlineStr">
        <is>
          <t>กลอนสวิง 900 มม.</t>
        </is>
      </c>
      <c r="C194" s="140" t="inlineStr">
        <is>
          <t>Surface mounted flush bolt</t>
        </is>
      </c>
      <c r="D194" s="139" t="inlineStr">
        <is>
          <t>00-020-90</t>
        </is>
      </c>
      <c r="E194" s="143" t="n"/>
      <c r="F194" s="143" t="inlineStr">
        <is>
          <t>00-020-90</t>
        </is>
      </c>
      <c r="G194" s="143" t="inlineStr">
        <is>
          <t>SET</t>
        </is>
      </c>
      <c r="H194" s="143" t="n">
        <v>1</v>
      </c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inlineStr">
        <is>
          <t>สักหลาดบังใบ</t>
        </is>
      </c>
      <c r="C195" s="140" t="inlineStr">
        <is>
          <t>MOHAIR FOR SASH STOP</t>
        </is>
      </c>
      <c r="D195" s="139" t="inlineStr">
        <is>
          <t>02-028</t>
        </is>
      </c>
      <c r="E195" s="143" t="n"/>
      <c r="F195" s="143" t="inlineStr">
        <is>
          <t>02-028</t>
        </is>
      </c>
      <c r="G195" s="143" t="inlineStr">
        <is>
          <t>M</t>
        </is>
      </c>
      <c r="H195" s="652">
        <f>((($I$151*$G$151)+($I$152*$G$152))/1000)*$J$120</f>
        <v/>
      </c>
      <c r="I195" s="653" t="n">
        <v>100</v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140" t="inlineStr">
        <is>
          <t>สักหลาดเสา</t>
        </is>
      </c>
      <c r="C196" s="140" t="inlineStr">
        <is>
          <t>MOHAIR FOR SASH (Ver)</t>
        </is>
      </c>
      <c r="D196" s="139" t="inlineStr">
        <is>
          <t>02-036</t>
        </is>
      </c>
      <c r="E196" s="143" t="n"/>
      <c r="F196" s="143" t="inlineStr">
        <is>
          <t>02-036</t>
        </is>
      </c>
      <c r="G196" s="143" t="inlineStr">
        <is>
          <t>M</t>
        </is>
      </c>
      <c r="H196" s="652">
        <f>((($I$145*$G$145)+($I$146*$G$146))/1000)*$J$120</f>
        <v/>
      </c>
      <c r="I196" s="653" t="n">
        <v>100</v>
      </c>
      <c r="J196" s="654">
        <f>ROUNDUP((H196)/100,0)</f>
        <v/>
      </c>
    </row>
    <row r="197" ht="18" customHeight="1" s="344">
      <c r="A197" s="201">
        <f>IF(B197="","",+A196+1)</f>
        <v/>
      </c>
      <c r="B197" s="139">
        <f>IF($D$129="Standard",$O$188,IF($D$129="Soumdproof",$O$189,))</f>
        <v/>
      </c>
      <c r="C197" s="139">
        <f>IF($D$129="Standard",$P$188,IF($D$129="Soumdproof",$P$189,))</f>
        <v/>
      </c>
      <c r="D197" s="139">
        <f>IF($D$129="Standard",$Q$188,IF($D$129="Soumdproof",$Q$189,))</f>
        <v/>
      </c>
      <c r="E197" s="143">
        <f>IF($D$129="Standard",R192,IF($D$129="Soumdproof",R193,))</f>
        <v/>
      </c>
      <c r="F197" s="143">
        <f>IF($D$129="Standard",$S$188,IF($D$129="Soumdproof",$S$189,))</f>
        <v/>
      </c>
      <c r="G197" s="143">
        <f>IF($D$129="Standard",$T$188,IF($D$129="Soumdproof",$T$189,))</f>
        <v/>
      </c>
      <c r="H197" s="652">
        <f>IF($D$129="Standard",$U$188,IF($D$129="Soumdproof",$U$189,))</f>
        <v/>
      </c>
      <c r="I197" s="653">
        <f>IF($D$129="Standard",$V$188,IF($D$129="Soumdproof",$V$189,))</f>
        <v/>
      </c>
      <c r="J197" s="654">
        <f>ROUNDUP((H197)/100,0)</f>
        <v/>
      </c>
      <c r="N197" s="278" t="n"/>
      <c r="O197" s="278" t="n"/>
      <c r="P197" s="278" t="n"/>
      <c r="Q197" s="278" t="n"/>
      <c r="R197" s="278" t="n"/>
      <c r="S197" s="278" t="n"/>
      <c r="T197" s="278" t="n"/>
      <c r="U197" s="278" t="n"/>
      <c r="V197" s="278" t="n"/>
      <c r="W197" s="278" t="n"/>
      <c r="X197" s="278" t="n"/>
    </row>
    <row r="198" ht="18" customFormat="1" customHeight="1" s="278">
      <c r="A198" s="201">
        <f>IF(B198="","",+A197+1)</f>
        <v/>
      </c>
      <c r="B198" s="139">
        <f>IF($D$129="Standard",$O$190,IF($D$129="Soumdproof",$O$191,))</f>
        <v/>
      </c>
      <c r="C198" s="139">
        <f>IF($D$129="Standard",$P$190,IF($D$129="Soumdproof",$P$191,))</f>
        <v/>
      </c>
      <c r="D198" s="139">
        <f>IF($D$129="Standard",$Q$190,IF($D$129="Soumdproof",$Q$191,))</f>
        <v/>
      </c>
      <c r="E198" s="143">
        <f>IF($D$129="Standard",R194,IF($D$129="Soumdproof",R195,))</f>
        <v/>
      </c>
      <c r="F198" s="143">
        <f>IF($D$129="Standard",$S$190,IF($D$129="Soumdproof",$S$191,))</f>
        <v/>
      </c>
      <c r="G198" s="143">
        <f>IF($D$129="Standard",$T$190,IF($D$129="Soumdproof",$T$191,))</f>
        <v/>
      </c>
      <c r="H198" s="652">
        <f>IF($D$129="Standard",$U$190,IF($D$129="Soumdproof",$U$191,))</f>
        <v/>
      </c>
      <c r="I198" s="653">
        <f>IF($D$129="Standard",$V$190,IF($D$129="Soumdproof",$V$191,))</f>
        <v/>
      </c>
      <c r="J198" s="654">
        <f>ROUNDUP((H198)/100,0)</f>
        <v/>
      </c>
    </row>
    <row r="199" ht="18" customFormat="1" customHeight="1" s="278">
      <c r="A199" s="201">
        <f>IF(B199="","",+A198+1)</f>
        <v/>
      </c>
      <c r="B199" s="296">
        <f>IF($D$127=5,$O$179,IF($D$127=6,$O$180,IF($D$127=8,$O$181,IF($D$127=10,$O$179,IF($D$127=12,$O$179,IF($D$127=14,$O$181,IF($D$127=18,$O$179,IF($D$127=20,$O$180,IF($D$127=22,"")))))))))</f>
        <v/>
      </c>
      <c r="C199" s="296">
        <f>IF($D$127=5,$P$179,IF($D$127=6,$P$180,IF($D$127=8,$P$181,IF($D$127=10,$P$179,IF($D$127=12,$P$179,IF($D$127=14,$P$181,IF($D$127=18,$P$179,IF($D$127=20,$P$180,IF($D$127=22,"")))))))))</f>
        <v/>
      </c>
      <c r="D199" s="296">
        <f>IF($D$127=5,$Q$179,IF($D$127=6,$Q$180,IF($D$127=8,$Q$181,IF($D$127=10,$Q$179,IF($D$127=12,$Q$179,IF($D$127=14,$Q$181,IF($D$127=18,$Q$179,IF($D$127=20,$Q$180,IF($D$127=22,"")))))))))</f>
        <v/>
      </c>
      <c r="E199" s="296">
        <f>IF($D$127=5,R183,IF($D$127=6,R184,IF($D$127=8,R185,IF($D$127=10,R183,IF($D$127=12,R183,IF($D$127=14,R185,IF($D$127=18,R183,IF($D$127=20,R184,IF($D$127=22,"",)))))))))</f>
        <v/>
      </c>
      <c r="F199" s="242">
        <f>IF($D$127=5,$S$179,IF($D$127=6,$S$180,IF($D$127=8,$S$181,IF($D$127=10,$S$179,IF($D$127=12,$S$179,IF($D$127=14,$S$181,IF($D$127=18,$S$179,IF($D$127=20,$S$180,IF($D$127=22,"")))))))))</f>
        <v/>
      </c>
      <c r="G199" s="242">
        <f>IF($D$127=5,$T$179,IF($D$127=6,$T$180,IF($D$127=8,$T$181,IF($D$127=10,$T$179,IF($D$127=12,$T$179,IF($D$127=14,$T$181,IF($D$127=18,$T$179,IF($D$127=20,$T$180,IF($D$127=22,"")))))))))</f>
        <v/>
      </c>
      <c r="H199" s="652">
        <f>IF($D$127=5,$U$179,IF($D$127=6,$U$180,IF($D$127=8,$U$181,IF($D$127=10,$U$179*2,IF($D$127=12,$U$179,IF($D$127=14,$U$181*2,IF($D$127=18,$U$179,IF($D$127=20,$U$180,IF($D$127=22,"")))))))))</f>
        <v/>
      </c>
      <c r="I199" s="653">
        <f>IF($D$127=5,$V$179,IF($D$127=6,$V$180,IF($D$127=8,$V$181,IF($D$127=10,$V$179,IF($D$127=12,$V$179,IF($D$127=14,$V$181,IF($D$127=18,$V$179,IF($D$127=20,$V$180,IF($D$127=22,"")))))))))</f>
        <v/>
      </c>
      <c r="J199" s="654">
        <f>ROUNDUP((H199)/100,0)</f>
        <v/>
      </c>
    </row>
    <row r="200" ht="18" customFormat="1" customHeight="1" s="278">
      <c r="A200" s="201">
        <f>IF(B200="","",+A199+1)</f>
        <v/>
      </c>
      <c r="B200" s="296">
        <f>IF($D$127=5,$O$177,IF($D$127=6,$O$177,IF($D$127=8,$O$179,IF($D$127=10,"",IF($D$127=12,$O$178,IF($D$127=14,"",IF($D$127=18,$O$177,IF($D$127=20,$O$178,IF($D$127=22,"",)))))))))</f>
        <v/>
      </c>
      <c r="C200" s="296">
        <f>IF($D$127=5,$P$177,IF($D$127=6,$P$177,IF($D$127=8,$P$179,IF($D$127=10,"",IF($D$127=12,$P$178,IF($D$127=14,"",IF($D$127=18,$P$177,IF($D$127=20,$P$178,IF($D$127=22,"",)))))))))</f>
        <v/>
      </c>
      <c r="D200" s="296">
        <f>IF($D$127=5,$Q$177,IF($D$127=6,$Q$177,IF($D$127=8,$Q$179,IF($D$127=10,"",IF($D$127=12,$Q$178,IF($D$127=14,"",IF($D$127=18,$Q$177,IF($D$127=20,$Q$178,IF($D$127=22,"",)))))))))</f>
        <v/>
      </c>
      <c r="E200" s="296">
        <f>IF($D$127=5,R181,IF($D$127=6,R181,IF($D$127=8,R183,IF($D$127=10,"",IF($D$127=12,R182,IF($D$127=14,"",IF($D$127=18,R181,IF($D$127=20,R182,IF($D$127=22,"",)))))))))</f>
        <v/>
      </c>
      <c r="F200" s="242">
        <f>IF($D$127=5,$S$177,IF($D$127=6,$S$177,IF($D$127=8,$S$179,IF($D$127=10,"",IF($D$127=12,$S$178,IF($D$127=14,"",IF($D$127=18,$S$177,IF($D$127=20,$S$178,IF($D$127=22,"",)))))))))</f>
        <v/>
      </c>
      <c r="G200" s="242">
        <f>IF($D$127=5,$T$177,IF($D$127=6,$T$177,IF($D$127=8,$T$179,IF($D$127=10,"",IF($D$127=12,$T$178,IF($D$127=14,"",IF($D$127=18,$T$177,IF($D$127=20,$T$178,IF($D$127=22,"",)))))))))</f>
        <v/>
      </c>
      <c r="H200" s="652">
        <f>IF($D$127=5,$U$177,IF($D$127=6,$U$177,IF($D$127=8,$U$179,IF($D$127=10,"",IF($D$127=12,$U$178,IF($D$127=14,"",IF($D$127=18,$U$177,IF($D$127=20,$U$178,IF($D$127=22,"")))))))))</f>
        <v/>
      </c>
      <c r="I200" s="653">
        <f>IF($D$127=5,$V$177,IF($D$127=6,$V$177,IF($D$127=8,$V$179,IF($D$127=10,"",IF($D$127=12,$V$178,IF($D$127=14,"",IF($D$127=18,$V$177,IF($D$127=20,$V$178,IF($D$127=22,"",)))))))))</f>
        <v/>
      </c>
      <c r="J200" s="654">
        <f>ROUNDUP((H200)/100,0)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H220" s="89" t="inlineStr">
        <is>
          <t>Door Middle</t>
        </is>
      </c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94" t="inlineStr">
        <is>
          <t>= ((Frame Width - 185)-(113.25 × 5))/6</t>
        </is>
      </c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H222" s="542" t="inlineStr">
        <is>
          <t>( (ความกว้างวงกบ - 185)-(113.25 × 5))/6</t>
        </is>
      </c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H223" s="656">
        <f>$I$150</f>
        <v/>
      </c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H224" s="657">
        <f>$J$150</f>
        <v/>
      </c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- 185)-(113.25 × 5))/6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( (ความกว้างวงกบ - 185)-(113.25 × 5))/6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278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23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89" t="inlineStr">
        <is>
          <t xml:space="preserve">                   Glazing Bead</t>
        </is>
      </c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94" t="inlineStr">
        <is>
          <t xml:space="preserve">                          = (Frame Width - 185)-(113.25 × 5))/6</t>
        </is>
      </c>
      <c r="D296" s="161" t="n"/>
      <c r="E296" s="109" t="n"/>
      <c r="F296" s="109" t="n"/>
      <c r="G296" s="44" t="n"/>
      <c r="H296" s="44" t="n"/>
      <c r="I296" s="109" t="n"/>
      <c r="J296" s="501" t="n"/>
    </row>
    <row r="297" ht="15.9" customFormat="1" customHeight="1" s="278">
      <c r="A297" s="27" t="n"/>
      <c r="B297" s="278" t="n"/>
      <c r="C297" s="542" t="inlineStr">
        <is>
          <t xml:space="preserve">                          ((ความกว้างวงกบ - 185)-(113.25 × 5))/6</t>
        </is>
      </c>
      <c r="D297" s="328" t="n"/>
      <c r="E297" s="328" t="n"/>
      <c r="F297" s="109" t="n"/>
      <c r="G297" s="40" t="n"/>
      <c r="H297" s="32" t="n"/>
      <c r="I297" s="109" t="n"/>
      <c r="J297" s="501" t="n"/>
    </row>
    <row r="298" ht="15.9" customFormat="1" customHeight="1" s="278">
      <c r="A298" s="101" t="n"/>
      <c r="B298" s="278" t="n"/>
      <c r="C298" s="328" t="inlineStr">
        <is>
          <t xml:space="preserve">                          = FAME HIGHT - 242.00</t>
        </is>
      </c>
      <c r="D298" s="542" t="n"/>
      <c r="E298" s="542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44" t="n"/>
      <c r="B299" s="44" t="n"/>
      <c r="C299" s="542" t="inlineStr">
        <is>
          <t xml:space="preserve">                          ความสูง (วงกบ) - 242.00</t>
        </is>
      </c>
      <c r="D299" s="86" t="n"/>
      <c r="E299" s="79" t="n"/>
      <c r="F299" s="44" t="n"/>
      <c r="G299" s="109" t="n"/>
      <c r="H299" s="109" t="n"/>
      <c r="I299" s="109" t="n"/>
      <c r="J299" s="501" t="n"/>
    </row>
    <row r="300" ht="15.9" customFormat="1" customHeight="1" s="278">
      <c r="A300" s="40" t="n"/>
      <c r="B300" s="40" t="n"/>
      <c r="C300" s="656">
        <f>$I$147</f>
        <v/>
      </c>
      <c r="D300" s="87" t="n"/>
      <c r="E300" s="80" t="n"/>
      <c r="F300" s="32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6">
        <f>$I$148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$I$149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$J$149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657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inlineStr">
        <is>
          <t xml:space="preserve">                   Sash Stop</t>
        </is>
      </c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inlineStr">
        <is>
          <t xml:space="preserve">                          = FAME HIGHT - 92.00</t>
        </is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542" t="inlineStr">
        <is>
          <t xml:space="preserve">                          ความสูง (วงกบ) - 92.00</t>
        </is>
      </c>
      <c r="D310" s="542" t="n"/>
      <c r="E310" s="542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6">
        <f>$I$151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657">
        <f>$J$151+$J$152</f>
        <v/>
      </c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" customFormat="1" customHeight="1" s="278">
      <c r="A334" s="76" t="n"/>
      <c r="B334" s="532" t="n"/>
      <c r="C334" s="161" t="n"/>
      <c r="D334" s="161" t="n"/>
      <c r="E334" s="109" t="n"/>
      <c r="F334" s="507" t="n"/>
      <c r="G334" s="507" t="n"/>
      <c r="H334" s="507" t="n"/>
      <c r="I334" s="109" t="n"/>
      <c r="J334" s="109" t="n"/>
    </row>
    <row r="335" ht="15" customFormat="1" customHeight="1" s="278">
      <c r="A335" s="76" t="n"/>
      <c r="B335" s="532" t="n"/>
      <c r="C335" s="161" t="n"/>
      <c r="D335" s="161" t="n"/>
      <c r="E335" s="109" t="n"/>
      <c r="F335" s="507" t="n"/>
      <c r="G335" s="507" t="n"/>
      <c r="H335" s="507" t="n"/>
      <c r="I335" s="109" t="n"/>
      <c r="J335" s="109" t="n"/>
    </row>
    <row r="336" ht="15" customFormat="1" customHeight="1" s="278">
      <c r="A336" s="76" t="n"/>
      <c r="B336" s="532" t="n"/>
      <c r="C336" s="161" t="n"/>
      <c r="D336" s="161" t="n"/>
      <c r="E336" s="109" t="n"/>
      <c r="F336" s="507" t="n"/>
      <c r="G336" s="507" t="n"/>
      <c r="H336" s="507" t="n"/>
      <c r="I336" s="109" t="n"/>
      <c r="J336" s="109" t="n"/>
    </row>
    <row r="337" ht="15" customFormat="1" customHeight="1" s="278">
      <c r="A337" s="76" t="n"/>
      <c r="B337" s="532" t="n"/>
      <c r="C337" s="161" t="n"/>
      <c r="D337" s="161" t="n"/>
      <c r="E337" s="109" t="n"/>
      <c r="F337" s="507" t="n"/>
      <c r="G337" s="507" t="n"/>
      <c r="H337" s="507" t="n"/>
      <c r="I337" s="109" t="n"/>
      <c r="J337" s="109" t="n"/>
    </row>
    <row r="338" ht="15.9" customFormat="1" customHeight="1" s="278">
      <c r="A338" s="109" t="n"/>
      <c r="B338" s="63" t="n"/>
      <c r="C338" s="93" t="n"/>
      <c r="D338" s="161" t="n"/>
      <c r="E338" s="109" t="n"/>
      <c r="F338" s="507" t="n"/>
      <c r="H338" s="507" t="n"/>
      <c r="I338" s="109" t="n"/>
      <c r="J338" s="109" t="n"/>
    </row>
    <row r="339" ht="15.9" customFormat="1" customHeight="1" s="278">
      <c r="A339" s="72" t="n"/>
      <c r="B339" s="109" t="n"/>
      <c r="C339" s="161" t="n"/>
      <c r="D339" s="161" t="n"/>
      <c r="E339" s="109" t="n"/>
      <c r="F339" s="37" t="n"/>
      <c r="G339" s="278" t="n"/>
      <c r="H339" s="109" t="n"/>
      <c r="I339" s="109" t="n"/>
      <c r="J339" s="109" t="n"/>
    </row>
    <row r="340" ht="15.9" customFormat="1" customHeight="1" s="278">
      <c r="A340" s="44" t="n"/>
      <c r="C340" s="43" t="n"/>
      <c r="D340" s="161" t="n"/>
      <c r="E340" s="109" t="n"/>
      <c r="F340" s="109" t="n"/>
      <c r="G340" s="109" t="n"/>
      <c r="H340" s="109" t="n"/>
      <c r="I340" s="44" t="n"/>
      <c r="J340" s="119" t="n"/>
    </row>
    <row r="341" ht="15.9" customFormat="1" customHeight="1" s="278">
      <c r="A341" s="40" t="n"/>
      <c r="C341" s="44" t="n"/>
      <c r="D341" s="84" t="n"/>
      <c r="E341" s="44" t="n"/>
      <c r="F341" s="44" t="n"/>
      <c r="G341" s="44" t="n"/>
      <c r="H341" s="44" t="n"/>
      <c r="I341" s="32" t="n"/>
      <c r="J341" s="40" t="n"/>
    </row>
    <row r="342" ht="15.9" customFormat="1" customHeight="1" s="278">
      <c r="A342" s="109" t="n"/>
      <c r="C342" s="161" t="n"/>
      <c r="D342" s="85" t="n"/>
      <c r="E342" s="40" t="n"/>
      <c r="F342" s="32" t="n"/>
      <c r="G342" s="40" t="n"/>
      <c r="H342" s="32" t="n"/>
      <c r="I342" s="501" t="n"/>
      <c r="J342" s="501" t="n"/>
    </row>
    <row r="343" ht="15.9" customFormat="1" customHeight="1" s="278">
      <c r="A343" s="109" t="n"/>
      <c r="C343" s="163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162" t="n"/>
      <c r="J344" s="162" t="n"/>
    </row>
    <row r="345" ht="15.9" customFormat="1" customHeight="1" s="278">
      <c r="A345" s="109" t="n"/>
      <c r="B345" s="278" t="n"/>
      <c r="C345" s="44" t="n"/>
      <c r="D345" s="161" t="n"/>
      <c r="E345" s="109" t="n"/>
      <c r="F345" s="161" t="n"/>
      <c r="G345" s="109" t="n"/>
      <c r="H345" s="162" t="n"/>
      <c r="I345" s="161" t="n"/>
      <c r="J345" s="161" t="n"/>
    </row>
    <row r="346" ht="15.9" customFormat="1" customHeight="1" s="278">
      <c r="A346" s="109" t="n"/>
      <c r="B346" s="278" t="n"/>
      <c r="C346" s="93" t="n"/>
      <c r="D346" s="161" t="n"/>
      <c r="E346" s="109" t="n"/>
      <c r="F346" s="161" t="n"/>
      <c r="G346" s="109" t="n"/>
      <c r="H346" s="161" t="n"/>
      <c r="I346" s="161" t="n"/>
      <c r="J346" s="161" t="n"/>
    </row>
    <row r="347" ht="15.9" customFormat="1" customHeight="1" s="278">
      <c r="A347" s="109" t="n"/>
      <c r="B347" s="278" t="n"/>
      <c r="C347" s="163" t="n"/>
      <c r="D347" s="161" t="n"/>
      <c r="E347" s="109" t="n"/>
      <c r="F347" s="161" t="n"/>
      <c r="G347" s="109" t="n"/>
      <c r="H347" s="161" t="n"/>
      <c r="I347" s="109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278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278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44" t="n"/>
      <c r="D352" s="161" t="n"/>
      <c r="E352" s="109" t="n"/>
      <c r="F352" s="161" t="n"/>
      <c r="G352" s="109" t="n"/>
      <c r="H352" s="109" t="n"/>
      <c r="I352" s="501" t="n"/>
      <c r="J352" s="501" t="n"/>
    </row>
    <row r="353" ht="15.9" customFormat="1" customHeight="1" s="278">
      <c r="A353" s="109" t="n"/>
      <c r="B353" s="278" t="n"/>
      <c r="C353" s="161" t="n"/>
      <c r="D353" s="161" t="n"/>
      <c r="E353" s="109" t="n"/>
      <c r="F353" s="161" t="n"/>
      <c r="G353" s="109" t="n"/>
      <c r="H353" s="109" t="n"/>
      <c r="I353" s="501" t="n"/>
      <c r="J353" s="501" t="n"/>
    </row>
    <row r="354" ht="15.9" customFormat="1" customHeight="1" s="278">
      <c r="A354" s="109" t="n"/>
      <c r="B354" s="278" t="n"/>
      <c r="C354" s="163" t="n"/>
      <c r="D354" s="161" t="n"/>
      <c r="E354" s="109" t="n"/>
      <c r="F354" s="161" t="n"/>
      <c r="G354" s="109" t="n"/>
      <c r="H354" s="109" t="n"/>
      <c r="I354" s="109" t="n"/>
      <c r="J354" s="501" t="n"/>
    </row>
    <row r="355" ht="15.9" customFormat="1" customHeight="1" s="278">
      <c r="A355" s="109" t="n"/>
      <c r="B355" s="278" t="n"/>
      <c r="C355" s="161" t="n"/>
      <c r="D355" s="161" t="n"/>
      <c r="E355" s="109" t="n"/>
      <c r="F355" s="161" t="n"/>
      <c r="G355" s="109" t="n"/>
      <c r="H355" s="109" t="n"/>
      <c r="I355" s="501" t="n"/>
      <c r="J355" s="501" t="n"/>
    </row>
    <row r="356" ht="15.9" customFormat="1" customHeight="1" s="278">
      <c r="A356" s="109" t="n"/>
      <c r="B356" s="278" t="n"/>
      <c r="C356" s="278" t="n"/>
      <c r="D356" s="161" t="n"/>
      <c r="E356" s="109" t="n"/>
      <c r="F356" s="109" t="n"/>
      <c r="G356" s="109" t="n"/>
      <c r="H356" s="109" t="n"/>
      <c r="I356" s="501" t="n"/>
      <c r="J356" s="501" t="n"/>
    </row>
    <row r="357" ht="15" customFormat="1" customHeight="1" s="278">
      <c r="A357" s="109" t="n"/>
      <c r="B357" s="278" t="n"/>
      <c r="C357" s="278" t="n"/>
      <c r="D357" s="161" t="n"/>
      <c r="E357" s="109" t="n"/>
      <c r="F357" s="109" t="n"/>
      <c r="G357" s="109" t="n"/>
      <c r="H357" s="107" t="n"/>
      <c r="I357" s="501" t="n"/>
      <c r="J357" s="501" t="n"/>
    </row>
    <row r="358" ht="15.9" customFormat="1" customHeight="1" s="23">
      <c r="A358" s="109" t="n"/>
      <c r="B358" s="278" t="n"/>
      <c r="C358" s="278" t="n"/>
      <c r="D358" s="161" t="n"/>
      <c r="E358" s="109" t="n"/>
      <c r="F358" s="109" t="n"/>
      <c r="G358" s="109" t="n"/>
      <c r="H358" s="109" t="n"/>
      <c r="I358" s="109" t="n"/>
      <c r="J358" s="109" t="n"/>
    </row>
    <row r="359" ht="15.9" customFormat="1" customHeight="1" s="278">
      <c r="A359" s="44" t="n"/>
      <c r="B359" s="278" t="n"/>
      <c r="C359" s="278" t="n"/>
      <c r="D359" s="161" t="n"/>
      <c r="E359" s="109" t="n"/>
      <c r="F359" s="109" t="n"/>
      <c r="G359" s="109" t="n"/>
      <c r="H359" s="109" t="n"/>
      <c r="I359" s="44" t="n"/>
      <c r="J359" s="119" t="n"/>
    </row>
    <row r="360" ht="15.9" customFormat="1" customHeight="1" s="278">
      <c r="A360" s="40" t="n"/>
      <c r="B360" s="44" t="n"/>
      <c r="C360" s="44" t="n"/>
      <c r="D360" s="84" t="n"/>
      <c r="E360" s="44" t="n"/>
      <c r="F360" s="44" t="n"/>
      <c r="G360" s="44" t="n"/>
      <c r="H360" s="44" t="n"/>
      <c r="I360" s="32" t="n"/>
      <c r="J360" s="40" t="n"/>
    </row>
    <row r="361" ht="15.9" customFormat="1" customHeight="1" s="278">
      <c r="A361" s="27" t="n"/>
      <c r="B361" s="40" t="n"/>
      <c r="C361" s="44" t="n"/>
      <c r="D361" s="85" t="n"/>
      <c r="E361" s="40" t="n"/>
      <c r="F361" s="32" t="n"/>
      <c r="G361" s="40" t="n"/>
      <c r="H361" s="32" t="n"/>
      <c r="I361" s="501" t="n"/>
      <c r="J361" s="501" t="n"/>
    </row>
    <row r="362" ht="15.9" customFormat="1" customHeight="1" s="278">
      <c r="A362" s="27" t="n"/>
      <c r="B362" s="278" t="n"/>
      <c r="C362" s="93" t="n"/>
      <c r="D362" s="161" t="n"/>
      <c r="E362" s="109" t="n"/>
      <c r="F362" s="109" t="n"/>
      <c r="G362" s="109" t="n"/>
      <c r="H362" s="93" t="n"/>
      <c r="I362" s="163" t="n"/>
      <c r="J362" s="163" t="n"/>
    </row>
    <row r="363" ht="15.9" customFormat="1" customHeight="1" s="278">
      <c r="A363" s="27" t="n"/>
      <c r="B363" s="278" t="n"/>
      <c r="C363" s="163" t="n"/>
      <c r="D363" s="161" t="n"/>
      <c r="E363" s="109" t="n"/>
      <c r="F363" s="109" t="n"/>
      <c r="G363" s="109" t="n"/>
      <c r="H363" s="163" t="n"/>
      <c r="I363" s="161" t="n"/>
      <c r="J363" s="16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61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87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161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D376" s="161" t="n"/>
      <c r="E376" s="109" t="n"/>
      <c r="F376" s="109" t="n"/>
      <c r="G376" s="278" t="n"/>
      <c r="H376" s="278" t="n"/>
      <c r="I376" s="501" t="n"/>
      <c r="J376" s="501" t="n"/>
    </row>
    <row r="377" ht="15.9" customFormat="1" customHeight="1" s="278">
      <c r="A377" s="27" t="n"/>
      <c r="B377" s="278" t="n"/>
      <c r="C377" s="278" t="n"/>
      <c r="D377" s="161" t="n"/>
      <c r="E377" s="109" t="n"/>
      <c r="F377" s="109" t="n"/>
      <c r="G377" s="109" t="n"/>
      <c r="H377" s="109" t="n"/>
      <c r="I377" s="501" t="n"/>
      <c r="J377" s="501" t="n"/>
    </row>
    <row r="378" ht="15.9" customFormat="1" customHeight="1" s="278">
      <c r="A378" s="27" t="n"/>
      <c r="B378" s="278" t="n"/>
      <c r="C378" s="278" t="n"/>
      <c r="D378" s="161" t="n"/>
      <c r="E378" s="109" t="n"/>
      <c r="F378" s="109" t="n"/>
      <c r="G378" s="109" t="n"/>
      <c r="H378" s="109" t="n"/>
      <c r="I378" s="501" t="n"/>
      <c r="J378" s="501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09" t="n"/>
      <c r="I379" s="501" t="n"/>
      <c r="J379" s="50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93" t="n"/>
      <c r="I380" s="163" t="n"/>
      <c r="J380" s="163" t="n"/>
    </row>
    <row r="381" ht="15.9" customFormat="1" customHeight="1" s="278">
      <c r="A381" s="27" t="n"/>
      <c r="B381" s="278" t="n"/>
      <c r="C381" s="63" t="n"/>
      <c r="D381" s="161" t="n"/>
      <c r="E381" s="109" t="n"/>
      <c r="F381" s="109" t="n"/>
      <c r="G381" s="109" t="n"/>
      <c r="H381" s="163" t="n"/>
      <c r="I381" s="161" t="n"/>
      <c r="J381" s="161" t="n"/>
    </row>
    <row r="382" ht="15.9" customFormat="1" customHeight="1" s="278">
      <c r="A382" s="27" t="n"/>
      <c r="B382" s="278" t="n"/>
      <c r="C382" s="287" t="n"/>
      <c r="D382" s="161" t="n"/>
      <c r="E382" s="109" t="n"/>
      <c r="F382" s="109" t="n"/>
      <c r="G382" s="109" t="n"/>
      <c r="H382" s="161" t="n"/>
      <c r="I382" s="501" t="n"/>
      <c r="J382" s="501" t="n"/>
    </row>
    <row r="383" ht="15.9" customFormat="1" customHeight="1" s="278">
      <c r="A383" s="27" t="n"/>
      <c r="B383" s="278" t="n"/>
      <c r="C383" s="161" t="n"/>
      <c r="D383" s="161" t="n"/>
      <c r="E383" s="109" t="n"/>
      <c r="F383" s="109" t="n"/>
      <c r="G383" s="109" t="n"/>
      <c r="H383" s="93" t="n"/>
      <c r="I383" s="163" t="n"/>
      <c r="J383" s="163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63" t="n"/>
      <c r="I384" s="161" t="n"/>
      <c r="J384" s="16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61" t="n"/>
      <c r="I385" s="501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501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501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09" t="n"/>
      <c r="J388" s="501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09" t="n"/>
      <c r="I389" s="109" t="n"/>
      <c r="J389" s="501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109" t="n"/>
      <c r="I390" s="109" t="n"/>
      <c r="J390" s="501" t="n"/>
    </row>
    <row r="391" ht="15.9" customFormat="1" customHeight="1" s="278">
      <c r="A391" s="27" t="n"/>
      <c r="B391" s="278" t="n"/>
      <c r="C391" s="278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278" t="n"/>
      <c r="D392" s="161" t="n"/>
      <c r="E392" s="109" t="n"/>
      <c r="F392" s="109" t="n"/>
      <c r="G392" s="109" t="n"/>
      <c r="H392" s="109" t="n"/>
      <c r="I392" s="164" t="n"/>
      <c r="J392" s="164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64" t="n"/>
      <c r="I393" s="302" t="n"/>
      <c r="J393" s="302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302" t="n"/>
      <c r="I394" s="161" t="n"/>
      <c r="J394" s="161" t="n"/>
    </row>
    <row r="395" ht="15.9" customFormat="1" customHeight="1" s="278">
      <c r="A395" s="27" t="n"/>
      <c r="B395" s="278" t="n"/>
      <c r="C395" s="63" t="n"/>
      <c r="D395" s="161" t="n"/>
      <c r="E395" s="109" t="n"/>
      <c r="F395" s="109" t="n"/>
      <c r="G395" s="109" t="n"/>
      <c r="H395" s="161" t="n"/>
      <c r="I395" s="501" t="n"/>
      <c r="J395" s="501" t="n"/>
    </row>
    <row r="396" ht="15.9" customFormat="1" customHeight="1" s="278">
      <c r="A396" s="27" t="n"/>
      <c r="B396" s="278" t="n"/>
      <c r="C396" s="287" t="n"/>
      <c r="D396" s="161" t="n"/>
      <c r="E396" s="109" t="n"/>
      <c r="F396" s="109" t="n"/>
      <c r="G396" s="109" t="n"/>
      <c r="H396" s="109" t="n"/>
      <c r="I396" s="109" t="n"/>
      <c r="J396" s="501" t="n"/>
    </row>
    <row r="397" ht="15.9" customFormat="1" customHeight="1" s="278">
      <c r="A397" s="27" t="n"/>
      <c r="B397" s="278" t="n"/>
      <c r="C397" s="161" t="n"/>
      <c r="D397" s="161" t="n"/>
      <c r="E397" s="109" t="n"/>
      <c r="F397" s="109" t="n"/>
      <c r="G397" s="109" t="n"/>
      <c r="H397" s="109" t="n"/>
      <c r="I397" s="501" t="n"/>
      <c r="J397" s="501" t="n"/>
    </row>
    <row r="398" ht="15.9" customFormat="1" customHeight="1" s="278">
      <c r="A398" s="27" t="n"/>
      <c r="B398" s="278" t="n"/>
      <c r="C398" s="278" t="n"/>
      <c r="D398" s="161" t="n"/>
      <c r="E398" s="109" t="n"/>
      <c r="F398" s="109" t="n"/>
      <c r="G398" s="109" t="n"/>
      <c r="H398" s="109" t="n"/>
      <c r="I398" s="501" t="n"/>
      <c r="J398" s="501" t="n"/>
    </row>
    <row r="399" ht="15.9" customFormat="1" customHeight="1" s="278">
      <c r="A399" s="27" t="n"/>
      <c r="B399" s="278" t="n"/>
      <c r="C399" s="278" t="n"/>
      <c r="D399" s="161" t="n"/>
      <c r="E399" s="109" t="n"/>
      <c r="F399" s="109" t="n"/>
      <c r="G399" s="109" t="n"/>
      <c r="H399" s="109" t="n"/>
      <c r="I399" s="501" t="n"/>
      <c r="J399" s="501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101" t="n"/>
      <c r="B406" s="278" t="n"/>
      <c r="C406" s="278" t="n"/>
      <c r="D406" s="161" t="n"/>
      <c r="E406" s="109" t="n"/>
      <c r="F406" s="109" t="n"/>
      <c r="G406" s="109" t="n"/>
      <c r="H406" s="109" t="n"/>
      <c r="I406" s="109" t="n"/>
      <c r="J406" s="109" t="n"/>
    </row>
    <row r="407" ht="15.9" customFormat="1" customHeight="1" s="278">
      <c r="A407" s="101" t="n"/>
      <c r="B407" s="278" t="n"/>
      <c r="C407" s="278" t="n"/>
      <c r="D407" s="161" t="n"/>
      <c r="E407" s="109" t="n"/>
      <c r="F407" s="109" t="n"/>
      <c r="G407" s="109" t="n"/>
      <c r="H407" s="109" t="n"/>
      <c r="I407" s="109" t="n"/>
      <c r="J407" s="109" t="n"/>
    </row>
    <row r="408" ht="15.9" customFormat="1" customHeight="1" s="23">
      <c r="A408" s="101" t="n"/>
      <c r="B408" s="278" t="n"/>
      <c r="C408" s="278" t="n"/>
      <c r="D408" s="161" t="n"/>
      <c r="E408" s="109" t="n"/>
      <c r="F408" s="109" t="n"/>
      <c r="G408" s="109" t="n"/>
      <c r="H408" s="109" t="n"/>
      <c r="I408" s="109" t="n"/>
      <c r="J408" s="109" t="n"/>
    </row>
    <row r="409" ht="15.9" customFormat="1" customHeight="1" s="278">
      <c r="A409" s="44" t="n"/>
      <c r="B409" s="278" t="n"/>
      <c r="C409" s="278" t="n"/>
      <c r="D409" s="161" t="n"/>
      <c r="E409" s="109" t="n"/>
      <c r="F409" s="109" t="n"/>
      <c r="G409" s="109" t="n"/>
      <c r="H409" s="109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$I$126-85.5</f>
        <v/>
      </c>
      <c r="E520" s="186" t="inlineStr">
        <is>
          <t>-</t>
        </is>
      </c>
      <c r="F520" s="658" t="inlineStr">
        <is>
          <t>PANEL 1 Height - 85.5</t>
        </is>
      </c>
      <c r="G520" s="659" t="n"/>
      <c r="H520" s="186" t="inlineStr">
        <is>
          <t>((W-185-(113.25 × 5)/6)-13</t>
        </is>
      </c>
      <c r="I520" s="124">
        <f>(($J$128-185-(113.25*5))/6)-13</f>
        <v/>
      </c>
      <c r="J520" s="151">
        <f>$J$120*12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43">
        <f>IF(C521="","",+A520+1)</f>
        <v/>
      </c>
      <c r="B521" s="140">
        <f>IF($D$127=5,N520,IF($D$127=6,N521,IF($D$127=8,N522,IF($D$127=10,N523,IF($D$127=12,N524,IF($D$127=14,N525,IF($D$127=18,N526,IF($D$127=20,N527,IF($D$127=22,N528,)))))))))</f>
        <v/>
      </c>
      <c r="C521" s="140">
        <f>IF($D$127=5,O520,IF($D$127=6,O521,IF($D$127=8,O522,IF($D$127=10,O523,IF($D$127=12,O524,IF($D$127=14,O525,IF($D$127=18,O526,IF($D$127=20,O527,IF($D$127=22,O528,)))))))))</f>
        <v/>
      </c>
      <c r="D521" s="242">
        <f>$J$126-48</f>
        <v/>
      </c>
      <c r="E521" s="242" t="n"/>
      <c r="F521" s="676" t="inlineStr">
        <is>
          <t>PANEL 2 Height - 48</t>
        </is>
      </c>
      <c r="G521" s="671" t="n"/>
      <c r="H521" s="242" t="inlineStr">
        <is>
          <t>((W-185-(113.25 × 5)/6)-13</t>
        </is>
      </c>
      <c r="I521" s="298">
        <f>(($J$128-185-(113.25*5))/6)-13</f>
        <v/>
      </c>
      <c r="J521" s="299">
        <f>$J$120*6</f>
        <v/>
      </c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43">
        <f>IF(C522="","",+A521+1)</f>
        <v/>
      </c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IF(C523="","",+A522+1)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D121:G121"/>
    <mergeCell ref="A131:J131"/>
    <mergeCell ref="H161:H162"/>
    <mergeCell ref="H128:I129"/>
    <mergeCell ref="I154:J154"/>
    <mergeCell ref="H173:H174"/>
    <mergeCell ref="D129:G129"/>
    <mergeCell ref="D123:G123"/>
    <mergeCell ref="A117:J117"/>
    <mergeCell ref="J123:J124"/>
    <mergeCell ref="I166:J167"/>
    <mergeCell ref="F521:G521"/>
    <mergeCell ref="I156:J156"/>
    <mergeCell ref="A518:J518"/>
    <mergeCell ref="A320:J320"/>
    <mergeCell ref="H159:H160"/>
    <mergeCell ref="F331:G331"/>
    <mergeCell ref="H120:I121"/>
    <mergeCell ref="D169:D171"/>
    <mergeCell ref="D163:D168"/>
    <mergeCell ref="D119:G119"/>
    <mergeCell ref="J128:J129"/>
    <mergeCell ref="F330:G330"/>
    <mergeCell ref="A175:J175"/>
    <mergeCell ref="H163:H168"/>
    <mergeCell ref="A6:J6"/>
    <mergeCell ref="I155:J155"/>
    <mergeCell ref="I161:J161"/>
    <mergeCell ref="D161:D162"/>
    <mergeCell ref="A427:J427"/>
    <mergeCell ref="J120:J121"/>
    <mergeCell ref="I157:J157"/>
    <mergeCell ref="D173:D174"/>
    <mergeCell ref="F338:G338"/>
    <mergeCell ref="A125:B125"/>
    <mergeCell ref="D159:D160"/>
    <mergeCell ref="F520:G520"/>
    <mergeCell ref="H169:H171"/>
    <mergeCell ref="I159:J160"/>
    <mergeCell ref="D125:G125"/>
    <mergeCell ref="H123:I124"/>
    <mergeCell ref="A213:J213"/>
  </mergeCells>
  <dataValidations disablePrompts="1" count="4">
    <dataValidation sqref="D129:G129" showDropDown="0" showInputMessage="1" showErrorMessage="1" allowBlank="1" type="list">
      <formula1>$O$120</formula1>
    </dataValidation>
    <dataValidation sqref="C206" showDropDown="0" showInputMessage="1" showErrorMessage="1" allowBlank="1" type="list">
      <formula1>$O$177:$O$195</formula1>
    </dataValidation>
    <dataValidation sqref="D127:G127" showDropDown="0" showInputMessage="1" showErrorMessage="1" allowBlank="1" type="list">
      <formula1>$N$120:$N$128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codeName="Sheet19">
    <tabColor theme="5" tint="-0.249977111117893"/>
    <outlinePr summaryBelow="1" summaryRight="1"/>
    <pageSetUpPr/>
  </sheetPr>
  <dimension ref="A2:X528"/>
  <sheetViews>
    <sheetView showGridLines="0" view="pageBreakPreview" topLeftCell="A106" zoomScale="75" zoomScaleNormal="75" zoomScaleSheetLayoutView="75" workbookViewId="0">
      <selection activeCell="D127" sqref="D127:G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11" customWidth="1" style="344" min="17" max="17"/>
    <col hidden="1" outlineLevel="1" width="13.88671875" customWidth="1" style="344" min="18" max="18"/>
    <col hidden="1" outlineLevel="1" width="11.441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7.664062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(5L1R)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FG-240-6P5L1R-01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332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12</v>
      </c>
      <c r="U133" s="283" t="inlineStr">
        <is>
          <t>(W-185-(113.25 × 5))/6</t>
        </is>
      </c>
      <c r="V133" s="307">
        <f>($J$126-185-(113.25*5))/6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12</v>
      </c>
      <c r="U134" s="143" t="inlineStr">
        <is>
          <t>(W-185-(113.25 × 5))/6</t>
        </is>
      </c>
      <c r="V134" s="178">
        <f>($J$126-185-(113.25*5))/6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12</v>
      </c>
      <c r="U135" s="240" t="inlineStr">
        <is>
          <t>(W-185-(113.25 × 5))/6</t>
        </is>
      </c>
      <c r="V135" s="308">
        <f>($J$126-185-(113.25*5))/6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12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12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12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 (W-60-(6+1)×4)/6</t>
        </is>
      </c>
      <c r="I141" s="178">
        <f>($J$126-60-(6+1)*4)/6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 (W-60-(6+1)×4)/6</t>
        </is>
      </c>
      <c r="I142" s="178">
        <f>($J$126-60-(6+1)*4)/6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12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2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ชุดบานพับต่างระดับมีมือจับ</t>
        </is>
      </c>
      <c r="C183" s="140" t="inlineStr">
        <is>
          <t>offset Hinge Handle Set</t>
        </is>
      </c>
      <c r="D183" s="139" t="inlineStr">
        <is>
          <t>05-005</t>
        </is>
      </c>
      <c r="E183" s="143" t="n"/>
      <c r="F183" s="143" t="inlineStr">
        <is>
          <t>05-005</t>
        </is>
      </c>
      <c r="G183" s="143" t="inlineStr">
        <is>
          <t>SET</t>
        </is>
      </c>
      <c r="H183" s="143" t="n">
        <v>1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4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((($I$141*$G$141*2)+($I$143*$G$143*2)+($I$144*$G$144))/1000)*$J$120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04-015</t>
        </is>
      </c>
      <c r="E188" s="143" t="n"/>
      <c r="F188" s="143" t="inlineStr">
        <is>
          <t>04-015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((($I$141*$G$141*2)+($I$143*$G$143*2)+($I$144*$G$144))/1000)*$J$120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2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กลอนสวิง 250 มม.</t>
        </is>
      </c>
      <c r="C190" s="140" t="inlineStr">
        <is>
          <t>Surface mounted flush bolt</t>
        </is>
      </c>
      <c r="D190" s="139" t="inlineStr">
        <is>
          <t>00-020-25</t>
        </is>
      </c>
      <c r="E190" s="143" t="n"/>
      <c r="F190" s="143" t="inlineStr">
        <is>
          <t>00-020-25</t>
        </is>
      </c>
      <c r="G190" s="143" t="inlineStr">
        <is>
          <t>SET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900 มม.</t>
        </is>
      </c>
      <c r="C191" s="140" t="inlineStr">
        <is>
          <t>Surface mounted flush bolt</t>
        </is>
      </c>
      <c r="D191" s="139" t="inlineStr">
        <is>
          <t>00-020-90</t>
        </is>
      </c>
      <c r="E191" s="143" t="n"/>
      <c r="F191" s="143" t="inlineStr">
        <is>
          <t>00-020-90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สักหลาดบังใบ</t>
        </is>
      </c>
      <c r="C192" s="140" t="inlineStr">
        <is>
          <t>MOHAIR FOR SASH STOP</t>
        </is>
      </c>
      <c r="D192" s="139" t="inlineStr">
        <is>
          <t>02-028</t>
        </is>
      </c>
      <c r="E192" s="143" t="n"/>
      <c r="F192" s="143" t="inlineStr">
        <is>
          <t>02-028</t>
        </is>
      </c>
      <c r="G192" s="143" t="inlineStr">
        <is>
          <t>M</t>
        </is>
      </c>
      <c r="H192" s="652">
        <f>((($I$148*$G$148)+($I$149*$G$149))/1000)*$J$120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สักหลาดเสา</t>
        </is>
      </c>
      <c r="C193" s="140" t="inlineStr">
        <is>
          <t>MOHAIR FOR SASH (Ver)</t>
        </is>
      </c>
      <c r="D193" s="139" t="inlineStr">
        <is>
          <t>02-036</t>
        </is>
      </c>
      <c r="E193" s="143" t="n"/>
      <c r="F193" s="143" t="inlineStr">
        <is>
          <t>02-036</t>
        </is>
      </c>
      <c r="G193" s="143" t="inlineStr">
        <is>
          <t>M</t>
        </is>
      </c>
      <c r="H193" s="652">
        <f>((($I$144*$G$144)+($I$145*$G$145))/1000)*$J$120</f>
        <v/>
      </c>
      <c r="I193" s="653" t="n">
        <v>100</v>
      </c>
      <c r="J193" s="654">
        <f>ROUNDUP((H193)/100,0)</f>
        <v/>
      </c>
    </row>
    <row r="194" ht="18" customHeight="1" s="344">
      <c r="A194" s="201">
        <f>IF(B194="","",+A193+1)</f>
        <v/>
      </c>
      <c r="B194" s="139">
        <f>IF($D$129="Standard",$O$185,IF($D$129="Soumdproof",$O$186,))</f>
        <v/>
      </c>
      <c r="C194" s="139">
        <f>IF($D$129="Standard",$P$185,IF($D$129="Soumdproof",$P$186,))</f>
        <v/>
      </c>
      <c r="D194" s="139">
        <f>IF($D$129="Standard",$Q$185,IF($D$129="Soumdproof",$Q$186,))</f>
        <v/>
      </c>
      <c r="E194" s="143">
        <f>IF($D$129="Standard",R190,IF($D$129="Soumdproof",R191,))</f>
        <v/>
      </c>
      <c r="F194" s="143">
        <f>IF($D$129="Standard",$S$185,IF($D$129="Soumdproof",$S$186,))</f>
        <v/>
      </c>
      <c r="G194" s="143">
        <f>IF($D$129="Standard",$T$185,IF($D$129="Soumdproof",$T$186,))</f>
        <v/>
      </c>
      <c r="H194" s="652">
        <f>IF($D$129="Standard",$U$185,IF($D$129="Soumdproof",$U$186,))</f>
        <v/>
      </c>
      <c r="I194" s="653">
        <f>IF($D$129="Standard",$V$185,IF($D$129="Soumdproof",$V$186,))</f>
        <v/>
      </c>
      <c r="J194" s="654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139">
        <f>IF($D$129="Standard",$O$187,IF($D$129="Soumdproof",$O$188,))</f>
        <v/>
      </c>
      <c r="C195" s="139">
        <f>IF($D$129="Standard",$P$187,IF($D$129="Soumdproof",$P$188,))</f>
        <v/>
      </c>
      <c r="D195" s="139">
        <f>IF($D$129="Standard",$Q$187,IF($D$129="Soumdproof",$Q$188,))</f>
        <v/>
      </c>
      <c r="E195" s="143">
        <f>IF($D$129="Standard",R192,IF($D$129="Soumdproof",R193,))</f>
        <v/>
      </c>
      <c r="F195" s="143">
        <f>IF($D$129="Standard",$S$187,IF($D$129="Soumdproof",$S$188,))</f>
        <v/>
      </c>
      <c r="G195" s="143">
        <f>IF($D$129="Standard",$T$187,IF($D$129="Soumdproof",$T$188,))</f>
        <v/>
      </c>
      <c r="H195" s="652">
        <f>IF($D$129="Standard",$U$187,IF($D$129="Soumdproof",$U$188,))</f>
        <v/>
      </c>
      <c r="I195" s="653">
        <f>IF($D$129="Standard",$V$187,IF($D$129="Soumdproof",$V$188,))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296">
        <f>IF($D$127=5,$O$176,IF($D$127=6,$O$177,IF($D$127=8,$O$178,IF($D$127=10,$O$176,IF($D$127=12,$O$176,IF($D$127=14,$O$178,IF($D$127=18,$O$176,IF($D$127=20,$O$177,IF($D$127=22,"")))))))))</f>
        <v/>
      </c>
      <c r="C196" s="296">
        <f>IF($D$127=5,$P$176,IF($D$127=6,$P$177,IF($D$127=8,$P$178,IF($D$127=10,$P$176,IF($D$127=12,$P$176,IF($D$127=14,$P$178,IF($D$127=18,$P$176,IF($D$127=20,$P$177,IF($D$127=22,"")))))))))</f>
        <v/>
      </c>
      <c r="D196" s="296">
        <f>IF($D$127=5,$Q$176,IF($D$127=6,$Q$177,IF($D$127=8,$Q$178,IF($D$127=10,$Q$176,IF($D$127=12,$Q$176,IF($D$127=14,$Q$178,IF($D$127=18,$Q$176,IF($D$127=20,$Q$177,IF($D$127=22,"")))))))))</f>
        <v/>
      </c>
      <c r="E196" s="296">
        <f>IF($D$127=5,R181,IF($D$127=6,R182,IF($D$127=8,R183,IF($D$127=10,R181,IF($D$127=12,R181,IF($D$127=14,R183,IF($D$127=18,R181,IF($D$127=20,R182,IF($D$127=22,"",)))))))))</f>
        <v/>
      </c>
      <c r="F196" s="242">
        <f>IF($D$127=5,$S$176,IF($D$127=6,$S$177,IF($D$127=8,$S$178,IF($D$127=10,$S$176,IF($D$127=12,$S$176,IF($D$127=14,$S$178,IF($D$127=18,$S$176,IF($D$127=20,$S$177,IF($D$127=22,"")))))))))</f>
        <v/>
      </c>
      <c r="G196" s="242">
        <f>IF($D$127=5,$T$176,IF($D$127=6,$T$177,IF($D$127=8,$T$178,IF($D$127=10,$T$176,IF($D$127=12,$T$176,IF($D$127=14,$T$178,IF($D$127=18,$T$176,IF($D$127=20,$T$177,IF($D$127=22,"")))))))))</f>
        <v/>
      </c>
      <c r="H196" s="652">
        <f>IF($D$127=5,$U$176,IF($D$127=6,$U$177,IF($D$127=8,$U$178,IF($D$127=10,$U$176*2,IF($D$127=12,$U$176,IF($D$127=14,$U$178*2,IF($D$127=18,$U$176,IF($D$127=20,$U$177,IF($D$127=22,"")))))))))</f>
        <v/>
      </c>
      <c r="I196" s="653">
        <f>IF($D$127=5,$V$176,IF($D$127=6,$V$177,IF($D$127=8,$V$178,IF($D$127=10,$V$176,IF($D$127=12,$V$176,IF($D$127=14,$V$178,IF($D$127=18,$V$176,IF($D$127=20,$V$177,IF($D$127=22,"")))))))))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IF($D$127=5,$O$174,IF($D$127=6,$O$174,IF($D$127=8,$O$176,IF($D$127=10,"",IF($D$127=12,$O$175,IF($D$127=14,"",IF($D$127=18,$O$174,IF($D$127=20,$O$175,IF($D$127=22,"",)))))))))</f>
        <v/>
      </c>
      <c r="C197" s="296">
        <f>IF($D$127=5,$P$174,IF($D$127=6,$P$174,IF($D$127=8,$P$176,IF($D$127=10,"",IF($D$127=12,$P$175,IF($D$127=14,"",IF($D$127=18,$P$174,IF($D$127=20,$P$175,IF($D$127=22,"",)))))))))</f>
        <v/>
      </c>
      <c r="D197" s="296">
        <f>IF($D$127=5,$Q$174,IF($D$127=6,$Q$174,IF($D$127=8,$Q$176,IF($D$127=10,"",IF($D$127=12,$Q$175,IF($D$127=14,"",IF($D$127=18,$Q$174,IF($D$127=20,$Q$175,IF($D$127=22,"",)))))))))</f>
        <v/>
      </c>
      <c r="E197" s="296">
        <f>IF($D$127=5,R179,IF($D$127=6,R179,IF($D$127=8,R181,IF($D$127=10,"",IF($D$127=12,R180,IF($D$127=14,"",IF($D$127=18,R179,IF($D$127=20,R180,IF($D$127=22,"",)))))))))</f>
        <v/>
      </c>
      <c r="F197" s="242">
        <f>IF($D$127=5,$S$174,IF($D$127=6,$S$174,IF($D$127=8,$S$176,IF($D$127=10,"",IF($D$127=12,$S$175,IF($D$127=14,"",IF($D$127=18,$S$174,IF($D$127=20,$S$175,IF($D$127=22,"",)))))))))</f>
        <v/>
      </c>
      <c r="G197" s="242">
        <f>IF($D$127=5,$T$174,IF($D$127=6,$T$174,IF($D$127=8,$T$176,IF($D$127=10,"",IF($D$127=12,$T$175,IF($D$127=14,"",IF($D$127=18,$T$174,IF($D$127=20,$T$175,IF($D$127=22,"",)))))))))</f>
        <v/>
      </c>
      <c r="H197" s="652">
        <f>IF($D$127=5,$U$174,IF($D$127=6,$U$174,IF($D$127=8,$U$176,IF($D$127=10,"",IF($D$127=12,$U$175,IF($D$127=14,"",IF($D$127=18,$U$174,IF($D$127=20,$U$175,IF($D$127=22,"")))))))))</f>
        <v/>
      </c>
      <c r="I197" s="653">
        <f>IF($D$127=5,$V$174,IF($D$127=6,$V$174,IF($D$127=8,$V$176,IF($D$127=10,"",IF($D$127=12,$V$175,IF($D$127=14,"",IF($D$127=18,$V$174,IF($D$127=20,$V$175,IF($D$127=22,"",)))))))))</f>
        <v/>
      </c>
      <c r="J197" s="654">
        <f>ROUNDUP((H197)/100,0)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Height="1" s="344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2.75" customHeight="1" s="344">
      <c r="A207" s="109" t="n"/>
      <c r="J207" s="99">
        <f>LEFT($J$111,13)&amp;"-02"</f>
        <v/>
      </c>
      <c r="K207" s="37" t="n"/>
      <c r="L207" s="37" t="n"/>
      <c r="M207" s="2" t="n"/>
      <c r="N207" s="2" t="n"/>
    </row>
    <row r="208" ht="30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5" t="n"/>
      <c r="L208" s="35" t="n"/>
      <c r="M208" s="2" t="n"/>
      <c r="N208" s="2" t="n"/>
    </row>
    <row r="209" ht="24.9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M210" s="4" t="n"/>
      <c r="N210" s="4" t="n"/>
    </row>
    <row r="211" ht="15" customFormat="1" customHeight="1" s="278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K211" s="4" t="n"/>
      <c r="L211" s="4" t="n"/>
      <c r="M211" s="4" t="n"/>
      <c r="N211" s="4" t="n"/>
    </row>
    <row r="212" ht="24.9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278" t="n"/>
      <c r="L212" s="278" t="n"/>
      <c r="M212" s="278" t="n"/>
      <c r="N212" s="278" t="n"/>
    </row>
    <row r="213" ht="20.4" customHeight="1" s="344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</row>
    <row r="214" ht="15" customFormat="1" customHeight="1" s="278">
      <c r="D214" s="345" t="n"/>
      <c r="J214" s="112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.6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.9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5))/6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5))/6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3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H286" s="278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5))/6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5))/6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$I$146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$J$146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89" t="inlineStr">
        <is>
          <t xml:space="preserve">                   Sash Stop</t>
        </is>
      </c>
      <c r="D305" s="161" t="n"/>
      <c r="E305" s="109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328" t="inlineStr">
        <is>
          <t xml:space="preserve">                          = FAME HIGHT - 92.00</t>
        </is>
      </c>
      <c r="D306" s="328" t="n"/>
      <c r="E306" s="328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542" t="inlineStr">
        <is>
          <t xml:space="preserve">                          ความสูง (วงกบ) - 92.00</t>
        </is>
      </c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6">
        <f>$I$148</f>
        <v/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$J$148+$J$149</f>
        <v/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2.75" customHeight="1" s="344">
      <c r="A314" s="27" t="n"/>
      <c r="B314" s="278" t="n"/>
      <c r="C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24.9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M317" s="4" t="n"/>
      <c r="N317" s="4" t="n"/>
    </row>
    <row r="318" ht="15" customFormat="1" customHeight="1" s="278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K318" s="4" t="n"/>
      <c r="L318" s="4" t="n"/>
      <c r="M318" s="4" t="n"/>
      <c r="N318" s="4" t="n"/>
    </row>
    <row r="319" ht="24.9" customHeight="1" s="344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0.4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</row>
    <row r="321" ht="15" customFormat="1" customHeight="1" s="278">
      <c r="D321" s="345" t="n"/>
      <c r="J321" s="112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72" t="n"/>
      <c r="B336" s="109" t="n"/>
      <c r="C336" s="161" t="n"/>
      <c r="D336" s="161" t="n"/>
      <c r="E336" s="109" t="n"/>
      <c r="F336" s="37" t="n"/>
      <c r="G336" s="278" t="n"/>
      <c r="H336" s="109" t="n"/>
      <c r="I336" s="109" t="n"/>
      <c r="J336" s="109" t="n"/>
    </row>
    <row r="337" ht="15.9" customFormat="1" customHeight="1" s="278">
      <c r="A337" s="44" t="n"/>
      <c r="C337" s="43" t="n"/>
      <c r="D337" s="161" t="n"/>
      <c r="E337" s="109" t="n"/>
      <c r="F337" s="109" t="n"/>
      <c r="G337" s="109" t="n"/>
      <c r="H337" s="109" t="n"/>
      <c r="I337" s="44" t="n"/>
      <c r="J337" s="119" t="n"/>
    </row>
    <row r="338" ht="15.9" customFormat="1" customHeight="1" s="278">
      <c r="A338" s="40" t="n"/>
      <c r="C338" s="44" t="n"/>
      <c r="D338" s="84" t="n"/>
      <c r="E338" s="44" t="n"/>
      <c r="F338" s="44" t="n"/>
      <c r="G338" s="44" t="n"/>
      <c r="H338" s="44" t="n"/>
      <c r="I338" s="32" t="n"/>
      <c r="J338" s="40" t="n"/>
    </row>
    <row r="339" ht="15.9" customFormat="1" customHeight="1" s="278">
      <c r="A339" s="109" t="n"/>
      <c r="C339" s="161" t="n"/>
      <c r="D339" s="85" t="n"/>
      <c r="E339" s="40" t="n"/>
      <c r="F339" s="32" t="n"/>
      <c r="G339" s="40" t="n"/>
      <c r="H339" s="32" t="n"/>
      <c r="I339" s="501" t="n"/>
      <c r="J339" s="501" t="n"/>
    </row>
    <row r="340" ht="15.9" customFormat="1" customHeight="1" s="278">
      <c r="A340" s="109" t="n"/>
      <c r="C340" s="163" t="n"/>
      <c r="D340" s="161" t="n"/>
      <c r="E340" s="109" t="n"/>
      <c r="F340" s="161" t="n"/>
      <c r="G340" s="109" t="n"/>
      <c r="H340" s="109" t="n"/>
      <c r="I340" s="501" t="n"/>
      <c r="J340" s="501" t="n"/>
    </row>
    <row r="341" ht="15.9" customFormat="1" customHeight="1" s="278">
      <c r="A341" s="109" t="n"/>
      <c r="B341" s="278" t="n"/>
      <c r="C341" s="161" t="n"/>
      <c r="D341" s="161" t="n"/>
      <c r="E341" s="109" t="n"/>
      <c r="F341" s="161" t="n"/>
      <c r="G341" s="109" t="n"/>
      <c r="H341" s="109" t="n"/>
      <c r="I341" s="162" t="n"/>
      <c r="J341" s="162" t="n"/>
    </row>
    <row r="342" ht="15.9" customFormat="1" customHeight="1" s="278">
      <c r="A342" s="109" t="n"/>
      <c r="B342" s="278" t="n"/>
      <c r="C342" s="44" t="n"/>
      <c r="D342" s="161" t="n"/>
      <c r="E342" s="109" t="n"/>
      <c r="F342" s="161" t="n"/>
      <c r="G342" s="109" t="n"/>
      <c r="H342" s="162" t="n"/>
      <c r="I342" s="161" t="n"/>
      <c r="J342" s="161" t="n"/>
    </row>
    <row r="343" ht="15.9" customFormat="1" customHeight="1" s="278">
      <c r="A343" s="109" t="n"/>
      <c r="B343" s="278" t="n"/>
      <c r="C343" s="93" t="n"/>
      <c r="D343" s="161" t="n"/>
      <c r="E343" s="109" t="n"/>
      <c r="F343" s="161" t="n"/>
      <c r="G343" s="109" t="n"/>
      <c r="H343" s="161" t="n"/>
      <c r="I343" s="161" t="n"/>
      <c r="J343" s="161" t="n"/>
    </row>
    <row r="344" ht="15.9" customFormat="1" customHeight="1" s="278">
      <c r="A344" s="109" t="n"/>
      <c r="B344" s="278" t="n"/>
      <c r="C344" s="163" t="n"/>
      <c r="D344" s="161" t="n"/>
      <c r="E344" s="109" t="n"/>
      <c r="F344" s="161" t="n"/>
      <c r="G344" s="109" t="n"/>
      <c r="H344" s="161" t="n"/>
      <c r="I344" s="109" t="n"/>
      <c r="J344" s="501" t="n"/>
    </row>
    <row r="345" ht="15.9" customFormat="1" customHeight="1" s="278">
      <c r="A345" s="109" t="n"/>
      <c r="B345" s="278" t="n"/>
      <c r="C345" s="161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278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44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163" t="n"/>
      <c r="D351" s="161" t="n"/>
      <c r="E351" s="109" t="n"/>
      <c r="F351" s="161" t="n"/>
      <c r="G351" s="109" t="n"/>
      <c r="H351" s="109" t="n"/>
      <c r="I351" s="109" t="n"/>
      <c r="J351" s="501" t="n"/>
    </row>
    <row r="352" ht="15.9" customFormat="1" customHeight="1" s="278">
      <c r="A352" s="109" t="n"/>
      <c r="B352" s="278" t="n"/>
      <c r="C352" s="161" t="n"/>
      <c r="D352" s="161" t="n"/>
      <c r="E352" s="109" t="n"/>
      <c r="F352" s="161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7" t="n"/>
      <c r="I354" s="501" t="n"/>
      <c r="J354" s="501" t="n"/>
    </row>
    <row r="355" ht="15.9" customFormat="1" customHeight="1" s="278">
      <c r="A355" s="109" t="n"/>
      <c r="B355" s="278" t="n"/>
      <c r="C355" s="278" t="n"/>
      <c r="D355" s="161" t="n"/>
      <c r="E355" s="109" t="n"/>
      <c r="F355" s="109" t="n"/>
      <c r="G355" s="109" t="n"/>
      <c r="H355" s="109" t="n"/>
      <c r="I355" s="109" t="n"/>
      <c r="J355" s="109" t="n"/>
    </row>
    <row r="356" ht="15.9" customFormat="1" customHeight="1" s="278">
      <c r="A356" s="44" t="n"/>
      <c r="B356" s="278" t="n"/>
      <c r="C356" s="278" t="n"/>
      <c r="D356" s="161" t="n"/>
      <c r="E356" s="109" t="n"/>
      <c r="F356" s="109" t="n"/>
      <c r="G356" s="109" t="n"/>
      <c r="H356" s="109" t="n"/>
      <c r="I356" s="44" t="n"/>
      <c r="J356" s="119" t="n"/>
    </row>
    <row r="357" ht="15.9" customFormat="1" customHeight="1" s="278">
      <c r="A357" s="40" t="n"/>
      <c r="B357" s="44" t="n"/>
      <c r="C357" s="44" t="n"/>
      <c r="D357" s="84" t="n"/>
      <c r="E357" s="44" t="n"/>
      <c r="F357" s="44" t="n"/>
      <c r="G357" s="44" t="n"/>
      <c r="H357" s="44" t="n"/>
      <c r="I357" s="32" t="n"/>
      <c r="J357" s="40" t="n"/>
    </row>
    <row r="358" ht="15.9" customFormat="1" customHeight="1" s="278">
      <c r="A358" s="27" t="n"/>
      <c r="B358" s="40" t="n"/>
      <c r="C358" s="44" t="n"/>
      <c r="D358" s="85" t="n"/>
      <c r="E358" s="40" t="n"/>
      <c r="F358" s="32" t="n"/>
      <c r="G358" s="40" t="n"/>
      <c r="H358" s="32" t="n"/>
      <c r="I358" s="501" t="n"/>
      <c r="J358" s="501" t="n"/>
    </row>
    <row r="359" ht="15.9" customFormat="1" customHeight="1" s="278">
      <c r="A359" s="27" t="n"/>
      <c r="B359" s="278" t="n"/>
      <c r="C359" s="93" t="n"/>
      <c r="D359" s="161" t="n"/>
      <c r="E359" s="109" t="n"/>
      <c r="F359" s="109" t="n"/>
      <c r="G359" s="109" t="n"/>
      <c r="H359" s="93" t="n"/>
      <c r="I359" s="163" t="n"/>
      <c r="J359" s="163" t="n"/>
    </row>
    <row r="360" ht="15.9" customFormat="1" customHeight="1" s="278">
      <c r="A360" s="27" t="n"/>
      <c r="B360" s="278" t="n"/>
      <c r="C360" s="163" t="n"/>
      <c r="D360" s="161" t="n"/>
      <c r="E360" s="109" t="n"/>
      <c r="F360" s="109" t="n"/>
      <c r="G360" s="109" t="n"/>
      <c r="H360" s="163" t="n"/>
      <c r="I360" s="161" t="n"/>
      <c r="J360" s="161" t="n"/>
    </row>
    <row r="361" ht="15.9" customFormat="1" customHeight="1" s="278">
      <c r="A361" s="27" t="n"/>
      <c r="B361" s="278" t="n"/>
      <c r="C361" s="161" t="n"/>
      <c r="D361" s="161" t="n"/>
      <c r="E361" s="109" t="n"/>
      <c r="F361" s="109" t="n"/>
      <c r="G361" s="109" t="n"/>
      <c r="H361" s="161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87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161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D373" s="161" t="n"/>
      <c r="E373" s="109" t="n"/>
      <c r="F373" s="109" t="n"/>
      <c r="G373" s="278" t="n"/>
      <c r="H373" s="278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109" t="n"/>
      <c r="I376" s="501" t="n"/>
      <c r="J376" s="501" t="n"/>
    </row>
    <row r="377" ht="15.9" customFormat="1" customHeight="1" s="278">
      <c r="A377" s="27" t="n"/>
      <c r="B377" s="278" t="n"/>
      <c r="C377" s="278" t="n"/>
      <c r="D377" s="161" t="n"/>
      <c r="E377" s="109" t="n"/>
      <c r="F377" s="109" t="n"/>
      <c r="G377" s="109" t="n"/>
      <c r="H377" s="93" t="n"/>
      <c r="I377" s="163" t="n"/>
      <c r="J377" s="163" t="n"/>
    </row>
    <row r="378" ht="15.9" customFormat="1" customHeight="1" s="278">
      <c r="A378" s="27" t="n"/>
      <c r="B378" s="278" t="n"/>
      <c r="C378" s="63" t="n"/>
      <c r="D378" s="161" t="n"/>
      <c r="E378" s="109" t="n"/>
      <c r="F378" s="109" t="n"/>
      <c r="G378" s="109" t="n"/>
      <c r="H378" s="163" t="n"/>
      <c r="I378" s="161" t="n"/>
      <c r="J378" s="161" t="n"/>
    </row>
    <row r="379" ht="15.9" customFormat="1" customHeight="1" s="278">
      <c r="A379" s="27" t="n"/>
      <c r="B379" s="278" t="n"/>
      <c r="C379" s="287" t="n"/>
      <c r="D379" s="161" t="n"/>
      <c r="E379" s="109" t="n"/>
      <c r="F379" s="109" t="n"/>
      <c r="G379" s="109" t="n"/>
      <c r="H379" s="161" t="n"/>
      <c r="I379" s="501" t="n"/>
      <c r="J379" s="501" t="n"/>
    </row>
    <row r="380" ht="15.9" customFormat="1" customHeight="1" s="278">
      <c r="A380" s="27" t="n"/>
      <c r="B380" s="278" t="n"/>
      <c r="C380" s="161" t="n"/>
      <c r="D380" s="161" t="n"/>
      <c r="E380" s="109" t="n"/>
      <c r="F380" s="109" t="n"/>
      <c r="G380" s="109" t="n"/>
      <c r="H380" s="93" t="n"/>
      <c r="I380" s="163" t="n"/>
      <c r="J380" s="163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3" t="n"/>
      <c r="I381" s="161" t="n"/>
      <c r="J381" s="16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61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501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09" t="n"/>
      <c r="J388" s="501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09" t="n"/>
      <c r="I389" s="164" t="n"/>
      <c r="J389" s="164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164" t="n"/>
      <c r="I390" s="302" t="n"/>
      <c r="J390" s="302" t="n"/>
    </row>
    <row r="391" ht="15.9" customFormat="1" customHeight="1" s="278">
      <c r="A391" s="27" t="n"/>
      <c r="B391" s="278" t="n"/>
      <c r="C391" s="278" t="n"/>
      <c r="D391" s="161" t="n"/>
      <c r="E391" s="109" t="n"/>
      <c r="F391" s="109" t="n"/>
      <c r="G391" s="109" t="n"/>
      <c r="H391" s="302" t="n"/>
      <c r="I391" s="161" t="n"/>
      <c r="J391" s="161" t="n"/>
    </row>
    <row r="392" ht="15.9" customFormat="1" customHeight="1" s="278">
      <c r="A392" s="27" t="n"/>
      <c r="B392" s="278" t="n"/>
      <c r="C392" s="63" t="n"/>
      <c r="D392" s="161" t="n"/>
      <c r="E392" s="109" t="n"/>
      <c r="F392" s="109" t="n"/>
      <c r="G392" s="109" t="n"/>
      <c r="H392" s="161" t="n"/>
      <c r="I392" s="501" t="n"/>
      <c r="J392" s="501" t="n"/>
    </row>
    <row r="393" ht="15.9" customFormat="1" customHeight="1" s="278">
      <c r="A393" s="27" t="n"/>
      <c r="B393" s="278" t="n"/>
      <c r="C393" s="287" t="n"/>
      <c r="D393" s="161" t="n"/>
      <c r="E393" s="109" t="n"/>
      <c r="F393" s="109" t="n"/>
      <c r="G393" s="109" t="n"/>
      <c r="H393" s="109" t="n"/>
      <c r="I393" s="109" t="n"/>
      <c r="J393" s="501" t="n"/>
    </row>
    <row r="394" ht="15.9" customFormat="1" customHeight="1" s="278">
      <c r="A394" s="27" t="n"/>
      <c r="B394" s="278" t="n"/>
      <c r="C394" s="161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27" t="n"/>
      <c r="B396" s="278" t="n"/>
      <c r="C396" s="278" t="n"/>
      <c r="D396" s="161" t="n"/>
      <c r="E396" s="109" t="n"/>
      <c r="F396" s="109" t="n"/>
      <c r="G396" s="109" t="n"/>
      <c r="H396" s="109" t="n"/>
      <c r="I396" s="501" t="n"/>
      <c r="J396" s="501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44" t="n"/>
      <c r="B406" s="278" t="n"/>
      <c r="C406" s="278" t="n"/>
      <c r="D406" s="161" t="n"/>
      <c r="E406" s="109" t="n"/>
      <c r="F406" s="109" t="n"/>
      <c r="G406" s="109" t="n"/>
      <c r="H406" s="109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  <c r="K418" s="71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  <c r="J420" s="278" t="n"/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M424" s="4" t="n"/>
      <c r="N424" s="4" t="n"/>
    </row>
    <row r="425" ht="15" customFormat="1" customHeight="1" s="278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K425" s="4" t="n"/>
      <c r="L425" s="4" t="n"/>
      <c r="M425" s="4" t="n"/>
      <c r="N425" s="4" t="n"/>
    </row>
    <row r="426" ht="24.9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15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278" t="n"/>
      <c r="L427" s="278" t="n"/>
      <c r="M427" s="278" t="n"/>
      <c r="N427" s="278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72" t="n"/>
      <c r="C444" s="161" t="n"/>
      <c r="D444" s="161" t="n"/>
      <c r="E444" s="109" t="n"/>
      <c r="F444" s="37" t="n"/>
      <c r="H444" s="44" t="n"/>
      <c r="I444" s="44" t="n"/>
      <c r="J444" s="119" t="n"/>
    </row>
    <row r="445" ht="15.9" customFormat="1" customHeight="1" s="278">
      <c r="A445" s="44" t="n"/>
      <c r="B445" s="278" t="n"/>
      <c r="C445" s="43" t="n"/>
      <c r="D445" s="161" t="n"/>
      <c r="E445" s="109" t="n"/>
      <c r="F445" s="109" t="n"/>
      <c r="H445" s="44" t="n"/>
      <c r="I445" s="44" t="n"/>
      <c r="J445" s="119" t="n"/>
    </row>
    <row r="446">
      <c r="A446" s="40" t="n"/>
      <c r="B446" s="278" t="n"/>
      <c r="C446" s="44" t="n"/>
      <c r="D446" s="84" t="n"/>
      <c r="E446" s="44" t="n"/>
      <c r="F446" s="44" t="n"/>
      <c r="G446" s="278" t="n"/>
      <c r="H446" s="44" t="n"/>
      <c r="I446" s="44" t="n"/>
      <c r="J446" s="119" t="n"/>
    </row>
    <row r="447" ht="15.6" customHeight="1" s="344">
      <c r="B447" s="64" t="n"/>
      <c r="C447" s="163" t="n"/>
      <c r="D447" s="161" t="n"/>
      <c r="E447" s="109" t="n"/>
      <c r="F447" s="161" t="n"/>
      <c r="G447" s="109" t="n"/>
      <c r="H447" s="109" t="n"/>
    </row>
    <row r="451" ht="15.9" customFormat="1" customHeight="1" s="278">
      <c r="D451" s="345" t="n"/>
      <c r="J451" s="112" t="n"/>
    </row>
    <row r="452" ht="15.9" customFormat="1" customHeight="1" s="278">
      <c r="A452" s="109" t="n"/>
      <c r="D452" s="345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278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44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163" t="n"/>
      <c r="D458" s="161" t="n"/>
      <c r="E458" s="109" t="n"/>
      <c r="F458" s="161" t="n"/>
      <c r="G458" s="109" t="n"/>
      <c r="H458" s="109" t="n"/>
      <c r="I458" s="109" t="n"/>
      <c r="J458" s="501" t="n"/>
    </row>
    <row r="459" ht="15.9" customFormat="1" customHeight="1" s="278">
      <c r="A459" s="109" t="n"/>
      <c r="B459" s="278" t="n"/>
      <c r="C459" s="161" t="n"/>
      <c r="D459" s="161" t="n"/>
      <c r="E459" s="109" t="n"/>
      <c r="F459" s="161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7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501" t="n"/>
      <c r="J478" s="501" t="n"/>
    </row>
    <row r="479" ht="15.9" customFormat="1" customHeight="1" s="278">
      <c r="A479" s="109" t="n"/>
      <c r="B479" s="278" t="n"/>
      <c r="C479" s="278" t="n"/>
      <c r="D479" s="161" t="n"/>
      <c r="E479" s="109" t="n"/>
      <c r="F479" s="109" t="n"/>
      <c r="G479" s="109" t="n"/>
      <c r="H479" s="109" t="n"/>
      <c r="I479" s="109" t="n"/>
      <c r="J479" s="109" t="n"/>
    </row>
    <row r="480" ht="15.9" customFormat="1" customHeight="1" s="278">
      <c r="A480" s="44" t="n"/>
      <c r="B480" s="278" t="n"/>
      <c r="C480" s="278" t="n"/>
      <c r="D480" s="161" t="n"/>
      <c r="E480" s="109" t="n"/>
      <c r="F480" s="109" t="n"/>
      <c r="G480" s="109" t="n"/>
      <c r="H480" s="109" t="n"/>
      <c r="I480" s="44" t="n"/>
      <c r="J480" s="119" t="n"/>
    </row>
    <row r="481" ht="15.9" customFormat="1" customHeight="1" s="278">
      <c r="A481" s="40" t="n"/>
      <c r="B481" s="44" t="n"/>
      <c r="C481" s="44" t="n"/>
      <c r="D481" s="84" t="n"/>
      <c r="E481" s="44" t="n"/>
      <c r="F481" s="44" t="n"/>
      <c r="G481" s="44" t="n"/>
      <c r="H481" s="44" t="n"/>
      <c r="I481" s="32" t="n"/>
      <c r="J481" s="40" t="n"/>
    </row>
    <row r="482" ht="15.9" customFormat="1" customHeight="1" s="278">
      <c r="A482" s="27" t="n"/>
      <c r="B482" s="40" t="n"/>
      <c r="C482" s="44" t="n"/>
      <c r="D482" s="85" t="n"/>
      <c r="E482" s="40" t="n"/>
      <c r="F482" s="32" t="n"/>
      <c r="G482" s="40" t="n"/>
      <c r="H482" s="32" t="n"/>
      <c r="I482" s="501" t="n"/>
      <c r="J482" s="501" t="n"/>
    </row>
    <row r="483" ht="15.9" customFormat="1" customHeight="1" s="278">
      <c r="A483" s="27" t="n"/>
      <c r="B483" s="278" t="n"/>
      <c r="C483" s="93" t="n"/>
      <c r="D483" s="161" t="n"/>
      <c r="E483" s="109" t="n"/>
      <c r="F483" s="109" t="n"/>
      <c r="G483" s="109" t="n"/>
      <c r="H483" s="93" t="n"/>
      <c r="I483" s="287" t="n"/>
      <c r="J483" s="302" t="n"/>
    </row>
    <row r="484" ht="15.9" customFormat="1" customHeight="1" s="278">
      <c r="A484" s="27" t="n"/>
      <c r="B484" s="278" t="n"/>
      <c r="C484" s="163" t="n"/>
      <c r="D484" s="161" t="n"/>
      <c r="E484" s="109" t="n"/>
      <c r="F484" s="109" t="n"/>
      <c r="G484" s="109" t="n"/>
      <c r="H484" s="287" t="n"/>
      <c r="I484" s="278" t="n"/>
      <c r="J484" s="109" t="n"/>
    </row>
    <row r="485" ht="15.9" customFormat="1" customHeight="1" s="278">
      <c r="A485" s="27" t="n"/>
      <c r="B485" s="278" t="n"/>
      <c r="C485" s="161" t="n"/>
      <c r="D485" s="161" t="n"/>
      <c r="E485" s="109" t="n"/>
      <c r="F485" s="109" t="n"/>
      <c r="G485" s="109" t="n"/>
      <c r="H485" s="278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87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161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D497" s="161" t="n"/>
      <c r="E497" s="109" t="n"/>
      <c r="F497" s="109" t="n"/>
      <c r="G497" s="278" t="n"/>
      <c r="H497" s="278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109" t="n"/>
      <c r="I500" s="501" t="n"/>
      <c r="J500" s="501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63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87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161" t="n"/>
      <c r="D504" s="161" t="n"/>
      <c r="E504" s="109" t="n"/>
      <c r="F504" s="109" t="n"/>
      <c r="G504" s="109" t="n"/>
      <c r="H504" s="93" t="n"/>
      <c r="I504" s="287" t="n"/>
      <c r="J504" s="302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87" t="n"/>
      <c r="I505" s="278" t="n"/>
      <c r="J505" s="109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278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278" t="n"/>
      <c r="J515" s="109" t="n"/>
    </row>
    <row r="516" ht="15.9" customFormat="1" customHeight="1" s="278">
      <c r="A516" s="44" t="n"/>
      <c r="B516" s="278" t="n"/>
      <c r="C516" s="278" t="n"/>
      <c r="D516" s="161" t="n"/>
      <c r="E516" s="109" t="n"/>
      <c r="F516" s="109" t="n"/>
      <c r="G516" s="109" t="n"/>
      <c r="H516" s="287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24.9" customFormat="1" customHeight="1" s="278" thickBot="1"/>
    <row r="519" ht="35.1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86">
        <f>IF(C521="","",1)</f>
        <v/>
      </c>
      <c r="B521" s="138">
        <f>IF($D$127=5,N520,IF($D$127=6,N521,IF($D$127=8,N522,IF($D$127=10,N523,IF($D$127=12,N524,IF($D$127=14,N525,IF($D$127=18,N526,IF($D$127=20,N527,IF($D$127=22,N528,)))))))))</f>
        <v/>
      </c>
      <c r="C521" s="138">
        <f>IF($D$127=5,O520,IF($D$127=6,O521,IF($D$127=8,O522,IF($D$127=10,O523,IF($D$127=12,O524,IF($D$127=14,O525,IF($D$127=18,O526,IF($D$127=20,O527,IF($D$127=22,O528,)))))))))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5)/6)-13</t>
        </is>
      </c>
      <c r="I521" s="124">
        <f>(($J$126-185-(113.25*5))/6)-13</f>
        <v/>
      </c>
      <c r="J521" s="151">
        <f>$J$120*6</f>
        <v/>
      </c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68:H169"/>
    <mergeCell ref="I154:J154"/>
    <mergeCell ref="D129:G129"/>
    <mergeCell ref="D123:G123"/>
    <mergeCell ref="I166:J167"/>
    <mergeCell ref="J123:J124"/>
    <mergeCell ref="A117:J117"/>
    <mergeCell ref="F521:G521"/>
    <mergeCell ref="D170:D171"/>
    <mergeCell ref="I156:J156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I161:J161"/>
    <mergeCell ref="I155:J155"/>
    <mergeCell ref="A6:J6"/>
    <mergeCell ref="D161:D162"/>
    <mergeCell ref="A427:J427"/>
    <mergeCell ref="C307:E307"/>
    <mergeCell ref="D168:D169"/>
    <mergeCell ref="A172:J172"/>
    <mergeCell ref="H170:H171"/>
    <mergeCell ref="J120:J121"/>
    <mergeCell ref="I157:J157"/>
    <mergeCell ref="A125:B125"/>
    <mergeCell ref="A519:J519"/>
    <mergeCell ref="J126:J127"/>
    <mergeCell ref="D159:D160"/>
    <mergeCell ref="I159:J160"/>
    <mergeCell ref="D125:G125"/>
    <mergeCell ref="H123:I124"/>
    <mergeCell ref="A213:J213"/>
    <mergeCell ref="D163:D167"/>
  </mergeCells>
  <dataValidations count="4">
    <dataValidation sqref="D127:G127" showDropDown="0" showInputMessage="1" showErrorMessage="1" allowBlank="1" type="list">
      <formula1>$N$120:$N$128</formula1>
    </dataValidation>
    <dataValidation sqref="C206" showDropDown="0" showInputMessage="1" showErrorMessage="1" allowBlank="1" type="list">
      <formula1>$O$174:$O$192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3" min="0" max="16383" man="1"/>
    <brk id="421" min="0" max="9" man="1"/>
  </rowBreaks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codeName="Sheet20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H126" sqref="H126:I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(6L)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FG-240-6P6L-01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60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D1</t>
        </is>
      </c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Black Anodise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3000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4200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B24001-002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12</v>
      </c>
      <c r="U133" s="283" t="inlineStr">
        <is>
          <t>(W-182-(113.25 × 5))/6</t>
        </is>
      </c>
      <c r="V133" s="285">
        <f>($J$126-182-(113.25*5))/6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12</v>
      </c>
      <c r="U134" s="143" t="inlineStr">
        <is>
          <t>(W-182-(113.25 × 5))/6</t>
        </is>
      </c>
      <c r="V134" s="285">
        <f>($J$126-182-(113.25*5))/6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12</v>
      </c>
      <c r="U135" s="240" t="inlineStr">
        <is>
          <t>(W-182-(113.25 × 5))/6</t>
        </is>
      </c>
      <c r="V135" s="285">
        <f>($J$126-182-(113.25*5))/6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12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12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B24005-004R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12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 (W-60-(6+1)×4)/6</t>
        </is>
      </c>
      <c r="I141" s="178">
        <f>($J$126-60-(6+1)*4)/6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 (W-60-(6+1)×4)/6</t>
        </is>
      </c>
      <c r="I142" s="178">
        <f>($J$126-60-(6+1)*4)/6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30" t="n"/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VLOOKUP(C156,$C$133:$J$153,7,0)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VLOOKUP(C157,$C$133:$J$153,7,0)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VLOOKUP(C158,$C$133:$J$153,7,0)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VLOOKUP(C159,$C$133:$J$153,7,0)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VLOOKUP(C160,$C$133:$J$153,7,0)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VLOOKUP(C161,$C$133:$J$153,7,0)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VLOOKUP(C162,$C$133:$J$153,7,0)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VLOOKUP(C163,$C$133:$J$153,7,0)</f>
        <v/>
      </c>
      <c r="G163" s="175">
        <f>VLOOKUP(C163,$C$133:$J$153,8,0)</f>
        <v/>
      </c>
      <c r="H163" s="516">
        <f>ROUNDUP(((F163*G163)+(F164*G164)+(F165*G165)+(F166*G166))/6400,0)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VLOOKUP(C164,$C$133:$J$153,7,0)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VLOOKUP(C165,$C$133:$J$153,7,0)</f>
        <v/>
      </c>
      <c r="G165" s="175">
        <f>VLOOKUP(C165,$C$133:$J$153,8,0)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5" t="n"/>
      <c r="E166" s="175">
        <f>VLOOKUP(C166,$C$133:$H$153,3,0)</f>
        <v/>
      </c>
      <c r="F166" s="353">
        <f>VLOOKUP(C166,$C$133:$J$153,7,0)</f>
        <v/>
      </c>
      <c r="G166" s="175">
        <f>VLOOKUP(C166,$C$133:$J$153,8,0)</f>
        <v/>
      </c>
      <c r="H166" s="644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47">
        <f>VLOOKUP(C167,$C$133:$H$153,2,0)</f>
        <v/>
      </c>
      <c r="E167" s="175">
        <f>VLOOKUP(C167,$C$133:$H$153,3,0)</f>
        <v/>
      </c>
      <c r="F167" s="353">
        <f>VLOOKUP(C167,$C$133:$J$153,7,0)</f>
        <v/>
      </c>
      <c r="G167" s="175">
        <f>VLOOKUP(C167,$C$133:$J$153,8,0)</f>
        <v/>
      </c>
      <c r="H167" s="516">
        <f>ROUNDUP(((F167*G167)+(F168*G168))/6400,0)</f>
        <v/>
      </c>
    </row>
    <row r="168" outlineLevel="1" customFormat="1" s="278" thickBot="1">
      <c r="A168" s="213">
        <f>IF(B168="","",+A167+1)</f>
        <v/>
      </c>
      <c r="B168" s="173">
        <f>B146</f>
        <v/>
      </c>
      <c r="C168" s="173">
        <f>C146</f>
        <v/>
      </c>
      <c r="D168" s="648" t="n"/>
      <c r="E168" s="175">
        <f>VLOOKUP(C168,$C$133:$H$153,3,0)</f>
        <v/>
      </c>
      <c r="F168" s="353">
        <f>VLOOKUP(C168,$C$133:$J$153,7,0)</f>
        <v/>
      </c>
      <c r="G168" s="175">
        <f>VLOOKUP(C168,$C$133:$J$153,8,0)</f>
        <v/>
      </c>
      <c r="H168" s="644" t="n"/>
      <c r="I168" s="501" t="n"/>
    </row>
    <row r="169" ht="24.9" customFormat="1" customHeight="1" s="278" thickBot="1">
      <c r="A169" s="642" t="inlineStr">
        <is>
          <t>PARTS LIST HARDWARE &amp; ACCESSORIES</t>
        </is>
      </c>
      <c r="B169" s="634" t="n"/>
      <c r="C169" s="634" t="n"/>
      <c r="D169" s="634" t="n"/>
      <c r="E169" s="634" t="n"/>
      <c r="F169" s="634" t="n"/>
      <c r="G169" s="634" t="n"/>
      <c r="H169" s="634" t="n"/>
      <c r="I169" s="634" t="n"/>
      <c r="J169" s="635" t="n"/>
    </row>
    <row r="170" ht="35.1" customFormat="1" customHeight="1" s="278" thickBot="1">
      <c r="A170" s="102" t="inlineStr">
        <is>
          <t>ITEM</t>
        </is>
      </c>
      <c r="B170" s="103" t="inlineStr">
        <is>
          <t>THAI</t>
        </is>
      </c>
      <c r="C170" s="103" t="inlineStr">
        <is>
          <t>DESCRIPTION</t>
        </is>
      </c>
      <c r="D170" s="103" t="inlineStr">
        <is>
          <t>PART NO.</t>
        </is>
      </c>
      <c r="E170" s="103" t="inlineStr">
        <is>
          <t>KG/m</t>
        </is>
      </c>
      <c r="F170" s="104" t="inlineStr">
        <is>
          <t>DRAWING</t>
        </is>
      </c>
      <c r="G170" s="103" t="inlineStr">
        <is>
          <t>PER</t>
        </is>
      </c>
      <c r="H170" s="104" t="inlineStr">
        <is>
          <t>QUANTITY</t>
        </is>
      </c>
      <c r="I170" s="104" t="inlineStr">
        <is>
          <t>Pack QTY</t>
        </is>
      </c>
      <c r="J170" s="115" t="inlineStr">
        <is>
          <t>TOTAL</t>
        </is>
      </c>
      <c r="N170" s="101" t="inlineStr">
        <is>
          <t>Glass size</t>
        </is>
      </c>
      <c r="O170" s="246" t="inlineStr">
        <is>
          <t>THAI</t>
        </is>
      </c>
      <c r="P170" s="246" t="inlineStr">
        <is>
          <t>DESCRIPTION</t>
        </is>
      </c>
      <c r="Q170" s="246" t="inlineStr">
        <is>
          <t>PART NO.</t>
        </is>
      </c>
      <c r="R170" s="246" t="inlineStr">
        <is>
          <t>KG/m</t>
        </is>
      </c>
      <c r="S170" s="246" t="inlineStr">
        <is>
          <t>DRAWING</t>
        </is>
      </c>
      <c r="T170" s="246" t="inlineStr">
        <is>
          <t>PER</t>
        </is>
      </c>
      <c r="U170" s="246" t="inlineStr">
        <is>
          <t>QUANTITY</t>
        </is>
      </c>
      <c r="V170" s="246" t="inlineStr">
        <is>
          <t>Pack QTY</t>
        </is>
      </c>
      <c r="W170" s="246" t="inlineStr">
        <is>
          <t>TOTAL</t>
        </is>
      </c>
    </row>
    <row r="171" ht="18" customFormat="1" customHeight="1" s="278">
      <c r="A171" s="200">
        <f>IF(B171="","",1)</f>
        <v/>
      </c>
      <c r="B171" s="140" t="inlineStr">
        <is>
          <t>หมอนรองกระจก</t>
        </is>
      </c>
      <c r="C171" s="140" t="inlineStr">
        <is>
          <t>SETTING BLOCK</t>
        </is>
      </c>
      <c r="D171" s="139" t="inlineStr">
        <is>
          <t>02-037</t>
        </is>
      </c>
      <c r="E171" s="143" t="n"/>
      <c r="F171" s="143" t="inlineStr">
        <is>
          <t>02-037</t>
        </is>
      </c>
      <c r="G171" s="143" t="inlineStr">
        <is>
          <t>PC</t>
        </is>
      </c>
      <c r="H171" s="143" t="n">
        <v>12</v>
      </c>
      <c r="I171" s="184" t="n"/>
      <c r="J171" s="131">
        <f>$J$120*H171</f>
        <v/>
      </c>
      <c r="N171" s="101" t="inlineStr">
        <is>
          <t>5,6,18</t>
        </is>
      </c>
      <c r="O171" s="280" t="inlineStr">
        <is>
          <t>5,6,18 mm ยางรองกระจก</t>
        </is>
      </c>
      <c r="P171" s="415" t="inlineStr">
        <is>
          <t>5,6,18 mm CAPTIVE WEDGE</t>
        </is>
      </c>
      <c r="Q171" s="280" t="inlineStr">
        <is>
          <t>02-022</t>
        </is>
      </c>
      <c r="R171" s="213" t="n"/>
      <c r="S171" s="213" t="inlineStr">
        <is>
          <t>02-022</t>
        </is>
      </c>
      <c r="T171" s="213" t="inlineStr">
        <is>
          <t>M</t>
        </is>
      </c>
      <c r="U171" s="650">
        <f>((($I$141*$G$141)+($I$142*$G$142)+($I$143*$G$143)+($I$144*$G$144))/1000)*$J$120</f>
        <v/>
      </c>
      <c r="V171" s="650" t="n">
        <v>100</v>
      </c>
      <c r="W171" s="651">
        <f>ROUNDUP((U171)/100,0)</f>
        <v/>
      </c>
    </row>
    <row r="172" ht="18" customFormat="1" customHeight="1" s="278">
      <c r="A172" s="201">
        <f>IF(B172="","",+A171+1)</f>
        <v/>
      </c>
      <c r="B172" s="140" t="inlineStr">
        <is>
          <t>ประเก็นเฟรมบน</t>
        </is>
      </c>
      <c r="C172" s="140" t="inlineStr">
        <is>
          <t>FRAME SEAL BI-FOLD HEAD (L/R)</t>
        </is>
      </c>
      <c r="D172" s="139" t="inlineStr">
        <is>
          <t>02-015</t>
        </is>
      </c>
      <c r="E172" s="143" t="n"/>
      <c r="F172" s="143" t="inlineStr">
        <is>
          <t>02-015</t>
        </is>
      </c>
      <c r="G172" s="143" t="inlineStr">
        <is>
          <t>PC</t>
        </is>
      </c>
      <c r="H172" s="143" t="n">
        <v>2</v>
      </c>
      <c r="I172" s="184" t="n"/>
      <c r="J172" s="131">
        <f>$J$120*H172</f>
        <v/>
      </c>
      <c r="N172" s="101" t="inlineStr">
        <is>
          <t>12,20</t>
        </is>
      </c>
      <c r="O172" s="280" t="inlineStr">
        <is>
          <t>12,20 mm ยางรองกระจก</t>
        </is>
      </c>
      <c r="P172" s="415" t="inlineStr">
        <is>
          <t>12,20 mm CAPTIVE WEDGE</t>
        </is>
      </c>
      <c r="Q172" s="280" t="inlineStr">
        <is>
          <t>02-032</t>
        </is>
      </c>
      <c r="R172" s="213" t="n"/>
      <c r="S172" s="213" t="inlineStr">
        <is>
          <t>02-032</t>
        </is>
      </c>
      <c r="T172" s="213" t="inlineStr">
        <is>
          <t>M</t>
        </is>
      </c>
      <c r="U172" s="650">
        <f>((($I$141*$G$141)+($I$142*$G$142)+($I$143*$G$143)+($I$144*$G$144))/1000)*$J$120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ประเก็นเฟรมล่าง</t>
        </is>
      </c>
      <c r="C173" s="140" t="inlineStr">
        <is>
          <t>FRAME SEAL BI-FOLD SILL (L/R)</t>
        </is>
      </c>
      <c r="D173" s="139" t="inlineStr">
        <is>
          <t>02-016</t>
        </is>
      </c>
      <c r="E173" s="143" t="n"/>
      <c r="F173" s="143" t="inlineStr">
        <is>
          <t>02-016</t>
        </is>
      </c>
      <c r="G173" s="143" t="inlineStr">
        <is>
          <t>PC</t>
        </is>
      </c>
      <c r="H173" s="143" t="n">
        <v>2</v>
      </c>
      <c r="I173" s="130" t="n"/>
      <c r="J173" s="131">
        <f>$J$120*H173</f>
        <v/>
      </c>
      <c r="N173" s="101" t="inlineStr">
        <is>
          <t>5,8,10,12,18</t>
        </is>
      </c>
      <c r="O173" s="415" t="inlineStr">
        <is>
          <t>5,8,10,12,18 mmยางอัดกระจก</t>
        </is>
      </c>
      <c r="P173" s="415" t="inlineStr">
        <is>
          <t>5,8,10,12,18 mm ROLL IN WEDGE</t>
        </is>
      </c>
      <c r="Q173" s="280" t="inlineStr">
        <is>
          <t>02-033</t>
        </is>
      </c>
      <c r="R173" s="213" t="n"/>
      <c r="S173" s="213" t="inlineStr">
        <is>
          <t>02-033</t>
        </is>
      </c>
      <c r="T173" s="213" t="inlineStr">
        <is>
          <t>M</t>
        </is>
      </c>
      <c r="U173" s="650">
        <f>((($I$141*$G$141)+($I$142*$G$142)+($I$143*$G$143)+($I$144*$G$144))/1000)*$J$120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สกรู × 38</t>
        </is>
      </c>
      <c r="C174" s="140" t="inlineStr">
        <is>
          <t>#8x38 mm. SS PH SELF TAPPING SCREW</t>
        </is>
      </c>
      <c r="D174" s="139" t="n">
        <v>9</v>
      </c>
      <c r="E174" s="143" t="n"/>
      <c r="F174" s="143" t="n">
        <v>9</v>
      </c>
      <c r="G174" s="143" t="inlineStr">
        <is>
          <t>PC</t>
        </is>
      </c>
      <c r="H174" s="143" t="n">
        <v>8</v>
      </c>
      <c r="I174" s="130" t="n"/>
      <c r="J174" s="131">
        <f>$J$120*H174</f>
        <v/>
      </c>
      <c r="N174" s="101" t="inlineStr">
        <is>
          <t>6,20</t>
        </is>
      </c>
      <c r="O174" s="415" t="inlineStr">
        <is>
          <t>6,20 mm ยางอัดกระจก</t>
        </is>
      </c>
      <c r="P174" s="415" t="inlineStr">
        <is>
          <t>6,20 mm ROLL IN WEDGE</t>
        </is>
      </c>
      <c r="Q174" s="280" t="inlineStr">
        <is>
          <t>02-034</t>
        </is>
      </c>
      <c r="R174" s="213" t="n"/>
      <c r="S174" s="213" t="inlineStr">
        <is>
          <t>02-034</t>
        </is>
      </c>
      <c r="T174" s="213" t="inlineStr">
        <is>
          <t>M</t>
        </is>
      </c>
      <c r="U174" s="650">
        <f>((($I$141*$G$141)+($I$142*$G$142)+($I$143*$G$143)+($I$144*$G$144))/1000)*$J$120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12</t>
        </is>
      </c>
      <c r="C175" s="140" t="inlineStr">
        <is>
          <t>#8x12 mm. CSK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110</v>
      </c>
      <c r="I175" s="130" t="n"/>
      <c r="J175" s="131">
        <f>$J$120*H175</f>
        <v/>
      </c>
      <c r="N175" s="101" t="inlineStr">
        <is>
          <t>8,14</t>
        </is>
      </c>
      <c r="O175" s="415" t="inlineStr">
        <is>
          <t>8,14 mm ยางอัดกระจก</t>
        </is>
      </c>
      <c r="P175" s="415" t="inlineStr">
        <is>
          <t>8,14 mm ROLL IN WEDGE</t>
        </is>
      </c>
      <c r="Q175" s="280" t="inlineStr">
        <is>
          <t>02-045</t>
        </is>
      </c>
      <c r="R175" s="213" t="n"/>
      <c r="S175" s="213" t="inlineStr">
        <is>
          <t>02-045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ชุดบานพับระดับเดียวกัน</t>
        </is>
      </c>
      <c r="C176" s="140" t="inlineStr">
        <is>
          <t>Standard Hinge Handle Set</t>
        </is>
      </c>
      <c r="D176" s="139" t="inlineStr">
        <is>
          <t>05-004</t>
        </is>
      </c>
      <c r="E176" s="143" t="n"/>
      <c r="F176" s="143" t="inlineStr">
        <is>
          <t>05-004</t>
        </is>
      </c>
      <c r="G176" s="143" t="inlineStr">
        <is>
          <t>SET</t>
        </is>
      </c>
      <c r="H176" s="143" t="n">
        <v>1</v>
      </c>
      <c r="I176" s="130" t="n"/>
      <c r="J176" s="131">
        <f>$J$120*H176</f>
        <v/>
      </c>
    </row>
    <row r="177" ht="18" customFormat="1" customHeight="1" s="278">
      <c r="A177" s="201">
        <f>IF(B177="","",+A176+1)</f>
        <v/>
      </c>
      <c r="B177" s="140" t="inlineStr">
        <is>
          <t>ชุดบานพับต่างระดับมีมือจับ</t>
        </is>
      </c>
      <c r="C177" s="140" t="inlineStr">
        <is>
          <t>offset Hinge Handle Set</t>
        </is>
      </c>
      <c r="D177" s="139" t="inlineStr">
        <is>
          <t>05-005</t>
        </is>
      </c>
      <c r="E177" s="143" t="n"/>
      <c r="F177" s="143" t="inlineStr">
        <is>
          <t>05-005</t>
        </is>
      </c>
      <c r="G177" s="143" t="inlineStr">
        <is>
          <t>SET</t>
        </is>
      </c>
      <c r="H177" s="143" t="n">
        <v>2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ชุดล้อแขวนบานตายซ้าย</t>
        </is>
      </c>
      <c r="C178" s="140" t="inlineStr">
        <is>
          <t>Left Hand Pivot Set</t>
        </is>
      </c>
      <c r="D178" s="139" t="inlineStr">
        <is>
          <t>05-006</t>
        </is>
      </c>
      <c r="E178" s="143" t="n"/>
      <c r="F178" s="143" t="inlineStr">
        <is>
          <t>05-006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ชุดล้อแขวนบานสุดท้าย</t>
        </is>
      </c>
      <c r="C179" s="140" t="inlineStr">
        <is>
          <t>Right Hand End Carriert Set</t>
        </is>
      </c>
      <c r="D179" s="139" t="inlineStr">
        <is>
          <t>05-009</t>
        </is>
      </c>
      <c r="E179" s="143" t="n"/>
      <c r="F179" s="143" t="inlineStr">
        <is>
          <t>05-009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ชุดล้อแขวนบานกลาง</t>
        </is>
      </c>
      <c r="C180" s="140" t="inlineStr">
        <is>
          <t>Intermediate Carrier Set</t>
        </is>
      </c>
      <c r="D180" s="139" t="inlineStr">
        <is>
          <t>05-011</t>
        </is>
      </c>
      <c r="E180" s="143" t="n"/>
      <c r="F180" s="143" t="inlineStr">
        <is>
          <t>05-011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  <c r="N180" s="278" t="n"/>
      <c r="O180" s="278" t="n"/>
      <c r="P180" s="278" t="n"/>
      <c r="Q180" s="442" t="n"/>
      <c r="R180" s="442" t="n"/>
      <c r="S180" s="442" t="n"/>
      <c r="T180" s="109" t="n"/>
      <c r="U180" s="109" t="n"/>
      <c r="V180" s="109" t="n"/>
      <c r="W180" s="278" t="n"/>
    </row>
    <row r="181" ht="18" customFormat="1" customHeight="1" s="278">
      <c r="A181" s="201">
        <f>IF(B181="","",+A180+1)</f>
        <v/>
      </c>
      <c r="B181" s="140" t="inlineStr">
        <is>
          <t>ชุดสลักล็อค</t>
        </is>
      </c>
      <c r="C181" s="140" t="inlineStr">
        <is>
          <t>Twin Bolt + Rods</t>
        </is>
      </c>
      <c r="D181" s="139" t="inlineStr">
        <is>
          <t>05-014</t>
        </is>
      </c>
      <c r="E181" s="143" t="n"/>
      <c r="F181" s="143" t="inlineStr">
        <is>
          <t>05-014</t>
        </is>
      </c>
      <c r="G181" s="143" t="inlineStr">
        <is>
          <t>SET</t>
        </is>
      </c>
      <c r="H181" s="143" t="n">
        <v>3</v>
      </c>
      <c r="I181" s="144" t="n"/>
      <c r="J181" s="131">
        <f>$J$120*H181</f>
        <v/>
      </c>
      <c r="N181" s="101" t="inlineStr">
        <is>
          <t>FRAME SEAL</t>
        </is>
      </c>
      <c r="O181" s="246" t="inlineStr">
        <is>
          <t>THAI</t>
        </is>
      </c>
      <c r="P181" s="246" t="inlineStr">
        <is>
          <t>DESCRIPTION</t>
        </is>
      </c>
      <c r="Q181" s="246" t="inlineStr">
        <is>
          <t>PART NO.</t>
        </is>
      </c>
      <c r="R181" s="246" t="inlineStr">
        <is>
          <t>KG/m</t>
        </is>
      </c>
      <c r="S181" s="246" t="inlineStr">
        <is>
          <t>DRAWING</t>
        </is>
      </c>
      <c r="T181" s="246" t="inlineStr">
        <is>
          <t>PER</t>
        </is>
      </c>
      <c r="U181" s="246" t="inlineStr">
        <is>
          <t>QUANTITY</t>
        </is>
      </c>
      <c r="V181" s="246" t="inlineStr">
        <is>
          <t>Pack QTY</t>
        </is>
      </c>
      <c r="W181" s="246" t="inlineStr">
        <is>
          <t>TOTAL</t>
        </is>
      </c>
    </row>
    <row r="182" ht="18" customFormat="1" customHeight="1" s="278">
      <c r="A182" s="201">
        <f>IF(B182="","",+A181+1)</f>
        <v/>
      </c>
      <c r="B182" s="140" t="inlineStr">
        <is>
          <t>ตัวประคองสลักล็อค</t>
        </is>
      </c>
      <c r="C182" s="140" t="inlineStr">
        <is>
          <t>Guide twin Bolt Rods</t>
        </is>
      </c>
      <c r="D182" s="139" t="inlineStr">
        <is>
          <t>04-009</t>
        </is>
      </c>
      <c r="E182" s="143" t="n"/>
      <c r="F182" s="143" t="inlineStr">
        <is>
          <t>04-009</t>
        </is>
      </c>
      <c r="G182" s="143" t="inlineStr">
        <is>
          <t>PC</t>
        </is>
      </c>
      <c r="H182" s="143" t="n">
        <v>6</v>
      </c>
      <c r="I182" s="144" t="n"/>
      <c r="J182" s="131">
        <f>$J$120*H182</f>
        <v/>
      </c>
      <c r="N182" s="101" t="inlineStr">
        <is>
          <t>ธรรมดา</t>
        </is>
      </c>
      <c r="O182" s="415" t="inlineStr">
        <is>
          <t>ยางเฟรมกันน้ำ (ธรรมดา)</t>
        </is>
      </c>
      <c r="P182" s="415" t="inlineStr">
        <is>
          <t>FRAME SEAL (Standard)</t>
        </is>
      </c>
      <c r="Q182" s="280" t="inlineStr">
        <is>
          <t>02-026</t>
        </is>
      </c>
      <c r="R182" s="213" t="n"/>
      <c r="S182" s="213" t="inlineStr">
        <is>
          <t>02-026</t>
        </is>
      </c>
      <c r="T182" s="213" t="inlineStr">
        <is>
          <t>M</t>
        </is>
      </c>
      <c r="U182" s="650">
        <f>((($I$134*$G$134)+($I$136*$G$136)+($I$139*$G$139))/1000)*$J$120</f>
        <v/>
      </c>
      <c r="V182" s="650" t="n">
        <v>300</v>
      </c>
      <c r="W182" s="651">
        <f>ROUNDUP((U182)/V182,0)</f>
        <v/>
      </c>
    </row>
    <row r="183" ht="18" customFormat="1" customHeight="1" s="278">
      <c r="A183" s="201">
        <f>IF(B183="","",+A182+1)</f>
        <v/>
      </c>
      <c r="B183" s="140" t="inlineStr">
        <is>
          <t>รางเสริมเปลี่ยนล้อ</t>
        </is>
      </c>
      <c r="C183" s="140" t="inlineStr">
        <is>
          <t>35 SERIES TRACK INSERT</t>
        </is>
      </c>
      <c r="D183" s="139" t="inlineStr">
        <is>
          <t>04-004</t>
        </is>
      </c>
      <c r="E183" s="143" t="n"/>
      <c r="F183" s="143" t="inlineStr">
        <is>
          <t>04-004</t>
        </is>
      </c>
      <c r="G183" s="143" t="inlineStr">
        <is>
          <t>PC</t>
        </is>
      </c>
      <c r="H183" s="143" t="n">
        <v>1</v>
      </c>
      <c r="I183" s="144" t="n"/>
      <c r="J183" s="131">
        <f>$J$120*H183</f>
        <v/>
      </c>
      <c r="N183" s="101" t="inlineStr">
        <is>
          <t>กันเสียง</t>
        </is>
      </c>
      <c r="O183" s="415" t="inlineStr">
        <is>
          <t>ยางเฟรมกันน้ำ (กันเสียง)</t>
        </is>
      </c>
      <c r="P183" s="415" t="inlineStr">
        <is>
          <t>FRAME SEAL (Soumdproof)</t>
        </is>
      </c>
      <c r="Q183" s="280" t="inlineStr">
        <is>
          <t>02-025</t>
        </is>
      </c>
      <c r="R183" s="213" t="n"/>
      <c r="S183" s="213" t="inlineStr">
        <is>
          <t>02-025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100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ตัวรับกลอน</t>
        </is>
      </c>
      <c r="C184" s="140" t="inlineStr">
        <is>
          <t xml:space="preserve">FLUSH BOLT RECEIVER </t>
        </is>
      </c>
      <c r="D184" s="139" t="inlineStr">
        <is>
          <t>04-016</t>
        </is>
      </c>
      <c r="E184" s="143" t="n"/>
      <c r="F184" s="143" t="inlineStr">
        <is>
          <t>04-016</t>
        </is>
      </c>
      <c r="G184" s="143" t="inlineStr">
        <is>
          <t>PC</t>
        </is>
      </c>
      <c r="H184" s="143" t="n">
        <v>3</v>
      </c>
      <c r="I184" s="130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ยางแซชกันน้ำ (ธรรมดา)</t>
        </is>
      </c>
      <c r="P184" s="415" t="inlineStr">
        <is>
          <t>SASH SEAL FOAM (Standard)</t>
        </is>
      </c>
      <c r="Q184" s="280" t="inlineStr">
        <is>
          <t>02-031</t>
        </is>
      </c>
      <c r="R184" s="213" t="n"/>
      <c r="S184" s="213" t="inlineStr">
        <is>
          <t>02-031</t>
        </is>
      </c>
      <c r="T184" s="213" t="inlineStr">
        <is>
          <t>M</t>
        </is>
      </c>
      <c r="U184" s="650">
        <f>((($I$141*$G$141*2)+($I$142*$G$142*2)+($I$143*$G$143*2)+($I$144*$G$144*2))/1000)*$J$120</f>
        <v/>
      </c>
      <c r="V184" s="650" t="n">
        <v>350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39">
        <f>IF($D$129="Standard",$O$182,IF($D$129="Soumdproof",$O$183,))</f>
        <v/>
      </c>
      <c r="C185" s="139">
        <f>IF($D$129="Standard",$P$182,IF($D$129="Soumdproof",$P$183,))</f>
        <v/>
      </c>
      <c r="D185" s="139">
        <f>IF($D$129="Standard",$Q$182,IF($D$129="Soumdproof",$Q$183,))</f>
        <v/>
      </c>
      <c r="E185" s="143">
        <f>IF($D$129="Standard",R183,IF($D$129="Soumdproof",R184,))</f>
        <v/>
      </c>
      <c r="F185" s="143">
        <f>IF($D$129="Standard",$S$182,IF($D$129="Soumdproof",$S$183,))</f>
        <v/>
      </c>
      <c r="G185" s="143">
        <f>IF($D$129="Standard",$T$182,IF($D$129="Soumdproof",$T$183,))</f>
        <v/>
      </c>
      <c r="H185" s="652">
        <f>IF($D$129="Standard",$U$182,IF($D$129="Soumdproof",$U$183,))</f>
        <v/>
      </c>
      <c r="I185" s="653">
        <f>IF($D$129="Standard",$V$182,IF($D$129="Soumdproof",$V$183,))</f>
        <v/>
      </c>
      <c r="J185" s="654">
        <f>ROUNDUP((H185)/100,0)</f>
        <v/>
      </c>
      <c r="N185" s="101" t="inlineStr">
        <is>
          <t>กันเสียง</t>
        </is>
      </c>
      <c r="O185" s="415" t="inlineStr">
        <is>
          <t>ยางแซชกันน้ำ (กันเสียง)</t>
        </is>
      </c>
      <c r="P185" s="415" t="inlineStr">
        <is>
          <t>SASH SEAL FOAM (Soumdproof)</t>
        </is>
      </c>
      <c r="Q185" s="280" t="inlineStr">
        <is>
          <t>02-035</t>
        </is>
      </c>
      <c r="R185" s="213" t="n"/>
      <c r="S185" s="213" t="inlineStr">
        <is>
          <t>02-035</t>
        </is>
      </c>
      <c r="T185" s="213" t="inlineStr">
        <is>
          <t>M</t>
        </is>
      </c>
      <c r="U185" s="650">
        <f>((($I$141*$G$141*2)+($I$142*$G$142*2)+($I$143*$G$143*2)+($I$144*$G$144*2))/1000)*$J$120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IF($D$129="Standard",$O$184,IF($D$129="Soumdproof",$O$185,))</f>
        <v/>
      </c>
      <c r="C186" s="139">
        <f>IF($D$129="Standard",$P$184,IF($D$129="Soumdproof",$P$185,))</f>
        <v/>
      </c>
      <c r="D186" s="139">
        <f>IF($D$129="Standard",$Q$184,IF($D$129="Soumdproof",$Q$185,))</f>
        <v/>
      </c>
      <c r="E186" s="143">
        <f>IF($D$129="Standard",R185,IF($D$129="Soumdproof",R186,))</f>
        <v/>
      </c>
      <c r="F186" s="143">
        <f>IF($D$129="Standard",$S$184,IF($D$129="Soumdproof",$S$185,))</f>
        <v/>
      </c>
      <c r="G186" s="143">
        <f>IF($D$129="Standard",$T$184,IF($D$129="Soumdproof",$T$185,))</f>
        <v/>
      </c>
      <c r="H186" s="652">
        <f>IF($D$129="Standard",$U$184,IF($D$129="Soumdproof",$U$185,))</f>
        <v/>
      </c>
      <c r="I186" s="653">
        <f>IF($D$129="Standard",$V$184,IF($D$129="Soumdproof",$V$185,))</f>
        <v/>
      </c>
      <c r="J186" s="654">
        <f>ROUNDUP((H186)/100,0)</f>
        <v/>
      </c>
    </row>
    <row r="187" ht="18" customFormat="1" customHeight="1" s="278">
      <c r="A187" s="201">
        <f>IF(B187="","",+A186+1)</f>
        <v/>
      </c>
      <c r="B187" s="296">
        <f>IF($D$127=5,$O$173,IF($D$127=6,$O$174,IF($D$127=8,$O$175,IF($D$127=10,$O$173,IF($D$127=12,$O$173,IF($D$127=14,$O$175,IF($D$127=18,$O$173,IF($D$127=20,$O$174,IF($D$127=22,"")))))))))</f>
        <v/>
      </c>
      <c r="C187" s="296">
        <f>IF($D$127=5,$P$173,IF($D$127=6,$P$174,IF($D$127=8,$P$175,IF($D$127=10,$P$173,IF($D$127=12,$P$173,IF($D$127=14,$P$175,IF($D$127=18,$P$173,IF($D$127=20,$P$174,IF($D$127=22,"")))))))))</f>
        <v/>
      </c>
      <c r="D187" s="296">
        <f>IF($D$127=5,$Q$173,IF($D$127=6,$Q$174,IF($D$127=8,$Q$175,IF($D$127=10,$Q$173,IF($D$127=12,$Q$173,IF($D$127=14,$Q$175,IF($D$127=18,$Q$173,IF($D$127=20,$Q$174,IF($D$127=22,"")))))))))</f>
        <v/>
      </c>
      <c r="E187" s="296">
        <f>IF($D$127=5,R174,IF($D$127=6,R175,IF($D$127=8,R176,IF($D$127=10,R174,IF($D$127=12,R174,IF($D$127=14,R176,IF($D$127=18,R174,IF($D$127=20,R175,IF($D$127=22,"",)))))))))</f>
        <v/>
      </c>
      <c r="F187" s="242">
        <f>IF($D$127=5,$S$173,IF($D$127=6,$S$174,IF($D$127=8,$S$175,IF($D$127=10,$S$173,IF($D$127=12,$S$173,IF($D$127=14,$S$175,IF($D$127=18,$S$173,IF($D$127=20,$S$174,IF($D$127=22,"")))))))))</f>
        <v/>
      </c>
      <c r="G187" s="242">
        <f>IF($D$127=5,$T$173,IF($D$127=6,$T$174,IF($D$127=8,$T$175,IF($D$127=10,$T$173,IF($D$127=12,$T$173,IF($D$127=14,$T$175,IF($D$127=18,$T$173,IF($D$127=20,$T$174,IF($D$127=22,"")))))))))</f>
        <v/>
      </c>
      <c r="H187" s="652">
        <f>IF($D$127=5,$U$173,IF($D$127=6,$U$174,IF($D$127=8,$U$175,IF($D$127=10,$U$173*2,IF($D$127=12,$U$173,IF($D$127=14,$U$175*2,IF($D$127=18,$U$173,IF($D$127=20,$U$174,IF($D$127=22,"")))))))))</f>
        <v/>
      </c>
      <c r="I187" s="653">
        <f>IF($D$127=5,$V$173,IF($D$127=6,$V$174,IF($D$127=8,$V$175,IF($D$127=10,$V$173,IF($D$127=12,$V$173,IF($D$127=14,$V$175,IF($D$127=18,$V$173,IF($D$127=20,$V$174,IF($D$127=22,"")))))))))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296">
        <f>IF($D$127=5,$O$171,IF($D$127=6,$O$171,IF($D$127=8,$O$173,IF($D$127=10,"",IF($D$127=12,$O$172,IF($D$127=14,"",IF($D$127=18,$O$171,IF($D$127=20,$O$172,IF($D$127=22,"",)))))))))</f>
        <v/>
      </c>
      <c r="C188" s="296">
        <f>IF($D$127=5,$P$171,IF($D$127=6,$P$171,IF($D$127=8,$P$173,IF($D$127=10,"",IF($D$127=12,$P$172,IF($D$127=14,"",IF($D$127=18,$P$171,IF($D$127=20,$P$172,IF($D$127=22,"",)))))))))</f>
        <v/>
      </c>
      <c r="D188" s="296">
        <f>IF($D$127=5,$Q$171,IF($D$127=6,$Q$171,IF($D$127=8,$Q$173,IF($D$127=10,"",IF($D$127=12,$Q$172,IF($D$127=14,"",IF($D$127=18,$Q$171,IF($D$127=20,$Q$172,IF($D$127=22,"",)))))))))</f>
        <v/>
      </c>
      <c r="E188" s="296">
        <f>IF($D$127=5,R172,IF($D$127=6,R172,IF($D$127=8,R174,IF($D$127=10,"",IF($D$127=12,R173,IF($D$127=14,"",IF($D$127=18,R172,IF($D$127=20,R173,IF($D$127=22,"",)))))))))</f>
        <v/>
      </c>
      <c r="F188" s="242">
        <f>IF($D$127=5,$S$171,IF($D$127=6,$S$171,IF($D$127=8,$S$173,IF($D$127=10,"",IF($D$127=12,$S$172,IF($D$127=14,"",IF($D$127=18,$S$171,IF($D$127=20,$S$172,IF($D$127=22,"",)))))))))</f>
        <v/>
      </c>
      <c r="G188" s="242">
        <f>IF($D$127=5,$T$171,IF($D$127=6,$T$171,IF($D$127=8,$T$173,IF($D$127=10,"",IF($D$127=12,$T$172,IF($D$127=14,"",IF($D$127=18,$T$171,IF($D$127=20,$T$172,IF($D$127=22,"",)))))))))</f>
        <v/>
      </c>
      <c r="H188" s="652">
        <f>IF($D$127=5,$U$171,IF($D$127=6,$U$171,IF($D$127=8,$U$173,IF($D$127=10,"",IF($D$127=12,$U$172,IF($D$127=14,"",IF($D$127=18,$U$171,IF($D$127=20,$U$172,IF($D$127=22,"")))))))))</f>
        <v/>
      </c>
      <c r="I188" s="653">
        <f>IF($D$127=5,$V$171,IF($D$127=6,$V$171,IF($D$127=8,$V$173,IF($D$127=10,"",IF($D$127=12,$V$172,IF($D$127=14,"",IF($D$127=18,$V$171,IF($D$127=20,$V$172,IF($D$127=22,"",)))))))))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140" t="n"/>
      <c r="C189" s="140" t="n"/>
      <c r="D189" s="139" t="n"/>
      <c r="E189" s="143" t="n"/>
      <c r="F189" s="143" t="n"/>
      <c r="G189" s="143" t="n"/>
      <c r="H189" s="143" t="n"/>
      <c r="I189" s="144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Height="1" s="344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  <c r="N191" s="278" t="n"/>
      <c r="O191" s="278" t="n"/>
      <c r="P191" s="278" t="n"/>
      <c r="Q191" s="278" t="n"/>
      <c r="R191" s="278" t="n"/>
      <c r="S191" s="278" t="n"/>
      <c r="T191" s="278" t="n"/>
      <c r="U191" s="278" t="n"/>
      <c r="V191" s="278" t="n"/>
      <c r="W191" s="278" t="n"/>
      <c r="X191" s="278" t="n"/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$J$120*G204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LEFT($J$111,11)&amp;"-02"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328" t="n"/>
      <c r="J240" s="117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36" t="n"/>
      <c r="I242" s="501" t="n"/>
      <c r="J242" s="501" t="n"/>
    </row>
    <row r="243" ht="15.9" customFormat="1" customHeight="1" s="278">
      <c r="A243" s="109" t="n"/>
      <c r="B243" s="278" t="n"/>
      <c r="D243" s="161" t="n"/>
      <c r="E243" s="109" t="n"/>
      <c r="F243" s="161" t="n"/>
      <c r="G243" s="109" t="n"/>
      <c r="H243" s="109" t="n"/>
      <c r="I243" s="109" t="n"/>
      <c r="J243" s="501" t="n"/>
    </row>
    <row r="244" ht="15.9" customFormat="1" customHeight="1" s="278">
      <c r="A244" s="109" t="n"/>
      <c r="B244" s="278" t="n"/>
      <c r="C244" s="89" t="inlineStr">
        <is>
          <t xml:space="preserve">                   Sill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328" t="inlineStr">
        <is>
          <t xml:space="preserve">                          = Frame Width -60.00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" customFormat="1" customHeight="1" s="278">
      <c r="A246" s="109" t="n"/>
      <c r="B246" s="278" t="n"/>
      <c r="C246" s="542" t="inlineStr">
        <is>
          <t xml:space="preserve">                          ความกว้าง(วงกบ) - 60.00</t>
        </is>
      </c>
      <c r="D246" s="161" t="n"/>
      <c r="E246" s="109" t="n"/>
      <c r="F246" s="161" t="n"/>
      <c r="G246" s="109" t="n"/>
      <c r="H246" s="109" t="n"/>
      <c r="I246" s="501" t="n"/>
      <c r="J246" s="501" t="n"/>
    </row>
    <row r="247" ht="15.9" customFormat="1" customHeight="1" s="278">
      <c r="A247" s="109" t="n"/>
      <c r="B247" s="278" t="n"/>
      <c r="C247" s="656">
        <f>$I$135</f>
        <v/>
      </c>
      <c r="D247" s="161" t="n"/>
      <c r="E247" s="109" t="n"/>
      <c r="F247" s="161" t="n"/>
      <c r="G247" s="109" t="n"/>
      <c r="H247" s="109" t="n"/>
      <c r="I247" s="44" t="n"/>
      <c r="J247" s="119" t="n"/>
    </row>
    <row r="248" ht="15.9" customFormat="1" customHeight="1" s="278">
      <c r="A248" s="109" t="n"/>
      <c r="B248" s="278" t="n"/>
      <c r="C248" s="657">
        <f>$J$135</f>
        <v/>
      </c>
      <c r="D248" s="161" t="n"/>
      <c r="E248" s="109" t="n"/>
      <c r="F248" s="161" t="n"/>
      <c r="G248" s="109" t="n"/>
      <c r="H248" s="109" t="n"/>
      <c r="I248" s="32" t="n"/>
      <c r="J248" s="40" t="n"/>
    </row>
    <row r="249" ht="15.9" customFormat="1" customHeight="1" s="278">
      <c r="A249" s="109" t="n"/>
      <c r="B249" s="278" t="n"/>
      <c r="C249" s="161" t="n"/>
      <c r="D249" s="161" t="n"/>
      <c r="E249" s="109" t="n"/>
      <c r="F249" s="161" t="n"/>
      <c r="G249" s="109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J251" s="10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4" t="n"/>
      <c r="H252" s="109" t="n"/>
      <c r="J252" s="109" t="n"/>
    </row>
    <row r="253" ht="15.9" customFormat="1" customHeight="1" s="278">
      <c r="A253" s="109" t="n"/>
      <c r="B253" s="278" t="n"/>
      <c r="C253" s="278" t="n"/>
      <c r="D253" s="161" t="n"/>
      <c r="E253" s="109" t="n"/>
      <c r="F253" s="109" t="n"/>
      <c r="G253" s="40" t="n"/>
      <c r="H253" s="109" t="n"/>
      <c r="I253" s="501" t="n"/>
      <c r="J253" s="501" t="n"/>
    </row>
    <row r="254" ht="15.9" customFormat="1" customHeight="1" s="278">
      <c r="A254" s="109" t="n"/>
      <c r="B254" s="278" t="n"/>
      <c r="D254" s="161" t="n"/>
      <c r="E254" s="109" t="n"/>
      <c r="F254" s="109" t="n"/>
      <c r="G254" s="109" t="n"/>
      <c r="H254" s="109" t="n"/>
      <c r="I254" s="501" t="n"/>
      <c r="J254" s="501" t="n"/>
    </row>
    <row r="255" ht="15.9" customFormat="1" customHeight="1" s="278">
      <c r="A255" s="44" t="n"/>
      <c r="B255" s="44" t="n"/>
      <c r="D255" s="84" t="n"/>
      <c r="E255" s="44" t="n"/>
      <c r="F255" s="44" t="n"/>
      <c r="G255" s="109" t="n"/>
      <c r="H255" s="109" t="n"/>
      <c r="I255" s="501" t="n"/>
      <c r="J255" s="501" t="n"/>
    </row>
    <row r="256" ht="15.9" customFormat="1" customHeight="1" s="278">
      <c r="A256" s="40" t="n"/>
      <c r="B256" s="40" t="n"/>
      <c r="C256" s="89" t="inlineStr">
        <is>
          <t xml:space="preserve">                   Door Stop Sill</t>
        </is>
      </c>
      <c r="D256" s="85" t="n"/>
      <c r="E256" s="40" t="n"/>
      <c r="F256" s="32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328" t="inlineStr">
        <is>
          <t xml:space="preserve">                          = Frame Width -60.00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542" t="inlineStr">
        <is>
          <t xml:space="preserve">                          ความกว้าง(วงกบ) - 60.00</t>
        </is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6">
        <f>$I$136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657">
        <f>$J$136</f>
        <v/>
      </c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87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161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278" t="n"/>
      <c r="D266" s="161" t="n"/>
      <c r="E266" s="109" t="n"/>
      <c r="F266" s="109" t="n"/>
      <c r="G266" s="109" t="n"/>
      <c r="I266" s="501" t="n"/>
      <c r="J266" s="501" t="n"/>
    </row>
    <row r="267" ht="15.9" customFormat="1" customHeight="1" s="278">
      <c r="A267" s="27" t="n"/>
      <c r="B267" s="278" t="n"/>
      <c r="C267" s="89" t="inlineStr">
        <is>
          <t xml:space="preserve">                   JAMB</t>
        </is>
      </c>
      <c r="D267" s="161" t="n"/>
      <c r="E267" s="109" t="n"/>
      <c r="F267" s="109" t="n"/>
      <c r="G267" s="109" t="n"/>
      <c r="H267" s="109" t="n"/>
      <c r="I267" s="501" t="n"/>
      <c r="J267" s="501" t="n"/>
    </row>
    <row r="268" ht="15.9" customFormat="1" customHeight="1" s="278">
      <c r="A268" s="27" t="n"/>
      <c r="B268" s="278" t="n"/>
      <c r="C268" s="328" t="inlineStr">
        <is>
          <t xml:space="preserve">                          = FAME HIGHT</t>
        </is>
      </c>
      <c r="D268" s="328" t="n"/>
      <c r="E268" s="328" t="n"/>
      <c r="F268" s="109" t="n"/>
      <c r="G268" s="109" t="n"/>
      <c r="H268" s="109" t="n"/>
      <c r="I268" s="501" t="n"/>
      <c r="J268" s="501" t="n"/>
    </row>
    <row r="269" ht="15.9" customFormat="1" customHeight="1" s="278">
      <c r="A269" s="27" t="n"/>
      <c r="B269" s="278" t="n"/>
      <c r="C269" s="542" t="inlineStr">
        <is>
          <t xml:space="preserve">                          ความสูง (วงกบ)</t>
        </is>
      </c>
      <c r="D269" s="542" t="n"/>
      <c r="E269" s="542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C270" s="656">
        <f>$I$137</f>
        <v/>
      </c>
      <c r="D270" s="161" t="n"/>
      <c r="E270" s="109" t="n"/>
      <c r="F270" s="109" t="n"/>
      <c r="G270" s="278" t="n"/>
      <c r="H270" s="278" t="n"/>
      <c r="J270" s="109" t="n"/>
    </row>
    <row r="271" ht="15.9" customFormat="1" customHeight="1" s="278">
      <c r="A271" s="27" t="n"/>
      <c r="B271" s="278" t="n"/>
      <c r="C271" s="657">
        <f>$J$137+$J$138</f>
        <v/>
      </c>
      <c r="D271" s="161" t="n"/>
      <c r="E271" s="109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89" t="n"/>
      <c r="E273" s="89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89" t="n"/>
      <c r="E274" s="89" t="n"/>
      <c r="F274" s="109" t="n"/>
      <c r="G274" s="109" t="n"/>
      <c r="H274" s="109" t="n"/>
      <c r="J274" s="109" t="n"/>
    </row>
    <row r="275" ht="15.9" customFormat="1" customHeight="1" s="278">
      <c r="A275" s="27" t="n"/>
      <c r="D275" s="328" t="n"/>
      <c r="E275" s="328" t="n"/>
      <c r="F275" s="109" t="n"/>
      <c r="G275" s="109" t="n"/>
      <c r="H275" s="109" t="n"/>
      <c r="J275" s="109" t="n"/>
    </row>
    <row r="276" ht="15.9" customFormat="1" customHeight="1" s="278">
      <c r="A276" s="27" t="n"/>
      <c r="B276" s="278" t="n"/>
      <c r="D276" s="328" t="n"/>
      <c r="E276" s="328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278" t="n"/>
      <c r="D277" s="161" t="n"/>
      <c r="E277" s="109" t="n"/>
      <c r="F277" s="109" t="n"/>
      <c r="G277" s="109" t="n"/>
      <c r="I277" s="501" t="n"/>
      <c r="J277" s="501" t="n"/>
    </row>
    <row r="278" ht="15.9" customFormat="1" customHeight="1" s="278">
      <c r="A278" s="27" t="n"/>
      <c r="B278" s="278" t="n"/>
      <c r="C278" s="89" t="inlineStr">
        <is>
          <t xml:space="preserve">                   Door Stop Jamb</t>
        </is>
      </c>
      <c r="D278" s="162" t="n"/>
      <c r="E278" s="501" t="n"/>
      <c r="F278" s="109" t="n"/>
      <c r="G278" s="109" t="n"/>
      <c r="I278" s="501" t="n"/>
      <c r="J278" s="501" t="n"/>
    </row>
    <row r="279" ht="15.9" customFormat="1" customHeight="1" s="278">
      <c r="A279" s="27" t="n"/>
      <c r="B279" s="278" t="n"/>
      <c r="C279" s="328" t="inlineStr">
        <is>
          <t xml:space="preserve">                          = FAME HIGHT - 96</t>
        </is>
      </c>
      <c r="D279" s="328" t="n"/>
      <c r="E279" s="328" t="n"/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542" t="inlineStr">
        <is>
          <t xml:space="preserve">                          ความสูง (วงกบ) - 96</t>
        </is>
      </c>
      <c r="D280" s="542" t="n"/>
      <c r="E280" s="542" t="n"/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C281" s="656">
        <f>$I$139</f>
        <v/>
      </c>
      <c r="F281" s="109" t="n"/>
      <c r="G281" s="109" t="n"/>
      <c r="I281" s="109" t="n"/>
      <c r="J281" s="501" t="n"/>
    </row>
    <row r="282" ht="15.9" customFormat="1" customHeight="1" s="278">
      <c r="A282" s="27" t="n"/>
      <c r="B282" s="278" t="n"/>
      <c r="C282" s="657">
        <f>$J$139+$J$140</f>
        <v/>
      </c>
      <c r="F282" s="109" t="n"/>
      <c r="G282" s="109" t="n"/>
      <c r="I282" s="109" t="n"/>
      <c r="J282" s="501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J284" s="109" t="n"/>
    </row>
    <row r="285" ht="15.9" customFormat="1" customHeight="1" s="278">
      <c r="A285" s="27" t="n"/>
      <c r="B285" s="278" t="n"/>
      <c r="C285" s="278" t="n"/>
      <c r="D285" s="161" t="n"/>
      <c r="E285" s="109" t="n"/>
      <c r="F285" s="109" t="n"/>
      <c r="G285" s="109" t="n"/>
      <c r="H285" s="109" t="n"/>
      <c r="J285" s="109" t="n"/>
    </row>
    <row r="286" ht="15.9" customFormat="1" customHeight="1" s="278">
      <c r="A286" s="27" t="n"/>
      <c r="B286" s="278" t="n"/>
      <c r="F286" s="109" t="n"/>
      <c r="G286" s="109" t="n"/>
      <c r="H286" s="109" t="n"/>
      <c r="J286" s="109" t="n"/>
    </row>
    <row r="287" ht="15.9" customFormat="1" customHeight="1" s="278">
      <c r="A287" s="27" t="n"/>
      <c r="B287" s="278" t="n"/>
      <c r="F287" s="109" t="n"/>
      <c r="G287" s="109" t="n"/>
      <c r="H287" s="109" t="n"/>
      <c r="I287" s="162" t="n"/>
      <c r="J287" s="501" t="n"/>
    </row>
    <row r="288" ht="15.9" customFormat="1" customHeight="1" s="278">
      <c r="A288" s="27" t="n"/>
      <c r="B288" s="278" t="n"/>
      <c r="C288" s="89" t="inlineStr">
        <is>
          <t xml:space="preserve">                   Sash</t>
        </is>
      </c>
      <c r="F288" s="109" t="n"/>
      <c r="G288" s="109" t="n"/>
      <c r="H288" s="109" t="n"/>
      <c r="I288" s="109" t="n"/>
      <c r="J288" s="501" t="n"/>
    </row>
    <row r="289" ht="15.9" customFormat="1" customHeight="1" s="278">
      <c r="A289" s="27" t="n"/>
      <c r="B289" s="278" t="n"/>
      <c r="C289" s="94" t="inlineStr">
        <is>
          <t xml:space="preserve">                          = ((Frame Width - 182-(113.25 × 5))/6</t>
        </is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542" t="inlineStr">
        <is>
          <t xml:space="preserve">                          ((ความกว้าง (วงกบ) - 182-(113.25 × 5))/6</t>
        </is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328" t="inlineStr">
        <is>
          <t xml:space="preserve">                          = FAME HIGHT - 92.00</t>
        </is>
      </c>
      <c r="D291" s="328" t="n"/>
      <c r="E291" s="328" t="n"/>
      <c r="F291" s="109" t="n"/>
      <c r="G291" s="109" t="n"/>
      <c r="I291" s="501" t="n"/>
      <c r="J291" s="501" t="n"/>
    </row>
    <row r="292" ht="15.9" customFormat="1" customHeight="1" s="23">
      <c r="A292" s="27" t="n"/>
      <c r="B292" s="278" t="n"/>
      <c r="C292" s="542" t="inlineStr">
        <is>
          <t xml:space="preserve">                          ความสูง (วงกบ) - 92.00</t>
        </is>
      </c>
      <c r="D292" s="542" t="n"/>
      <c r="E292" s="542" t="n"/>
      <c r="F292" s="109" t="n"/>
      <c r="G292" s="109" t="n"/>
      <c r="H292" s="278" t="n"/>
      <c r="I292" s="109" t="n"/>
      <c r="J292" s="109" t="n"/>
    </row>
    <row r="293" ht="15.9" customFormat="1" customHeight="1" s="278">
      <c r="A293" s="27" t="n"/>
      <c r="B293" s="278" t="n"/>
      <c r="C293" s="656">
        <f>$I$141</f>
        <v/>
      </c>
      <c r="F293" s="109" t="n"/>
      <c r="G293" s="109" t="n"/>
      <c r="I293" s="44" t="n"/>
      <c r="J293" s="119" t="n"/>
    </row>
    <row r="294" ht="15.9" customFormat="1" customHeight="1" s="278">
      <c r="A294" s="27" t="n"/>
      <c r="B294" s="278" t="n"/>
      <c r="C294" s="657">
        <f>$J$141+$J$142</f>
        <v/>
      </c>
      <c r="D294" s="161" t="n"/>
      <c r="E294" s="109" t="n"/>
      <c r="F294" s="109" t="n"/>
      <c r="G294" s="109" t="n"/>
      <c r="H294" s="161" t="n"/>
      <c r="I294" s="32" t="n"/>
      <c r="J294" s="40" t="n"/>
    </row>
    <row r="295" ht="15.9" customFormat="1" customHeight="1" s="278">
      <c r="A295" s="27" t="n"/>
      <c r="B295" s="278" t="n"/>
      <c r="C295" s="656">
        <f>$I$143</f>
        <v/>
      </c>
      <c r="D295" s="161" t="n"/>
      <c r="E295" s="109" t="n"/>
      <c r="F295" s="109" t="n"/>
      <c r="G295" s="109" t="n"/>
      <c r="H295" s="109" t="n"/>
      <c r="I295" s="501" t="n"/>
      <c r="J295" s="501" t="n"/>
    </row>
    <row r="296" ht="15.9" customFormat="1" customHeight="1" s="278">
      <c r="A296" s="27" t="n"/>
      <c r="B296" s="278" t="n"/>
      <c r="C296" s="657">
        <f>$J$143+$J$144</f>
        <v/>
      </c>
      <c r="D296" s="161" t="n"/>
      <c r="E296" s="109" t="n"/>
      <c r="F296" s="109" t="n"/>
      <c r="G296" s="109" t="n"/>
      <c r="H296" s="109" t="n"/>
      <c r="I296" s="501" t="n"/>
      <c r="J296" s="501" t="n"/>
    </row>
    <row r="297" ht="15.9" customFormat="1" customHeight="1" s="278">
      <c r="A297" s="27" t="n"/>
      <c r="B297" s="278" t="n"/>
      <c r="D297" s="161" t="n"/>
      <c r="E297" s="109" t="n"/>
      <c r="F297" s="109" t="n"/>
      <c r="G297" s="109" t="n"/>
      <c r="H297" s="109" t="n"/>
      <c r="I297" s="501" t="n"/>
      <c r="J297" s="501" t="n"/>
    </row>
    <row r="298" ht="15.9" customFormat="1" customHeight="1" s="278">
      <c r="A298" s="27" t="n"/>
      <c r="B298" s="278" t="n"/>
      <c r="D298" s="161" t="n"/>
      <c r="E298" s="109" t="n"/>
      <c r="F298" s="109" t="n"/>
      <c r="G298" s="109" t="n"/>
      <c r="H298" s="109" t="n"/>
      <c r="I298" s="501" t="n"/>
      <c r="J298" s="501" t="n"/>
    </row>
    <row r="299" ht="15.9" customFormat="1" customHeight="1" s="278">
      <c r="A299" s="27" t="n"/>
      <c r="B299" s="278" t="n"/>
      <c r="C299" s="278" t="n"/>
      <c r="D299" s="161" t="n"/>
      <c r="E299" s="109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27" t="n"/>
      <c r="B300" s="278" t="n"/>
      <c r="C300" s="23" t="n"/>
      <c r="D300" s="161" t="n"/>
      <c r="E300" s="109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27" t="n"/>
      <c r="B301" s="278" t="n"/>
      <c r="C301" s="89" t="inlineStr">
        <is>
          <t xml:space="preserve">                   Glazing Bead</t>
        </is>
      </c>
      <c r="D301" s="161" t="n"/>
      <c r="E301" s="109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27" t="n"/>
      <c r="B302" s="278" t="n"/>
      <c r="C302" s="94" t="inlineStr">
        <is>
          <t xml:space="preserve">                          = ((Frame Width - 182-(113.25 × 5))/6</t>
        </is>
      </c>
      <c r="D302" s="161" t="n"/>
      <c r="E302" s="109" t="n"/>
      <c r="F302" s="109" t="n"/>
      <c r="G302" s="44" t="n"/>
      <c r="H302" s="44" t="n"/>
      <c r="I302" s="109" t="n"/>
      <c r="J302" s="501" t="n"/>
    </row>
    <row r="303" ht="15.9" customFormat="1" customHeight="1" s="278">
      <c r="A303" s="27" t="n"/>
      <c r="B303" s="278" t="n"/>
      <c r="C303" s="542" t="inlineStr">
        <is>
          <t xml:space="preserve">                          ((ความกว้าง (วงกบ) - 182-(113.25 × 5))/6</t>
        </is>
      </c>
      <c r="D303" s="328" t="n"/>
      <c r="E303" s="328" t="n"/>
      <c r="F303" s="109" t="n"/>
      <c r="G303" s="40" t="n"/>
      <c r="H303" s="32" t="n"/>
      <c r="I303" s="109" t="n"/>
      <c r="J303" s="501" t="n"/>
    </row>
    <row r="304" ht="15.9" customFormat="1" customHeight="1" s="278">
      <c r="A304" s="101" t="n"/>
      <c r="B304" s="278" t="n"/>
      <c r="C304" s="328" t="inlineStr">
        <is>
          <t xml:space="preserve">                          = FAME HIGHT - 242.00</t>
        </is>
      </c>
      <c r="D304" s="542" t="n"/>
      <c r="E304" s="542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44" t="n"/>
      <c r="B305" s="44" t="n"/>
      <c r="C305" s="542" t="inlineStr">
        <is>
          <t xml:space="preserve">                          ความสูง (วงกบ) - 242.00</t>
        </is>
      </c>
      <c r="D305" s="86" t="n"/>
      <c r="E305" s="79" t="n"/>
      <c r="F305" s="44" t="n"/>
      <c r="G305" s="109" t="n"/>
      <c r="H305" s="109" t="n"/>
      <c r="I305" s="109" t="n"/>
      <c r="J305" s="501" t="n"/>
    </row>
    <row r="306" ht="15.9" customFormat="1" customHeight="1" s="278">
      <c r="A306" s="40" t="n"/>
      <c r="B306" s="40" t="n"/>
      <c r="C306" s="656">
        <f>$I$145</f>
        <v/>
      </c>
      <c r="D306" s="87" t="n"/>
      <c r="E306" s="80" t="n"/>
      <c r="F306" s="32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657">
        <f>$J$145</f>
        <v/>
      </c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6">
        <f>$I$146</f>
        <v/>
      </c>
      <c r="D308" s="161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$J$146</f>
        <v/>
      </c>
      <c r="D309" s="161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89" t="n"/>
      <c r="D311" s="161" t="n"/>
      <c r="E311" s="109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LEFT($J$111,11)&amp;"-03"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72" t="n"/>
      <c r="C442" s="161" t="n"/>
      <c r="D442" s="161" t="n"/>
      <c r="E442" s="109" t="n"/>
      <c r="F442" s="37" t="n"/>
      <c r="H442" s="44" t="n"/>
      <c r="I442" s="44" t="n"/>
      <c r="J442" s="119" t="n"/>
    </row>
    <row r="443" ht="15.9" customFormat="1" customHeight="1" s="278">
      <c r="A443" s="44" t="n"/>
      <c r="B443" s="278" t="n"/>
      <c r="C443" s="43" t="n"/>
      <c r="D443" s="161" t="n"/>
      <c r="E443" s="109" t="n"/>
      <c r="F443" s="109" t="n"/>
      <c r="H443" s="44" t="n"/>
      <c r="I443" s="44" t="n"/>
      <c r="J443" s="119" t="n"/>
    </row>
    <row r="444" ht="15.9" customFormat="1" customHeight="1" s="278">
      <c r="A444" s="40" t="n"/>
      <c r="C444" s="44" t="n"/>
      <c r="D444" s="84" t="n"/>
      <c r="E444" s="44" t="n"/>
      <c r="F444" s="44" t="n"/>
      <c r="H444" s="44" t="n"/>
      <c r="I444" s="44" t="n"/>
      <c r="J444" s="119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66" t="n"/>
      <c r="I512" s="278" t="n"/>
      <c r="J512" s="109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IF($D$127=5,N520,IF($D$127=6,N521,IF($D$127=8,N522,IF($D$127=10,N523,IF($D$127=12,N524,IF($D$127=14,N525,IF($D$127=N18526,IF($D$127=20,N527,IF($D$127=22,N528,)))))))))</f>
        <v/>
      </c>
      <c r="C520" s="138">
        <f>IF($D$127=5,O520,IF($D$127=6,O521,IF($D$127=8,O522,IF($D$127=10,O523,IF($D$127=12,O524,IF($D$127=14,O525,IF($D$127=O18526,IF($D$127=20,O527,IF($D$127=22,O528,)))))))))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((W-182-(113.25 × 5)/6)-13</t>
        </is>
      </c>
      <c r="I520" s="124">
        <f>(($J$126-182-(113.25*5))/6)-13</f>
        <v/>
      </c>
      <c r="J520" s="151">
        <f>$J$120*6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3">
    <mergeCell ref="I162:J165"/>
    <mergeCell ref="I158:J158"/>
    <mergeCell ref="D127:G127"/>
    <mergeCell ref="I168:J168"/>
    <mergeCell ref="A131:J131"/>
    <mergeCell ref="D121:G121"/>
    <mergeCell ref="H161:H162"/>
    <mergeCell ref="I154:J154"/>
    <mergeCell ref="D129:G129"/>
    <mergeCell ref="H167:H168"/>
    <mergeCell ref="F329:G329"/>
    <mergeCell ref="D123:G123"/>
    <mergeCell ref="I166:J167"/>
    <mergeCell ref="J123:J124"/>
    <mergeCell ref="A117:J117"/>
    <mergeCell ref="H163:H166"/>
    <mergeCell ref="I156:J156"/>
    <mergeCell ref="A518:J518"/>
    <mergeCell ref="H159:H160"/>
    <mergeCell ref="H120:I121"/>
    <mergeCell ref="A319:J319"/>
    <mergeCell ref="F330:G330"/>
    <mergeCell ref="D119:G119"/>
    <mergeCell ref="D163:D166"/>
    <mergeCell ref="A169:J169"/>
    <mergeCell ref="H126:I127"/>
    <mergeCell ref="I161:J161"/>
    <mergeCell ref="I155:J155"/>
    <mergeCell ref="A6:J6"/>
    <mergeCell ref="D161:D162"/>
    <mergeCell ref="A212:J212"/>
    <mergeCell ref="F333:G333"/>
    <mergeCell ref="D167:D168"/>
    <mergeCell ref="I157:J157"/>
    <mergeCell ref="J120:J121"/>
    <mergeCell ref="A426:J426"/>
    <mergeCell ref="A125:B125"/>
    <mergeCell ref="J126:J127"/>
    <mergeCell ref="D159:D160"/>
    <mergeCell ref="F520:G520"/>
    <mergeCell ref="I159:J160"/>
    <mergeCell ref="D125:G125"/>
    <mergeCell ref="H123:I124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$O$171:$O$189</formula1>
    </dataValidation>
    <dataValidation sqref="D129:G129" showDropDown="0" showInputMessage="1" showErrorMessage="1" allowBlank="1" type="list">
      <formula1>$O$120</formula1>
    </dataValidation>
    <dataValidation sqref="D123:G123" showDropDown="0" showInputMessage="1" showErrorMessage="1" allowBlank="1" type="list">
      <formula1>$P$119:$P$128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codeName="Sheet21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D119" sqref="D119:G119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332031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3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240-6 Panel (6R)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>
      <c r="G45" s="10" t="n"/>
    </row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/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FG-240-6P6R-01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5.6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78" t="n"/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3" t="inlineStr">
        <is>
          <t>Glass size</t>
        </is>
      </c>
      <c r="O119" s="109" t="inlineStr">
        <is>
          <t>FRAME SEAL</t>
        </is>
      </c>
      <c r="P119" s="247" t="inlineStr">
        <is>
          <t>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4" t="n">
        <v>5</v>
      </c>
      <c r="O120" s="109" t="inlineStr">
        <is>
          <t>Standard</t>
        </is>
      </c>
      <c r="P120" s="335" t="inlineStr">
        <is>
          <t>Mill Finish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6</v>
      </c>
      <c r="O121" s="109" t="inlineStr">
        <is>
          <t>Soumdproof</t>
        </is>
      </c>
      <c r="P121" s="336" t="inlineStr">
        <is>
          <t>Natural Anodise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8</v>
      </c>
      <c r="P122" s="336" t="inlineStr">
        <is>
          <t>SMS White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10</v>
      </c>
      <c r="P123" s="336" t="inlineStr">
        <is>
          <t>SMS Black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12</v>
      </c>
      <c r="P124" s="335" t="inlineStr">
        <is>
          <t>Black Anodise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14</v>
      </c>
      <c r="P125" s="335" t="inlineStr">
        <is>
          <t>Grey Sahara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5" t="n">
        <v>18</v>
      </c>
      <c r="P126" s="335" t="inlineStr">
        <is>
          <t>Aztec Grey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20</v>
      </c>
      <c r="P127" s="335" t="inlineStr">
        <is>
          <t>Golden Teak Wood Grain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N128" s="245" t="n">
        <v>22</v>
      </c>
      <c r="P128" s="335" t="inlineStr">
        <is>
          <t>Custom Colours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12</v>
      </c>
      <c r="U133" s="283" t="inlineStr">
        <is>
          <t>(W-182-(113.25 × 5))/6</t>
        </is>
      </c>
      <c r="V133" s="307">
        <f>($J$126-182-(113.25*5))/6</f>
        <v/>
      </c>
      <c r="W133" s="286">
        <f>$J$121*T133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12</v>
      </c>
      <c r="U134" s="283" t="inlineStr">
        <is>
          <t>(W-182-(113.25 × 5))/6</t>
        </is>
      </c>
      <c r="V134" s="307">
        <f>($J$126-182-(113.25*5))/6</f>
        <v/>
      </c>
      <c r="W134" s="131">
        <f>$J$121*T134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12</v>
      </c>
      <c r="U135" s="283" t="inlineStr">
        <is>
          <t>(W-182-(113.25 × 5))/6</t>
        </is>
      </c>
      <c r="V135" s="307">
        <f>($J$126-182-(113.25*5))/6</f>
        <v/>
      </c>
      <c r="W135" s="293">
        <f>$J$121*T135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12</v>
      </c>
      <c r="U136" s="283" t="inlineStr">
        <is>
          <t>H-242</t>
        </is>
      </c>
      <c r="V136" s="288">
        <f>$J$123-242</f>
        <v/>
      </c>
      <c r="W136" s="286">
        <f>$J$121*T136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B24005-003L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12</v>
      </c>
      <c r="U137" s="143" t="inlineStr">
        <is>
          <t>H-242</t>
        </is>
      </c>
      <c r="V137" s="130">
        <f>$J$123-242</f>
        <v/>
      </c>
      <c r="W137" s="131">
        <f>$J$121*T137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12</v>
      </c>
      <c r="U138" s="240" t="inlineStr">
        <is>
          <t>H-242</t>
        </is>
      </c>
      <c r="V138" s="136">
        <f>$J$123-242</f>
        <v/>
      </c>
      <c r="W138" s="293">
        <f>$J$121*T138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6</v>
      </c>
      <c r="H141" s="143" t="inlineStr">
        <is>
          <t>45° (W-60-(6+1)×4)/6</t>
        </is>
      </c>
      <c r="I141" s="178">
        <f>($J$126-60-(6+1)*4)/6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6</v>
      </c>
      <c r="H142" s="143" t="inlineStr">
        <is>
          <t>45° (W-60-(6+1)×4)/6</t>
        </is>
      </c>
      <c r="I142" s="178">
        <f>($J$126-60-(6+1)*4)/6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9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>
        <f>IF($D$127=5,O133,IF($D$127=6,O133,IF($D$127=8,O134,IF($D$127=10,O134,IF($D$127=12,O134,IF($D$127=14,O135,IF($D$127=18,O135,IF($D$127=20,O135,IF($D$127=22,O135,)))))))))</f>
        <v/>
      </c>
      <c r="C145" s="140">
        <f>IF($D$127=5,P133,IF($D$127=6,P133,IF($D$127=8,P134,IF($D$127=10,P134,IF($D$127=12,P134,IF($D$127=14,P135,IF($D$127=18,P135,IF($D$127=20,P135,IF($D$127=22,P135,)))))))))</f>
        <v/>
      </c>
      <c r="D145" s="140">
        <f>IF($D$127=5,Q133,IF($D$127=6,Q133,IF($D$127=8,Q134,IF($D$127=10,Q134,IF($D$127=12,Q134,IF($D$127=14,Q135,IF($D$127=18,Q135,IF($D$127=20,Q135,IF($D$127=22,Q135,)))))))))</f>
        <v/>
      </c>
      <c r="E145" s="140">
        <f>IF($D$127=5,R133,IF($D$127=6,R133,IF($D$127=8,R134,IF($D$127=10,R134,IF($D$127=12,R134,IF($D$127=14,R135,IF($D$127=18,R135,IF($D$127=20,R135,IF($D$127=22,R135,)))))))))</f>
        <v/>
      </c>
      <c r="F145" s="140">
        <f>IF($D$127=5,S133,IF($D$127=6,S133,IF($D$127=8,S134,IF($D$127=10,S134,IF($D$127=12,S134,IF($D$127=14,S135,IF($D$127=18,S135,IF($D$127=20,S135,IF($D$127=22,S135,)))))))))</f>
        <v/>
      </c>
      <c r="G145" s="143">
        <f>IF($D$127=5,T133,IF($D$127=6,T133,IF($D$127=8,T134,IF($D$127=10,T134,IF($D$127=12,T134,IF($D$127=14,T135,IF($D$127=18,T135,IF($D$127=20,T135,IF($D$127=22,T135,)))))))))</f>
        <v/>
      </c>
      <c r="H145" s="143">
        <f>IF($D$127=5,U133,IF($D$127=6,U133,IF($D$127=8,U134,IF($D$127=10,U134,IF($D$127=12,U134,IF($D$127=14,U135,IF($D$127=18,U135,IF($D$127=20,U135,IF($D$127=22,U135,)))))))))</f>
        <v/>
      </c>
      <c r="I145" s="178">
        <f>IF($D$127=5,V133,IF($D$127=6,V133,IF($D$127=8,V134,IF($D$127=10,V134,IF($D$127=12,V134,IF($D$127=14,V135,IF($D$127=18,V135,IF($D$127=20,V135,IF($D$127=22,V135,)))))))))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IF($D$127=5,O136,IF($D$127=6,O136,IF($D$127=8,O137,IF($D$127=10,O137,IF($D$127=12,O137,IF($D$127=14,O138,IF($D$127=18,O138,IF($D$127=20,O138,IF($D$127=22,O138,)))))))))</f>
        <v/>
      </c>
      <c r="C146" s="140">
        <f>IF($D$127=5,P136,IF($D$127=6,P136,IF($D$127=8,P137,IF($D$127=10,P137,IF($D$127=12,P137,IF($D$127=14,P138,IF($D$127=18,P138,IF($D$127=20,P138,IF($D$127=22,P138,)))))))))</f>
        <v/>
      </c>
      <c r="D146" s="140">
        <f>IF($D$127=5,Q136,IF($D$127=6,Q136,IF($D$127=8,Q137,IF($D$127=10,Q137,IF($D$127=12,Q137,IF($D$127=14,Q138,IF($D$127=18,Q138,IF($D$127=20,Q138,IF($D$127=22,Q138,)))))))))</f>
        <v/>
      </c>
      <c r="E146" s="140">
        <f>IF($D$127=5,R136,IF($D$127=6,R136,IF($D$127=8,R137,IF($D$127=10,R137,IF($D$127=12,R137,IF($D$127=14,R138,IF($D$127=18,R138,IF($D$127=20,R138,IF($D$127=22,R138,)))))))))</f>
        <v/>
      </c>
      <c r="F146" s="140">
        <f>IF($D$127=5,S136,IF($D$127=6,S136,IF($D$127=8,S137,IF($D$127=10,S137,IF($D$127=12,S137,IF($D$127=14,S138,IF($D$127=18,S138,IF($D$127=20,S138,IF($D$127=22,S138,)))))))))</f>
        <v/>
      </c>
      <c r="G146" s="143">
        <f>IF($D$127=5,T136,IF($D$127=6,T136,IF($D$127=8,T137,IF($D$127=10,T137,IF($D$127=12,T137,IF($D$127=14,T138,IF($D$127=18,T138,IF($D$127=20,T138,IF($D$127=22,T138,)))))))))</f>
        <v/>
      </c>
      <c r="H146" s="143">
        <f>IF($D$127=5,U136,IF($D$127=6,U136,IF($D$127=8,U137,IF($D$127=10,U137,IF($D$127=12,U137,IF($D$127=14,U138,IF($D$127=18,U138,IF($D$127=20,U138,IF($D$127=22,U138,)))))))))</f>
        <v/>
      </c>
      <c r="I146" s="144">
        <f>IF($D$127=5,V136,IF($D$127=6,V136,IF($D$127=8,V137,IF($D$127=10,V137,IF($D$127=12,V137,IF($D$127=14,V138,IF($D$127=18,V138,IF($D$127=20,V138,IF($D$127=22,V138,)))))))))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 t="n"/>
      <c r="C147" s="140" t="n"/>
      <c r="D147" s="139" t="n"/>
      <c r="E147" s="143" t="n"/>
      <c r="F147" s="139" t="n"/>
      <c r="G147" s="143" t="n"/>
      <c r="H147" s="143" t="n"/>
      <c r="I147" s="130" t="n"/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VLOOKUP(C156,$C$133:$J$153,7,0)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VLOOKUP(C157,$C$133:$J$153,7,0)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VLOOKUP(C158,$C$133:$J$153,7,0)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VLOOKUP(C159,$C$133:$J$153,7,0)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VLOOKUP(C160,$C$133:$J$153,7,0)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VLOOKUP(C161,$C$133:$J$153,7,0)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VLOOKUP(C162,$C$133:$J$153,7,0)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VLOOKUP(C163,$C$133:$J$153,7,0)</f>
        <v/>
      </c>
      <c r="G163" s="175">
        <f>VLOOKUP(C163,$C$133:$J$153,8,0)</f>
        <v/>
      </c>
      <c r="H163" s="516">
        <f>ROUNDUP(((F163*G163)+(F164*G164)+(F165*G165)+(F166*G166))/6400,0)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VLOOKUP(C164,$C$133:$J$153,7,0)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VLOOKUP(C165,$C$133:$J$153,7,0)</f>
        <v/>
      </c>
      <c r="G165" s="175">
        <f>VLOOKUP(C165,$C$133:$J$153,8,0)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5" t="n"/>
      <c r="E166" s="175">
        <f>VLOOKUP(C166,$C$133:$H$153,3,0)</f>
        <v/>
      </c>
      <c r="F166" s="353">
        <f>VLOOKUP(C166,$C$133:$J$153,7,0)</f>
        <v/>
      </c>
      <c r="G166" s="175">
        <f>VLOOKUP(C166,$C$133:$J$153,8,0)</f>
        <v/>
      </c>
      <c r="H166" s="644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47">
        <f>VLOOKUP(C167,$C$133:$H$153,2,0)</f>
        <v/>
      </c>
      <c r="E167" s="175">
        <f>VLOOKUP(C167,$C$133:$H$153,3,0)</f>
        <v/>
      </c>
      <c r="F167" s="353">
        <f>VLOOKUP(C167,$C$133:$J$153,7,0)</f>
        <v/>
      </c>
      <c r="G167" s="175">
        <f>VLOOKUP(C167,$C$133:$J$153,8,0)</f>
        <v/>
      </c>
      <c r="H167" s="516">
        <f>ROUNDUP(((F167*G167)+(F168*G168))/6400,0)</f>
        <v/>
      </c>
    </row>
    <row r="168" outlineLevel="1" customFormat="1" s="278" thickBot="1">
      <c r="A168" s="213">
        <f>IF(B168="","",+A167+1)</f>
        <v/>
      </c>
      <c r="B168" s="173">
        <f>B146</f>
        <v/>
      </c>
      <c r="C168" s="173">
        <f>C146</f>
        <v/>
      </c>
      <c r="D168" s="648" t="n"/>
      <c r="E168" s="175">
        <f>VLOOKUP(C168,$C$133:$H$153,3,0)</f>
        <v/>
      </c>
      <c r="F168" s="353">
        <f>VLOOKUP(C168,$C$133:$J$153,7,0)</f>
        <v/>
      </c>
      <c r="G168" s="175">
        <f>VLOOKUP(C168,$C$133:$J$153,8,0)</f>
        <v/>
      </c>
      <c r="H168" s="644" t="n"/>
      <c r="I168" s="501" t="n"/>
    </row>
    <row r="169" ht="24.9" customFormat="1" customHeight="1" s="278" thickBot="1">
      <c r="A169" s="642" t="inlineStr">
        <is>
          <t>PARTS LIST HARDWARE &amp; ACCESSORIES</t>
        </is>
      </c>
      <c r="B169" s="634" t="n"/>
      <c r="C169" s="634" t="n"/>
      <c r="D169" s="634" t="n"/>
      <c r="E169" s="634" t="n"/>
      <c r="F169" s="634" t="n"/>
      <c r="G169" s="634" t="n"/>
      <c r="H169" s="634" t="n"/>
      <c r="I169" s="634" t="n"/>
      <c r="J169" s="635" t="n"/>
    </row>
    <row r="170" ht="35.1" customFormat="1" customHeight="1" s="278" thickBot="1">
      <c r="A170" s="102" t="inlineStr">
        <is>
          <t>ITEM</t>
        </is>
      </c>
      <c r="B170" s="103" t="inlineStr">
        <is>
          <t>THAI</t>
        </is>
      </c>
      <c r="C170" s="103" t="inlineStr">
        <is>
          <t>DESCRIPTION</t>
        </is>
      </c>
      <c r="D170" s="103" t="inlineStr">
        <is>
          <t>PART NO.</t>
        </is>
      </c>
      <c r="E170" s="103" t="inlineStr">
        <is>
          <t>KG/m</t>
        </is>
      </c>
      <c r="F170" s="104" t="inlineStr">
        <is>
          <t>DRAWING</t>
        </is>
      </c>
      <c r="G170" s="103" t="inlineStr">
        <is>
          <t>PER</t>
        </is>
      </c>
      <c r="H170" s="104" t="inlineStr">
        <is>
          <t>QUANTITY</t>
        </is>
      </c>
      <c r="I170" s="104" t="inlineStr">
        <is>
          <t>Pack QTY</t>
        </is>
      </c>
      <c r="J170" s="115" t="inlineStr">
        <is>
          <t>TOTAL</t>
        </is>
      </c>
      <c r="N170" s="101" t="inlineStr">
        <is>
          <t>Glass size</t>
        </is>
      </c>
      <c r="O170" s="246" t="inlineStr">
        <is>
          <t>THAI</t>
        </is>
      </c>
      <c r="P170" s="246" t="inlineStr">
        <is>
          <t>DESCRIPTION</t>
        </is>
      </c>
      <c r="Q170" s="246" t="inlineStr">
        <is>
          <t>PART NO.</t>
        </is>
      </c>
      <c r="R170" s="246" t="inlineStr">
        <is>
          <t>KG/m</t>
        </is>
      </c>
      <c r="S170" s="246" t="inlineStr">
        <is>
          <t>DRAWING</t>
        </is>
      </c>
      <c r="T170" s="246" t="inlineStr">
        <is>
          <t>PER</t>
        </is>
      </c>
      <c r="U170" s="246" t="inlineStr">
        <is>
          <t>QUANTITY</t>
        </is>
      </c>
      <c r="V170" s="246" t="inlineStr">
        <is>
          <t>Pack QTY</t>
        </is>
      </c>
      <c r="W170" s="246" t="inlineStr">
        <is>
          <t>TOTAL</t>
        </is>
      </c>
    </row>
    <row r="171" ht="18" customFormat="1" customHeight="1" s="278">
      <c r="A171" s="200">
        <f>IF(B171="","",1)</f>
        <v/>
      </c>
      <c r="B171" s="140" t="inlineStr">
        <is>
          <t>หมอนรองกระจก</t>
        </is>
      </c>
      <c r="C171" s="140" t="inlineStr">
        <is>
          <t>SETTING BLOCK</t>
        </is>
      </c>
      <c r="D171" s="139" t="inlineStr">
        <is>
          <t>02-037</t>
        </is>
      </c>
      <c r="E171" s="143" t="n"/>
      <c r="F171" s="143" t="inlineStr">
        <is>
          <t>02-037</t>
        </is>
      </c>
      <c r="G171" s="143" t="inlineStr">
        <is>
          <t>PC</t>
        </is>
      </c>
      <c r="H171" s="143" t="n">
        <v>12</v>
      </c>
      <c r="I171" s="184" t="n"/>
      <c r="J171" s="131">
        <f>$J$120*H171</f>
        <v/>
      </c>
      <c r="N171" s="101" t="inlineStr">
        <is>
          <t>5,6,18</t>
        </is>
      </c>
      <c r="O171" s="280" t="inlineStr">
        <is>
          <t>5,6,18 mm ยางรองกระจก</t>
        </is>
      </c>
      <c r="P171" s="415" t="inlineStr">
        <is>
          <t>5,6,18 mm CAPTIVE WEDGE</t>
        </is>
      </c>
      <c r="Q171" s="280" t="inlineStr">
        <is>
          <t>02-022</t>
        </is>
      </c>
      <c r="R171" s="213" t="n"/>
      <c r="S171" s="213" t="inlineStr">
        <is>
          <t>02-022</t>
        </is>
      </c>
      <c r="T171" s="213" t="inlineStr">
        <is>
          <t>M</t>
        </is>
      </c>
      <c r="U171" s="650">
        <f>((($I$141*$G$141)+($I$142*$G$142)+($I$143*$G$143)+($I$144*$G$144))/1000)*$J$120</f>
        <v/>
      </c>
      <c r="V171" s="650" t="n">
        <v>100</v>
      </c>
      <c r="W171" s="651">
        <f>ROUNDUP((U171)/100,0)</f>
        <v/>
      </c>
    </row>
    <row r="172" ht="18" customFormat="1" customHeight="1" s="278">
      <c r="A172" s="201">
        <f>IF(B172="","",+A171+1)</f>
        <v/>
      </c>
      <c r="B172" s="140" t="inlineStr">
        <is>
          <t>ประเก็นเฟรมบน</t>
        </is>
      </c>
      <c r="C172" s="140" t="inlineStr">
        <is>
          <t>FRAME SEAL BI-FOLD HEAD (L/R)</t>
        </is>
      </c>
      <c r="D172" s="139" t="inlineStr">
        <is>
          <t>02-015</t>
        </is>
      </c>
      <c r="E172" s="143" t="n"/>
      <c r="F172" s="143" t="inlineStr">
        <is>
          <t>02-015</t>
        </is>
      </c>
      <c r="G172" s="143" t="inlineStr">
        <is>
          <t>PC</t>
        </is>
      </c>
      <c r="H172" s="143" t="n">
        <v>2</v>
      </c>
      <c r="I172" s="184" t="n"/>
      <c r="J172" s="131">
        <f>$J$120*H172</f>
        <v/>
      </c>
      <c r="N172" s="101" t="inlineStr">
        <is>
          <t>12,20</t>
        </is>
      </c>
      <c r="O172" s="280" t="inlineStr">
        <is>
          <t>12,20 mm ยางรองกระจก</t>
        </is>
      </c>
      <c r="P172" s="415" t="inlineStr">
        <is>
          <t>12,20 mm CAPTIVE WEDGE</t>
        </is>
      </c>
      <c r="Q172" s="280" t="inlineStr">
        <is>
          <t>02-032</t>
        </is>
      </c>
      <c r="R172" s="213" t="n"/>
      <c r="S172" s="213" t="inlineStr">
        <is>
          <t>02-032</t>
        </is>
      </c>
      <c r="T172" s="213" t="inlineStr">
        <is>
          <t>M</t>
        </is>
      </c>
      <c r="U172" s="650">
        <f>((($I$141*$G$141)+($I$142*$G$142)+($I$143*$G$143)+($I$144*$G$144))/1000)*$J$120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ประเก็นเฟรมล่าง</t>
        </is>
      </c>
      <c r="C173" s="140" t="inlineStr">
        <is>
          <t>FRAME SEAL BI-FOLD SILL (L/R)</t>
        </is>
      </c>
      <c r="D173" s="139" t="inlineStr">
        <is>
          <t>02-016</t>
        </is>
      </c>
      <c r="E173" s="143" t="n"/>
      <c r="F173" s="143" t="inlineStr">
        <is>
          <t>02-016</t>
        </is>
      </c>
      <c r="G173" s="143" t="inlineStr">
        <is>
          <t>PC</t>
        </is>
      </c>
      <c r="H173" s="143" t="n">
        <v>2</v>
      </c>
      <c r="I173" s="130" t="n"/>
      <c r="J173" s="131">
        <f>$J$120*H173</f>
        <v/>
      </c>
      <c r="N173" s="101" t="inlineStr">
        <is>
          <t>5,8,10,12,18</t>
        </is>
      </c>
      <c r="O173" s="415" t="inlineStr">
        <is>
          <t>5,8,10,12,18 mmยางอัดกระจก</t>
        </is>
      </c>
      <c r="P173" s="415" t="inlineStr">
        <is>
          <t>5,8,10,12,18 mm ROLL IN WEDGE</t>
        </is>
      </c>
      <c r="Q173" s="280" t="inlineStr">
        <is>
          <t>02-033</t>
        </is>
      </c>
      <c r="R173" s="213" t="n"/>
      <c r="S173" s="213" t="inlineStr">
        <is>
          <t>02-033</t>
        </is>
      </c>
      <c r="T173" s="213" t="inlineStr">
        <is>
          <t>M</t>
        </is>
      </c>
      <c r="U173" s="650">
        <f>((($I$141*$G$141)+($I$142*$G$142)+($I$143*$G$143)+($I$144*$G$144))/1000)*$J$120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สกรู × 38</t>
        </is>
      </c>
      <c r="C174" s="140" t="inlineStr">
        <is>
          <t>#8x38 mm. SS PH SELF TAPPING SCREW</t>
        </is>
      </c>
      <c r="D174" s="139" t="n">
        <v>9</v>
      </c>
      <c r="E174" s="143" t="n"/>
      <c r="F174" s="143" t="n">
        <v>9</v>
      </c>
      <c r="G174" s="143" t="inlineStr">
        <is>
          <t>PC</t>
        </is>
      </c>
      <c r="H174" s="143" t="n">
        <v>8</v>
      </c>
      <c r="I174" s="130" t="n"/>
      <c r="J174" s="131">
        <f>$J$120*H174</f>
        <v/>
      </c>
      <c r="N174" s="101" t="inlineStr">
        <is>
          <t>6,20</t>
        </is>
      </c>
      <c r="O174" s="415" t="inlineStr">
        <is>
          <t>6,20 mm ยางอัดกระจก</t>
        </is>
      </c>
      <c r="P174" s="415" t="inlineStr">
        <is>
          <t>6,20 mm ROLL IN WEDGE</t>
        </is>
      </c>
      <c r="Q174" s="280" t="inlineStr">
        <is>
          <t>02-034</t>
        </is>
      </c>
      <c r="R174" s="213" t="n"/>
      <c r="S174" s="213" t="inlineStr">
        <is>
          <t>02-034</t>
        </is>
      </c>
      <c r="T174" s="213" t="inlineStr">
        <is>
          <t>M</t>
        </is>
      </c>
      <c r="U174" s="650">
        <f>((($I$141*$G$141)+($I$142*$G$142)+($I$143*$G$143)+($I$144*$G$144))/1000)*$J$120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12</t>
        </is>
      </c>
      <c r="C175" s="140" t="inlineStr">
        <is>
          <t>#8x12 mm. CSK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110</v>
      </c>
      <c r="I175" s="130" t="n"/>
      <c r="J175" s="131">
        <f>$J$120*H175</f>
        <v/>
      </c>
      <c r="N175" s="101" t="inlineStr">
        <is>
          <t>8,14</t>
        </is>
      </c>
      <c r="O175" s="415" t="inlineStr">
        <is>
          <t>8,14 mm ยางอัดกระจก</t>
        </is>
      </c>
      <c r="P175" s="415" t="inlineStr">
        <is>
          <t>8,14 mm ROLL IN WEDGE</t>
        </is>
      </c>
      <c r="Q175" s="280" t="inlineStr">
        <is>
          <t>02-045</t>
        </is>
      </c>
      <c r="R175" s="213" t="n"/>
      <c r="S175" s="213" t="inlineStr">
        <is>
          <t>02-045</t>
        </is>
      </c>
      <c r="T175" s="213" t="inlineStr">
        <is>
          <t>M</t>
        </is>
      </c>
      <c r="U175" s="650">
        <f>((($I$141*$G$141)+($I$142*$G$142)+($I$143*$G$143)+($I$144*$G$144))/1000)*$J$120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ชุดบานพับระดับเดียวกัน</t>
        </is>
      </c>
      <c r="C176" s="140" t="inlineStr">
        <is>
          <t>Standard Hinge Handle Set</t>
        </is>
      </c>
      <c r="D176" s="139" t="inlineStr">
        <is>
          <t>05-004</t>
        </is>
      </c>
      <c r="E176" s="143" t="n"/>
      <c r="F176" s="143" t="inlineStr">
        <is>
          <t>05-004</t>
        </is>
      </c>
      <c r="G176" s="143" t="inlineStr">
        <is>
          <t>SET</t>
        </is>
      </c>
      <c r="H176" s="143" t="n">
        <v>1</v>
      </c>
      <c r="I176" s="130" t="n"/>
      <c r="J176" s="131">
        <f>$J$120*H176</f>
        <v/>
      </c>
    </row>
    <row r="177" ht="18" customFormat="1" customHeight="1" s="278">
      <c r="A177" s="201">
        <f>IF(B177="","",+A176+1)</f>
        <v/>
      </c>
      <c r="B177" s="140" t="inlineStr">
        <is>
          <t>ชุดบานพับต่างระดับมีมือจับ</t>
        </is>
      </c>
      <c r="C177" s="140" t="inlineStr">
        <is>
          <t>offset Hinge Handle Set</t>
        </is>
      </c>
      <c r="D177" s="139" t="inlineStr">
        <is>
          <t>05-005</t>
        </is>
      </c>
      <c r="E177" s="143" t="n"/>
      <c r="F177" s="143" t="inlineStr">
        <is>
          <t>05-005</t>
        </is>
      </c>
      <c r="G177" s="143" t="inlineStr">
        <is>
          <t>SET</t>
        </is>
      </c>
      <c r="H177" s="143" t="n">
        <v>2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ชุดล้อแขวนบานตายขวา</t>
        </is>
      </c>
      <c r="C178" s="140" t="inlineStr">
        <is>
          <t>Right Hand Pivot Set</t>
        </is>
      </c>
      <c r="D178" s="139" t="inlineStr">
        <is>
          <t>05-007</t>
        </is>
      </c>
      <c r="E178" s="143" t="n"/>
      <c r="F178" s="143" t="inlineStr">
        <is>
          <t>05-007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ชุดล้อแขวนบานเปิด</t>
        </is>
      </c>
      <c r="C179" s="140" t="inlineStr">
        <is>
          <t>Left Hand End Carrier Set</t>
        </is>
      </c>
      <c r="D179" s="139" t="inlineStr">
        <is>
          <t>05-008</t>
        </is>
      </c>
      <c r="E179" s="143" t="n"/>
      <c r="F179" s="143" t="inlineStr">
        <is>
          <t>05-008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ชุดล้อแขวนบานกลาง</t>
        </is>
      </c>
      <c r="C180" s="140" t="inlineStr">
        <is>
          <t>Intermediate Carrier Set</t>
        </is>
      </c>
      <c r="D180" s="139" t="inlineStr">
        <is>
          <t>05-011</t>
        </is>
      </c>
      <c r="E180" s="143" t="n"/>
      <c r="F180" s="143" t="inlineStr">
        <is>
          <t>05-011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  <c r="N180" s="278" t="n"/>
      <c r="O180" s="278" t="n"/>
      <c r="P180" s="278" t="n"/>
      <c r="Q180" s="442" t="n"/>
      <c r="R180" s="442" t="n"/>
      <c r="S180" s="442" t="n"/>
      <c r="T180" s="109" t="n"/>
      <c r="U180" s="109" t="n"/>
      <c r="V180" s="109" t="n"/>
      <c r="W180" s="278" t="n"/>
    </row>
    <row r="181" ht="18" customFormat="1" customHeight="1" s="278">
      <c r="A181" s="201">
        <f>IF(B181="","",+A180+1)</f>
        <v/>
      </c>
      <c r="B181" s="140" t="inlineStr">
        <is>
          <t>ชุดสลักล็อค</t>
        </is>
      </c>
      <c r="C181" s="140" t="inlineStr">
        <is>
          <t>Twin Bolt + Rods</t>
        </is>
      </c>
      <c r="D181" s="139" t="inlineStr">
        <is>
          <t>05-014</t>
        </is>
      </c>
      <c r="E181" s="143" t="n"/>
      <c r="F181" s="143" t="inlineStr">
        <is>
          <t>05-014</t>
        </is>
      </c>
      <c r="G181" s="143" t="inlineStr">
        <is>
          <t>SET</t>
        </is>
      </c>
      <c r="H181" s="143" t="n">
        <v>3</v>
      </c>
      <c r="I181" s="144" t="n"/>
      <c r="J181" s="131">
        <f>$J$120*H181</f>
        <v/>
      </c>
      <c r="N181" s="101" t="inlineStr">
        <is>
          <t>FRAME SEAL</t>
        </is>
      </c>
      <c r="O181" s="246" t="inlineStr">
        <is>
          <t>THAI</t>
        </is>
      </c>
      <c r="P181" s="246" t="inlineStr">
        <is>
          <t>DESCRIPTION</t>
        </is>
      </c>
      <c r="Q181" s="246" t="inlineStr">
        <is>
          <t>PART NO.</t>
        </is>
      </c>
      <c r="R181" s="246" t="inlineStr">
        <is>
          <t>KG/m</t>
        </is>
      </c>
      <c r="S181" s="246" t="inlineStr">
        <is>
          <t>DRAWING</t>
        </is>
      </c>
      <c r="T181" s="246" t="inlineStr">
        <is>
          <t>PER</t>
        </is>
      </c>
      <c r="U181" s="246" t="inlineStr">
        <is>
          <t>QUANTITY</t>
        </is>
      </c>
      <c r="V181" s="246" t="inlineStr">
        <is>
          <t>Pack QTY</t>
        </is>
      </c>
      <c r="W181" s="246" t="inlineStr">
        <is>
          <t>TOTAL</t>
        </is>
      </c>
    </row>
    <row r="182" ht="18" customFormat="1" customHeight="1" s="278">
      <c r="A182" s="201">
        <f>IF(B182="","",+A181+1)</f>
        <v/>
      </c>
      <c r="B182" s="140" t="inlineStr">
        <is>
          <t>ตัวประคองสลักล็อค</t>
        </is>
      </c>
      <c r="C182" s="140" t="inlineStr">
        <is>
          <t>Guide twin Bolt Rods</t>
        </is>
      </c>
      <c r="D182" s="139" t="inlineStr">
        <is>
          <t>04-009</t>
        </is>
      </c>
      <c r="E182" s="143" t="n"/>
      <c r="F182" s="143" t="inlineStr">
        <is>
          <t>04-009</t>
        </is>
      </c>
      <c r="G182" s="143" t="inlineStr">
        <is>
          <t>PC</t>
        </is>
      </c>
      <c r="H182" s="143" t="n">
        <v>6</v>
      </c>
      <c r="I182" s="144" t="n"/>
      <c r="J182" s="131">
        <f>$J$120*H182</f>
        <v/>
      </c>
      <c r="N182" s="101" t="inlineStr">
        <is>
          <t>ธรรมดา</t>
        </is>
      </c>
      <c r="O182" s="415" t="inlineStr">
        <is>
          <t>ยางเฟรมกันน้ำ (ธรรมดา)</t>
        </is>
      </c>
      <c r="P182" s="415" t="inlineStr">
        <is>
          <t>FRAME SEAL (Standard)</t>
        </is>
      </c>
      <c r="Q182" s="280" t="inlineStr">
        <is>
          <t>02-026</t>
        </is>
      </c>
      <c r="R182" s="213" t="n"/>
      <c r="S182" s="213" t="inlineStr">
        <is>
          <t>02-026</t>
        </is>
      </c>
      <c r="T182" s="213" t="inlineStr">
        <is>
          <t>M</t>
        </is>
      </c>
      <c r="U182" s="650">
        <f>((($I$134*$G$134)+($I$136*$G$136)+($I$139*$G$139))/1000)*$J$120</f>
        <v/>
      </c>
      <c r="V182" s="650" t="n">
        <v>300</v>
      </c>
      <c r="W182" s="651">
        <f>ROUNDUP((U182)/V182,0)</f>
        <v/>
      </c>
    </row>
    <row r="183" ht="18" customFormat="1" customHeight="1" s="278">
      <c r="A183" s="201">
        <f>IF(B183="","",+A182+1)</f>
        <v/>
      </c>
      <c r="B183" s="140" t="inlineStr">
        <is>
          <t>รางเสริมเปลี่ยนล้อ</t>
        </is>
      </c>
      <c r="C183" s="140" t="inlineStr">
        <is>
          <t>35 SERIES TRACK INSERT</t>
        </is>
      </c>
      <c r="D183" s="139" t="inlineStr">
        <is>
          <t>04-004</t>
        </is>
      </c>
      <c r="E183" s="143" t="n"/>
      <c r="F183" s="143" t="inlineStr">
        <is>
          <t>04-004</t>
        </is>
      </c>
      <c r="G183" s="143" t="inlineStr">
        <is>
          <t>PC</t>
        </is>
      </c>
      <c r="H183" s="143" t="n">
        <v>1</v>
      </c>
      <c r="I183" s="144" t="n"/>
      <c r="J183" s="131">
        <f>$J$120*H183</f>
        <v/>
      </c>
      <c r="N183" s="101" t="inlineStr">
        <is>
          <t>กันเสียง</t>
        </is>
      </c>
      <c r="O183" s="415" t="inlineStr">
        <is>
          <t>ยางเฟรมกันน้ำ (กันเสียง)</t>
        </is>
      </c>
      <c r="P183" s="415" t="inlineStr">
        <is>
          <t>FRAME SEAL (Soumdproof)</t>
        </is>
      </c>
      <c r="Q183" s="280" t="inlineStr">
        <is>
          <t>02-025</t>
        </is>
      </c>
      <c r="R183" s="213" t="n"/>
      <c r="S183" s="213" t="inlineStr">
        <is>
          <t>02-025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100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ตัวรับกลอน</t>
        </is>
      </c>
      <c r="C184" s="140" t="inlineStr">
        <is>
          <t xml:space="preserve">FLUSH BOLT RECEIVER </t>
        </is>
      </c>
      <c r="D184" s="139" t="inlineStr">
        <is>
          <t>04-016</t>
        </is>
      </c>
      <c r="E184" s="143" t="n"/>
      <c r="F184" s="143" t="inlineStr">
        <is>
          <t>04-016</t>
        </is>
      </c>
      <c r="G184" s="143" t="inlineStr">
        <is>
          <t>PC</t>
        </is>
      </c>
      <c r="H184" s="143" t="n">
        <v>3</v>
      </c>
      <c r="I184" s="130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ยางแซชกันน้ำ (ธรรมดา)</t>
        </is>
      </c>
      <c r="P184" s="415" t="inlineStr">
        <is>
          <t>SASH SEAL FOAM (Standard)</t>
        </is>
      </c>
      <c r="Q184" s="280" t="inlineStr">
        <is>
          <t>02-031</t>
        </is>
      </c>
      <c r="R184" s="213" t="n"/>
      <c r="S184" s="213" t="inlineStr">
        <is>
          <t>02-031</t>
        </is>
      </c>
      <c r="T184" s="213" t="inlineStr">
        <is>
          <t>M</t>
        </is>
      </c>
      <c r="U184" s="650">
        <f>((($I$141*$G$141*2)+($I$142*$G$142*2)+($I$143*$G$143*2)+($I$144*$G$144*2))/1000)*$J$120</f>
        <v/>
      </c>
      <c r="V184" s="650" t="n">
        <v>350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39">
        <f>IF($D$129="Standard",$O$182,IF($D$129="Soumdproof",$O$183,))</f>
        <v/>
      </c>
      <c r="C185" s="139">
        <f>IF($D$129="Standard",$P$182,IF($D$129="Soumdproof",$P$183,))</f>
        <v/>
      </c>
      <c r="D185" s="139">
        <f>IF($D$129="Standard",$Q$182,IF($D$129="Soumdproof",$Q$183,))</f>
        <v/>
      </c>
      <c r="E185" s="143">
        <f>IF($D$129="Standard",R183,IF($D$129="Soumdproof",R184,))</f>
        <v/>
      </c>
      <c r="F185" s="143">
        <f>IF($D$129="Standard",$S$182,IF($D$129="Soumdproof",$S$183,))</f>
        <v/>
      </c>
      <c r="G185" s="143">
        <f>IF($D$129="Standard",$T$182,IF($D$129="Soumdproof",$T$183,))</f>
        <v/>
      </c>
      <c r="H185" s="652">
        <f>IF($D$129="Standard",$U$182,IF($D$129="Soumdproof",$U$183,))</f>
        <v/>
      </c>
      <c r="I185" s="653">
        <f>IF($D$129="Standard",$V$182,IF($D$129="Soumdproof",$V$183,))</f>
        <v/>
      </c>
      <c r="J185" s="654">
        <f>ROUNDUP((H185)/100,0)</f>
        <v/>
      </c>
      <c r="N185" s="101" t="inlineStr">
        <is>
          <t>กันเสียง</t>
        </is>
      </c>
      <c r="O185" s="415" t="inlineStr">
        <is>
          <t>ยางแซชกันน้ำ (กันเสียง)</t>
        </is>
      </c>
      <c r="P185" s="415" t="inlineStr">
        <is>
          <t>SASH SEAL FOAM (Soumdproof)</t>
        </is>
      </c>
      <c r="Q185" s="280" t="inlineStr">
        <is>
          <t>02-035</t>
        </is>
      </c>
      <c r="R185" s="213" t="n"/>
      <c r="S185" s="213" t="inlineStr">
        <is>
          <t>02-035</t>
        </is>
      </c>
      <c r="T185" s="213" t="inlineStr">
        <is>
          <t>M</t>
        </is>
      </c>
      <c r="U185" s="650">
        <f>((($I$141*$G$141*2)+($I$142*$G$142*2)+($I$143*$G$143*2)+($I$144*$G$144*2))/1000)*$J$120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IF($D$129="Standard",$O$184,IF($D$129="Soumdproof",$O$185,))</f>
        <v/>
      </c>
      <c r="C186" s="139">
        <f>IF($D$129="Standard",$P$184,IF($D$129="Soumdproof",$P$185,))</f>
        <v/>
      </c>
      <c r="D186" s="139">
        <f>IF($D$129="Standard",$Q$184,IF($D$129="Soumdproof",$Q$185,))</f>
        <v/>
      </c>
      <c r="E186" s="143">
        <f>IF($D$129="Standard",R185,IF($D$129="Soumdproof",R186,))</f>
        <v/>
      </c>
      <c r="F186" s="143">
        <f>IF($D$129="Standard",$S$184,IF($D$129="Soumdproof",$S$185,))</f>
        <v/>
      </c>
      <c r="G186" s="143">
        <f>IF($D$129="Standard",$T$184,IF($D$129="Soumdproof",$T$185,))</f>
        <v/>
      </c>
      <c r="H186" s="652">
        <f>IF($D$129="Standard",$U$184,IF($D$129="Soumdproof",$U$185,))</f>
        <v/>
      </c>
      <c r="I186" s="653">
        <f>IF($D$129="Standard",$V$184,IF($D$129="Soumdproof",$V$185,))</f>
        <v/>
      </c>
      <c r="J186" s="654">
        <f>ROUNDUP((H186)/100,0)</f>
        <v/>
      </c>
    </row>
    <row r="187" ht="18" customFormat="1" customHeight="1" s="278">
      <c r="A187" s="201">
        <f>IF(B187="","",+A186+1)</f>
        <v/>
      </c>
      <c r="B187" s="296">
        <f>IF($D$127=5,$O$173,IF($D$127=6,$O$174,IF($D$127=8,$O$175,IF($D$127=10,$O$173,IF($D$127=12,$O$173,IF($D$127=14,$O$175,IF($D$127=18,$O$173,IF($D$127=20,$O$174,IF($D$127=22,"")))))))))</f>
        <v/>
      </c>
      <c r="C187" s="296">
        <f>IF($D$127=5,$P$173,IF($D$127=6,$P$174,IF($D$127=8,$P$175,IF($D$127=10,$P$173,IF($D$127=12,$P$173,IF($D$127=14,$P$175,IF($D$127=18,$P$173,IF($D$127=20,$P$174,IF($D$127=22,"")))))))))</f>
        <v/>
      </c>
      <c r="D187" s="296">
        <f>IF($D$127=5,$Q$173,IF($D$127=6,$Q$174,IF($D$127=8,$Q$175,IF($D$127=10,$Q$173,IF($D$127=12,$Q$173,IF($D$127=14,$Q$175,IF($D$127=18,$Q$173,IF($D$127=20,$Q$174,IF($D$127=22,"")))))))))</f>
        <v/>
      </c>
      <c r="E187" s="296">
        <f>IF($D$127=5,R174,IF($D$127=6,R175,IF($D$127=8,R176,IF($D$127=10,R174,IF($D$127=12,R174,IF($D$127=14,R176,IF($D$127=18,R174,IF($D$127=20,R175,IF($D$127=22,"",)))))))))</f>
        <v/>
      </c>
      <c r="F187" s="242">
        <f>IF($D$127=5,$S$173,IF($D$127=6,$S$174,IF($D$127=8,$S$175,IF($D$127=10,$S$173,IF($D$127=12,$S$173,IF($D$127=14,$S$175,IF($D$127=18,$S$173,IF($D$127=20,$S$174,IF($D$127=22,"")))))))))</f>
        <v/>
      </c>
      <c r="G187" s="242">
        <f>IF($D$127=5,$T$173,IF($D$127=6,$T$174,IF($D$127=8,$T$175,IF($D$127=10,$T$173,IF($D$127=12,$T$173,IF($D$127=14,$T$175,IF($D$127=18,$T$173,IF($D$127=20,$T$174,IF($D$127=22,"")))))))))</f>
        <v/>
      </c>
      <c r="H187" s="652">
        <f>IF($D$127=5,$U$173,IF($D$127=6,$U$174,IF($D$127=8,$U$175,IF($D$127=10,$U$173*2,IF($D$127=12,$U$173,IF($D$127=14,$U$175*2,IF($D$127=18,$U$173,IF($D$127=20,$U$174,IF($D$127=22,"")))))))))</f>
        <v/>
      </c>
      <c r="I187" s="653">
        <f>IF($D$127=5,$V$173,IF($D$127=6,$V$174,IF($D$127=8,$V$175,IF($D$127=10,$V$173,IF($D$127=12,$V$173,IF($D$127=14,$V$175,IF($D$127=18,$V$173,IF($D$127=20,$V$174,IF($D$127=22,"")))))))))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296">
        <f>IF($D$127=5,$O$171,IF($D$127=6,$O$171,IF($D$127=8,$O$173,IF($D$127=10,"",IF($D$127=12,$O$172,IF($D$127=14,"",IF($D$127=18,$O$171,IF($D$127=20,$O$172,IF($D$127=22,"",)))))))))</f>
        <v/>
      </c>
      <c r="C188" s="296">
        <f>IF($D$127=5,$P$171,IF($D$127=6,$P$171,IF($D$127=8,$P$173,IF($D$127=10,"",IF($D$127=12,$P$172,IF($D$127=14,"",IF($D$127=18,$P$171,IF($D$127=20,$P$172,IF($D$127=22,"",)))))))))</f>
        <v/>
      </c>
      <c r="D188" s="296">
        <f>IF($D$127=5,$Q$171,IF($D$127=6,$Q$171,IF($D$127=8,$Q$173,IF($D$127=10,"",IF($D$127=12,$Q$172,IF($D$127=14,"",IF($D$127=18,$Q$171,IF($D$127=20,$Q$172,IF($D$127=22,"",)))))))))</f>
        <v/>
      </c>
      <c r="E188" s="296">
        <f>IF($D$127=5,R172,IF($D$127=6,R172,IF($D$127=8,R174,IF($D$127=10,"",IF($D$127=12,R173,IF($D$127=14,"",IF($D$127=18,R172,IF($D$127=20,R173,IF($D$127=22,"",)))))))))</f>
        <v/>
      </c>
      <c r="F188" s="242">
        <f>IF($D$127=5,$S$171,IF($D$127=6,$S$171,IF($D$127=8,$S$173,IF($D$127=10,"",IF($D$127=12,$S$172,IF($D$127=14,"",IF($D$127=18,$S$171,IF($D$127=20,$S$172,IF($D$127=22,"",)))))))))</f>
        <v/>
      </c>
      <c r="G188" s="242">
        <f>IF($D$127=5,$T$171,IF($D$127=6,$T$171,IF($D$127=8,$T$173,IF($D$127=10,"",IF($D$127=12,$T$172,IF($D$127=14,"",IF($D$127=18,$T$171,IF($D$127=20,$T$172,IF($D$127=22,"",)))))))))</f>
        <v/>
      </c>
      <c r="H188" s="652">
        <f>IF($D$127=5,$U$171,IF($D$127=6,$U$171,IF($D$127=8,$U$173,IF($D$127=10,"",IF($D$127=12,$U$172,IF($D$127=14,"",IF($D$127=18,$U$171,IF($D$127=20,$U$172,IF($D$127=22,"")))))))))</f>
        <v/>
      </c>
      <c r="I188" s="653">
        <f>IF($D$127=5,$V$171,IF($D$127=6,$V$171,IF($D$127=8,$V$173,IF($D$127=10,"",IF($D$127=12,$V$172,IF($D$127=14,"",IF($D$127=18,$V$171,IF($D$127=20,$V$172,IF($D$127=22,"",)))))))))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140" t="n"/>
      <c r="C189" s="140" t="n"/>
      <c r="D189" s="139" t="n"/>
      <c r="E189" s="143" t="n"/>
      <c r="F189" s="143" t="n"/>
      <c r="G189" s="143" t="n"/>
      <c r="H189" s="143" t="n"/>
      <c r="I189" s="144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>
        <f>$J$120*H190</f>
        <v/>
      </c>
    </row>
    <row r="191" ht="18" customHeight="1" s="344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>
        <f>$J$120*H191</f>
        <v/>
      </c>
      <c r="N191" s="278" t="n"/>
      <c r="O191" s="278" t="n"/>
      <c r="P191" s="278" t="n"/>
      <c r="Q191" s="278" t="n"/>
      <c r="R191" s="278" t="n"/>
      <c r="S191" s="278" t="n"/>
      <c r="T191" s="278" t="n"/>
      <c r="U191" s="278" t="n"/>
      <c r="V191" s="278" t="n"/>
      <c r="W191" s="278" t="n"/>
      <c r="X191" s="278" t="n"/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LEFT($J$111,11)&amp;"-02"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- 182-(113.25 × 5))/6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((ความกว้างวงกบ - 182-(113.25 × 5))/6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- 182-(113.25 × 5))/6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((ความกว้างวงกบ - 182-(113.25 × 5))/6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$I$145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$J$145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$I$146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$J$146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n"/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LEFT($J$111,11)&amp;"-03"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 t="n"/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" customFormat="1" customHeight="1" s="278">
      <c r="A334" s="76" t="n"/>
      <c r="B334" s="532" t="n"/>
      <c r="C334" s="161" t="n"/>
      <c r="D334" s="161" t="n"/>
      <c r="E334" s="109" t="n"/>
      <c r="F334" s="507" t="n"/>
      <c r="G334" s="507" t="n"/>
      <c r="H334" s="507" t="n"/>
      <c r="I334" s="109" t="n"/>
      <c r="J334" s="109" t="n"/>
    </row>
    <row r="335" ht="15.9" customFormat="1" customHeight="1" s="278">
      <c r="A335" s="109" t="n"/>
      <c r="B335" s="63" t="n"/>
      <c r="C335" s="93" t="n"/>
      <c r="D335" s="161" t="n"/>
      <c r="E335" s="109" t="n"/>
      <c r="F335" s="507" t="n"/>
      <c r="H335" s="507" t="n"/>
      <c r="I335" s="109" t="n"/>
      <c r="J335" s="109" t="n"/>
    </row>
    <row r="336" ht="15.9" customFormat="1" customHeight="1" s="278">
      <c r="A336" s="72" t="n"/>
      <c r="B336" s="109" t="n"/>
      <c r="C336" s="161" t="n"/>
      <c r="D336" s="161" t="n"/>
      <c r="E336" s="109" t="n"/>
      <c r="F336" s="37" t="n"/>
      <c r="G336" s="278" t="n"/>
      <c r="H336" s="109" t="n"/>
      <c r="I336" s="109" t="n"/>
      <c r="J336" s="109" t="n"/>
    </row>
    <row r="337" ht="15.9" customFormat="1" customHeight="1" s="278">
      <c r="A337" s="44" t="n"/>
      <c r="C337" s="43" t="n"/>
      <c r="D337" s="161" t="n"/>
      <c r="E337" s="109" t="n"/>
      <c r="F337" s="109" t="n"/>
      <c r="G337" s="109" t="n"/>
      <c r="H337" s="109" t="n"/>
      <c r="I337" s="44" t="n"/>
      <c r="J337" s="119" t="n"/>
    </row>
    <row r="338" ht="15.9" customFormat="1" customHeight="1" s="278">
      <c r="A338" s="40" t="n"/>
      <c r="C338" s="44" t="n"/>
      <c r="D338" s="84" t="n"/>
      <c r="E338" s="44" t="n"/>
      <c r="F338" s="44" t="n"/>
      <c r="G338" s="44" t="n"/>
      <c r="H338" s="44" t="n"/>
      <c r="I338" s="32" t="n"/>
      <c r="J338" s="40" t="n"/>
    </row>
    <row r="339" ht="15.9" customFormat="1" customHeight="1" s="278">
      <c r="A339" s="109" t="n"/>
      <c r="C339" s="161" t="n"/>
      <c r="D339" s="85" t="n"/>
      <c r="E339" s="40" t="n"/>
      <c r="F339" s="32" t="n"/>
      <c r="G339" s="40" t="n"/>
      <c r="H339" s="32" t="n"/>
      <c r="I339" s="501" t="n"/>
      <c r="J339" s="501" t="n"/>
    </row>
    <row r="340" ht="15.9" customFormat="1" customHeight="1" s="278">
      <c r="A340" s="109" t="n"/>
      <c r="C340" s="163" t="n"/>
      <c r="D340" s="161" t="n"/>
      <c r="E340" s="109" t="n"/>
      <c r="F340" s="161" t="n"/>
      <c r="G340" s="109" t="n"/>
      <c r="H340" s="109" t="n"/>
      <c r="I340" s="501" t="n"/>
      <c r="J340" s="501" t="n"/>
    </row>
    <row r="341" ht="15.9" customFormat="1" customHeight="1" s="278">
      <c r="A341" s="109" t="n"/>
      <c r="B341" s="278" t="n"/>
      <c r="C341" s="161" t="n"/>
      <c r="D341" s="161" t="n"/>
      <c r="E341" s="109" t="n"/>
      <c r="F341" s="161" t="n"/>
      <c r="G341" s="109" t="n"/>
      <c r="H341" s="109" t="n"/>
      <c r="I341" s="162" t="n"/>
      <c r="J341" s="162" t="n"/>
    </row>
    <row r="342" ht="15.9" customFormat="1" customHeight="1" s="278">
      <c r="A342" s="109" t="n"/>
      <c r="B342" s="278" t="n"/>
      <c r="C342" s="44" t="n"/>
      <c r="D342" s="161" t="n"/>
      <c r="E342" s="109" t="n"/>
      <c r="F342" s="161" t="n"/>
      <c r="G342" s="109" t="n"/>
      <c r="H342" s="162" t="n"/>
      <c r="I342" s="161" t="n"/>
      <c r="J342" s="161" t="n"/>
    </row>
    <row r="343" ht="15.9" customFormat="1" customHeight="1" s="278">
      <c r="A343" s="109" t="n"/>
      <c r="B343" s="278" t="n"/>
      <c r="C343" s="93" t="n"/>
      <c r="D343" s="161" t="n"/>
      <c r="E343" s="109" t="n"/>
      <c r="F343" s="161" t="n"/>
      <c r="G343" s="109" t="n"/>
      <c r="H343" s="161" t="n"/>
      <c r="I343" s="161" t="n"/>
      <c r="J343" s="161" t="n"/>
    </row>
    <row r="344" ht="15.9" customFormat="1" customHeight="1" s="278">
      <c r="A344" s="109" t="n"/>
      <c r="B344" s="278" t="n"/>
      <c r="C344" s="163" t="n"/>
      <c r="D344" s="161" t="n"/>
      <c r="E344" s="109" t="n"/>
      <c r="F344" s="161" t="n"/>
      <c r="G344" s="109" t="n"/>
      <c r="H344" s="161" t="n"/>
      <c r="I344" s="109" t="n"/>
      <c r="J344" s="501" t="n"/>
    </row>
    <row r="345" ht="15.9" customFormat="1" customHeight="1" s="278">
      <c r="A345" s="109" t="n"/>
      <c r="B345" s="278" t="n"/>
      <c r="C345" s="161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278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44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163" t="n"/>
      <c r="D351" s="161" t="n"/>
      <c r="E351" s="109" t="n"/>
      <c r="F351" s="161" t="n"/>
      <c r="G351" s="109" t="n"/>
      <c r="H351" s="109" t="n"/>
      <c r="I351" s="109" t="n"/>
      <c r="J351" s="501" t="n"/>
    </row>
    <row r="352" ht="15.9" customFormat="1" customHeight="1" s="278">
      <c r="A352" s="109" t="n"/>
      <c r="B352" s="278" t="n"/>
      <c r="C352" s="161" t="n"/>
      <c r="D352" s="161" t="n"/>
      <c r="E352" s="109" t="n"/>
      <c r="F352" s="161" t="n"/>
      <c r="G352" s="109" t="n"/>
      <c r="H352" s="109" t="n"/>
      <c r="I352" s="501" t="n"/>
      <c r="J352" s="501" t="n"/>
    </row>
    <row r="353" ht="15.9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501" t="n"/>
      <c r="J353" s="501" t="n"/>
    </row>
    <row r="354" ht="15" customFormat="1" customHeight="1" s="278">
      <c r="A354" s="109" t="n"/>
      <c r="B354" s="278" t="n"/>
      <c r="C354" s="278" t="n"/>
      <c r="D354" s="161" t="n"/>
      <c r="E354" s="109" t="n"/>
      <c r="F354" s="109" t="n"/>
      <c r="G354" s="109" t="n"/>
      <c r="H354" s="107" t="n"/>
      <c r="I354" s="501" t="n"/>
      <c r="J354" s="501" t="n"/>
    </row>
    <row r="355" ht="15.9" customFormat="1" customHeight="1" s="23">
      <c r="A355" s="109" t="n"/>
      <c r="B355" s="278" t="n"/>
      <c r="C355" s="278" t="n"/>
      <c r="D355" s="161" t="n"/>
      <c r="E355" s="109" t="n"/>
      <c r="F355" s="109" t="n"/>
      <c r="G355" s="109" t="n"/>
      <c r="H355" s="109" t="n"/>
      <c r="I355" s="109" t="n"/>
      <c r="J355" s="109" t="n"/>
    </row>
    <row r="356" ht="15.9" customFormat="1" customHeight="1" s="278">
      <c r="A356" s="44" t="n"/>
      <c r="B356" s="278" t="n"/>
      <c r="C356" s="278" t="n"/>
      <c r="D356" s="161" t="n"/>
      <c r="E356" s="109" t="n"/>
      <c r="F356" s="109" t="n"/>
      <c r="G356" s="109" t="n"/>
      <c r="H356" s="109" t="n"/>
      <c r="I356" s="44" t="n"/>
      <c r="J356" s="119" t="n"/>
    </row>
    <row r="357" ht="15.9" customFormat="1" customHeight="1" s="278">
      <c r="A357" s="40" t="n"/>
      <c r="B357" s="44" t="n"/>
      <c r="C357" s="44" t="n"/>
      <c r="D357" s="84" t="n"/>
      <c r="E357" s="44" t="n"/>
      <c r="F357" s="44" t="n"/>
      <c r="G357" s="44" t="n"/>
      <c r="H357" s="44" t="n"/>
      <c r="I357" s="32" t="n"/>
      <c r="J357" s="40" t="n"/>
    </row>
    <row r="358" ht="15.9" customFormat="1" customHeight="1" s="278">
      <c r="A358" s="27" t="n"/>
      <c r="B358" s="40" t="n"/>
      <c r="C358" s="44" t="n"/>
      <c r="D358" s="85" t="n"/>
      <c r="E358" s="40" t="n"/>
      <c r="F358" s="32" t="n"/>
      <c r="G358" s="40" t="n"/>
      <c r="H358" s="32" t="n"/>
      <c r="I358" s="501" t="n"/>
      <c r="J358" s="501" t="n"/>
    </row>
    <row r="359" ht="15.9" customFormat="1" customHeight="1" s="278">
      <c r="A359" s="27" t="n"/>
      <c r="B359" s="278" t="n"/>
      <c r="C359" s="93" t="n"/>
      <c r="D359" s="161" t="n"/>
      <c r="E359" s="109" t="n"/>
      <c r="F359" s="109" t="n"/>
      <c r="G359" s="109" t="n"/>
      <c r="H359" s="93" t="n"/>
      <c r="I359" s="163" t="n"/>
      <c r="J359" s="163" t="n"/>
    </row>
    <row r="360" ht="15.9" customFormat="1" customHeight="1" s="278">
      <c r="A360" s="27" t="n"/>
      <c r="B360" s="278" t="n"/>
      <c r="C360" s="163" t="n"/>
      <c r="D360" s="161" t="n"/>
      <c r="E360" s="109" t="n"/>
      <c r="F360" s="109" t="n"/>
      <c r="G360" s="109" t="n"/>
      <c r="H360" s="163" t="n"/>
      <c r="I360" s="161" t="n"/>
      <c r="J360" s="161" t="n"/>
    </row>
    <row r="361" ht="15.9" customFormat="1" customHeight="1" s="278">
      <c r="A361" s="27" t="n"/>
      <c r="B361" s="278" t="n"/>
      <c r="C361" s="161" t="n"/>
      <c r="D361" s="161" t="n"/>
      <c r="E361" s="109" t="n"/>
      <c r="F361" s="109" t="n"/>
      <c r="G361" s="109" t="n"/>
      <c r="H361" s="161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78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87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161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D373" s="161" t="n"/>
      <c r="E373" s="109" t="n"/>
      <c r="F373" s="109" t="n"/>
      <c r="G373" s="278" t="n"/>
      <c r="H373" s="278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109" t="n"/>
      <c r="I376" s="501" t="n"/>
      <c r="J376" s="501" t="n"/>
    </row>
    <row r="377" ht="15.9" customFormat="1" customHeight="1" s="278">
      <c r="A377" s="27" t="n"/>
      <c r="B377" s="278" t="n"/>
      <c r="C377" s="278" t="n"/>
      <c r="D377" s="161" t="n"/>
      <c r="E377" s="109" t="n"/>
      <c r="F377" s="109" t="n"/>
      <c r="G377" s="109" t="n"/>
      <c r="H377" s="93" t="n"/>
      <c r="I377" s="163" t="n"/>
      <c r="J377" s="163" t="n"/>
    </row>
    <row r="378" ht="15.9" customFormat="1" customHeight="1" s="278">
      <c r="A378" s="27" t="n"/>
      <c r="B378" s="278" t="n"/>
      <c r="C378" s="63" t="n"/>
      <c r="D378" s="161" t="n"/>
      <c r="E378" s="109" t="n"/>
      <c r="F378" s="109" t="n"/>
      <c r="G378" s="109" t="n"/>
      <c r="H378" s="163" t="n"/>
      <c r="I378" s="161" t="n"/>
      <c r="J378" s="161" t="n"/>
    </row>
    <row r="379" ht="15.9" customFormat="1" customHeight="1" s="278">
      <c r="A379" s="27" t="n"/>
      <c r="B379" s="278" t="n"/>
      <c r="C379" s="287" t="n"/>
      <c r="D379" s="161" t="n"/>
      <c r="E379" s="109" t="n"/>
      <c r="F379" s="109" t="n"/>
      <c r="G379" s="109" t="n"/>
      <c r="H379" s="161" t="n"/>
      <c r="I379" s="501" t="n"/>
      <c r="J379" s="501" t="n"/>
    </row>
    <row r="380" ht="15.9" customFormat="1" customHeight="1" s="278">
      <c r="A380" s="27" t="n"/>
      <c r="B380" s="278" t="n"/>
      <c r="C380" s="161" t="n"/>
      <c r="D380" s="161" t="n"/>
      <c r="E380" s="109" t="n"/>
      <c r="F380" s="109" t="n"/>
      <c r="G380" s="109" t="n"/>
      <c r="H380" s="93" t="n"/>
      <c r="I380" s="163" t="n"/>
      <c r="J380" s="163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3" t="n"/>
      <c r="I381" s="161" t="n"/>
      <c r="J381" s="16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61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501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09" t="n"/>
      <c r="J388" s="501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09" t="n"/>
      <c r="I389" s="164" t="n"/>
      <c r="J389" s="164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164" t="n"/>
      <c r="I390" s="302" t="n"/>
      <c r="J390" s="302" t="n"/>
    </row>
    <row r="391" ht="15.9" customFormat="1" customHeight="1" s="278">
      <c r="A391" s="27" t="n"/>
      <c r="B391" s="278" t="n"/>
      <c r="C391" s="278" t="n"/>
      <c r="D391" s="161" t="n"/>
      <c r="E391" s="109" t="n"/>
      <c r="F391" s="109" t="n"/>
      <c r="G391" s="109" t="n"/>
      <c r="H391" s="302" t="n"/>
      <c r="I391" s="161" t="n"/>
      <c r="J391" s="161" t="n"/>
    </row>
    <row r="392" ht="15.9" customFormat="1" customHeight="1" s="278">
      <c r="A392" s="27" t="n"/>
      <c r="B392" s="278" t="n"/>
      <c r="C392" s="63" t="n"/>
      <c r="D392" s="161" t="n"/>
      <c r="E392" s="109" t="n"/>
      <c r="F392" s="109" t="n"/>
      <c r="G392" s="109" t="n"/>
      <c r="H392" s="161" t="n"/>
      <c r="I392" s="501" t="n"/>
      <c r="J392" s="501" t="n"/>
    </row>
    <row r="393" ht="15.9" customFormat="1" customHeight="1" s="278">
      <c r="A393" s="27" t="n"/>
      <c r="B393" s="278" t="n"/>
      <c r="C393" s="287" t="n"/>
      <c r="D393" s="161" t="n"/>
      <c r="E393" s="109" t="n"/>
      <c r="F393" s="109" t="n"/>
      <c r="G393" s="109" t="n"/>
      <c r="H393" s="109" t="n"/>
      <c r="I393" s="109" t="n"/>
      <c r="J393" s="501" t="n"/>
    </row>
    <row r="394" ht="15.9" customFormat="1" customHeight="1" s="278">
      <c r="A394" s="27" t="n"/>
      <c r="B394" s="278" t="n"/>
      <c r="C394" s="161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27" t="n"/>
      <c r="B396" s="278" t="n"/>
      <c r="C396" s="278" t="n"/>
      <c r="D396" s="161" t="n"/>
      <c r="E396" s="109" t="n"/>
      <c r="F396" s="109" t="n"/>
      <c r="G396" s="109" t="n"/>
      <c r="H396" s="109" t="n"/>
      <c r="I396" s="501" t="n"/>
      <c r="J396" s="501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3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44" t="n"/>
      <c r="B406" s="278" t="n"/>
      <c r="C406" s="278" t="n"/>
      <c r="D406" s="161" t="n"/>
      <c r="E406" s="109" t="n"/>
      <c r="F406" s="109" t="n"/>
      <c r="G406" s="109" t="n"/>
      <c r="H406" s="109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LEFT($J$111,11)&amp;"-04"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6" t="n"/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6" t="n"/>
      <c r="C441" s="93" t="n"/>
      <c r="D441" s="161" t="n"/>
      <c r="E441" s="109" t="n"/>
      <c r="F441" s="324" t="n"/>
      <c r="H441" s="44" t="n"/>
      <c r="I441" s="44" t="n"/>
      <c r="J441" s="119" t="n"/>
    </row>
    <row r="442" ht="15.9" customFormat="1" customHeight="1" s="278">
      <c r="A442" s="76" t="n"/>
      <c r="C442" s="93" t="n"/>
      <c r="D442" s="161" t="n"/>
      <c r="E442" s="109" t="n"/>
      <c r="F442" s="324" t="n"/>
      <c r="H442" s="44" t="n"/>
      <c r="I442" s="44" t="n"/>
      <c r="J442" s="119" t="n"/>
    </row>
    <row r="443" ht="15.9" customFormat="1" customHeight="1" s="278">
      <c r="A443" s="72" t="n"/>
      <c r="C443" s="161" t="n"/>
      <c r="D443" s="161" t="n"/>
      <c r="E443" s="109" t="n"/>
      <c r="F443" s="37" t="n"/>
      <c r="H443" s="44" t="n"/>
      <c r="I443" s="44" t="n"/>
      <c r="J443" s="119" t="n"/>
    </row>
    <row r="444" ht="15.9" customFormat="1" customHeight="1" s="278">
      <c r="A444" s="44" t="n"/>
      <c r="B444" s="278" t="n"/>
      <c r="C444" s="43" t="n"/>
      <c r="D444" s="161" t="n"/>
      <c r="E444" s="109" t="n"/>
      <c r="F444" s="109" t="n"/>
      <c r="H444" s="44" t="n"/>
      <c r="I444" s="44" t="n"/>
      <c r="J444" s="119" t="n"/>
    </row>
    <row r="445" ht="15.9" customFormat="1" customHeight="1" s="278">
      <c r="A445" s="40" t="n"/>
      <c r="C445" s="44" t="n"/>
      <c r="D445" s="84" t="n"/>
      <c r="E445" s="44" t="n"/>
      <c r="F445" s="44" t="n"/>
      <c r="H445" s="44" t="n"/>
      <c r="I445" s="44" t="n"/>
      <c r="J445" s="119" t="n"/>
    </row>
    <row r="446" ht="15.6" customHeight="1" s="344">
      <c r="B446" s="64" t="n"/>
      <c r="C446" s="163" t="n"/>
      <c r="D446" s="161" t="n"/>
      <c r="E446" s="109" t="n"/>
      <c r="F446" s="161" t="n"/>
      <c r="G446" s="109" t="n"/>
      <c r="H446" s="109" t="n"/>
    </row>
    <row r="451" ht="15.9" customFormat="1" customHeight="1" s="278">
      <c r="A451" s="109" t="n"/>
      <c r="D451" s="345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278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44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163" t="n"/>
      <c r="D457" s="161" t="n"/>
      <c r="E457" s="109" t="n"/>
      <c r="F457" s="161" t="n"/>
      <c r="G457" s="109" t="n"/>
      <c r="H457" s="109" t="n"/>
      <c r="I457" s="109" t="n"/>
      <c r="J457" s="501" t="n"/>
    </row>
    <row r="458" ht="15.9" customFormat="1" customHeight="1" s="278">
      <c r="A458" s="109" t="n"/>
      <c r="B458" s="278" t="n"/>
      <c r="C458" s="161" t="n"/>
      <c r="D458" s="161" t="n"/>
      <c r="E458" s="109" t="n"/>
      <c r="F458" s="161" t="n"/>
      <c r="G458" s="109" t="n"/>
      <c r="H458" s="109" t="n"/>
      <c r="I458" s="501" t="n"/>
      <c r="J458" s="501" t="n"/>
    </row>
    <row r="459" ht="15.9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7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" customFormat="1" customHeight="1" s="278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501" t="n"/>
      <c r="J477" s="501" t="n"/>
    </row>
    <row r="478" ht="15.9" customFormat="1" customHeight="1" s="23">
      <c r="A478" s="109" t="n"/>
      <c r="B478" s="278" t="n"/>
      <c r="C478" s="278" t="n"/>
      <c r="D478" s="161" t="n"/>
      <c r="E478" s="109" t="n"/>
      <c r="F478" s="109" t="n"/>
      <c r="G478" s="109" t="n"/>
      <c r="H478" s="109" t="n"/>
      <c r="I478" s="109" t="n"/>
      <c r="J478" s="109" t="n"/>
    </row>
    <row r="479" ht="15.9" customFormat="1" customHeight="1" s="278">
      <c r="A479" s="44" t="n"/>
      <c r="B479" s="278" t="n"/>
      <c r="C479" s="278" t="n"/>
      <c r="D479" s="161" t="n"/>
      <c r="E479" s="109" t="n"/>
      <c r="F479" s="109" t="n"/>
      <c r="G479" s="109" t="n"/>
      <c r="H479" s="109" t="n"/>
      <c r="I479" s="44" t="n"/>
      <c r="J479" s="119" t="n"/>
    </row>
    <row r="480" ht="15.9" customFormat="1" customHeight="1" s="278">
      <c r="A480" s="40" t="n"/>
      <c r="B480" s="44" t="n"/>
      <c r="C480" s="44" t="n"/>
      <c r="D480" s="84" t="n"/>
      <c r="E480" s="44" t="n"/>
      <c r="F480" s="44" t="n"/>
      <c r="G480" s="44" t="n"/>
      <c r="H480" s="44" t="n"/>
      <c r="I480" s="32" t="n"/>
      <c r="J480" s="40" t="n"/>
    </row>
    <row r="481" ht="15.9" customFormat="1" customHeight="1" s="278">
      <c r="A481" s="27" t="n"/>
      <c r="B481" s="40" t="n"/>
      <c r="C481" s="44" t="n"/>
      <c r="D481" s="85" t="n"/>
      <c r="E481" s="40" t="n"/>
      <c r="F481" s="32" t="n"/>
      <c r="G481" s="40" t="n"/>
      <c r="H481" s="32" t="n"/>
      <c r="I481" s="501" t="n"/>
      <c r="J481" s="501" t="n"/>
    </row>
    <row r="482" ht="15.9" customFormat="1" customHeight="1" s="278">
      <c r="A482" s="27" t="n"/>
      <c r="B482" s="278" t="n"/>
      <c r="C482" s="93" t="n"/>
      <c r="D482" s="161" t="n"/>
      <c r="E482" s="109" t="n"/>
      <c r="F482" s="109" t="n"/>
      <c r="G482" s="109" t="n"/>
      <c r="H482" s="93" t="n"/>
      <c r="I482" s="287" t="n"/>
      <c r="J482" s="302" t="n"/>
    </row>
    <row r="483" ht="15.9" customFormat="1" customHeight="1" s="278">
      <c r="A483" s="27" t="n"/>
      <c r="B483" s="278" t="n"/>
      <c r="C483" s="163" t="n"/>
      <c r="D483" s="161" t="n"/>
      <c r="E483" s="109" t="n"/>
      <c r="F483" s="109" t="n"/>
      <c r="G483" s="109" t="n"/>
      <c r="H483" s="287" t="n"/>
      <c r="I483" s="278" t="n"/>
      <c r="J483" s="109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278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87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161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D496" s="161" t="n"/>
      <c r="E496" s="109" t="n"/>
      <c r="F496" s="109" t="n"/>
      <c r="G496" s="278" t="n"/>
      <c r="H496" s="278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109" t="n"/>
      <c r="I499" s="501" t="n"/>
      <c r="J499" s="501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63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87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161" t="n"/>
      <c r="D503" s="161" t="n"/>
      <c r="E503" s="109" t="n"/>
      <c r="F503" s="109" t="n"/>
      <c r="G503" s="109" t="n"/>
      <c r="H503" s="93" t="n"/>
      <c r="I503" s="287" t="n"/>
      <c r="J503" s="302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87" t="n"/>
      <c r="I504" s="278" t="n"/>
      <c r="J504" s="109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((W-182-(113.25 × 5)/6)-13</t>
        </is>
      </c>
      <c r="I520" s="124">
        <f>(($J$126-182-(113.25*5))/6)-13</f>
        <v/>
      </c>
      <c r="J520" s="151">
        <f>$J$120*6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4">
    <mergeCell ref="I162:J165"/>
    <mergeCell ref="I158:J158"/>
    <mergeCell ref="D127:G127"/>
    <mergeCell ref="I168:J168"/>
    <mergeCell ref="A131:J131"/>
    <mergeCell ref="D121:G121"/>
    <mergeCell ref="H161:H162"/>
    <mergeCell ref="I154:J154"/>
    <mergeCell ref="H167:H168"/>
    <mergeCell ref="D129:G129"/>
    <mergeCell ref="F329:G329"/>
    <mergeCell ref="D123:G123"/>
    <mergeCell ref="I166:J167"/>
    <mergeCell ref="J123:J124"/>
    <mergeCell ref="A117:J117"/>
    <mergeCell ref="F335:G335"/>
    <mergeCell ref="H163:H166"/>
    <mergeCell ref="I156:J156"/>
    <mergeCell ref="A518:J518"/>
    <mergeCell ref="H159:H160"/>
    <mergeCell ref="H120:I121"/>
    <mergeCell ref="A319:J319"/>
    <mergeCell ref="F330:G330"/>
    <mergeCell ref="D119:G119"/>
    <mergeCell ref="D163:D166"/>
    <mergeCell ref="A169:J169"/>
    <mergeCell ref="H126:I127"/>
    <mergeCell ref="I161:J161"/>
    <mergeCell ref="I155:J155"/>
    <mergeCell ref="A6:J6"/>
    <mergeCell ref="D161:D162"/>
    <mergeCell ref="A212:J212"/>
    <mergeCell ref="D167:D168"/>
    <mergeCell ref="I157:J157"/>
    <mergeCell ref="J120:J121"/>
    <mergeCell ref="A426:J426"/>
    <mergeCell ref="H123:I124"/>
    <mergeCell ref="A125:B125"/>
    <mergeCell ref="J126:J127"/>
    <mergeCell ref="D159:D160"/>
    <mergeCell ref="F520:G520"/>
    <mergeCell ref="I159:J160"/>
    <mergeCell ref="D125:G125"/>
    <mergeCell ref="C309:E309"/>
  </mergeCells>
  <dataValidations count="4">
    <dataValidation sqref="D127:G127" showDropDown="0" showInputMessage="1" showErrorMessage="1" allowBlank="1" type="list">
      <formula1>$N$120:$N$128</formula1>
    </dataValidation>
    <dataValidation sqref="C205" showDropDown="0" showInputMessage="1" showErrorMessage="1" allowBlank="1" type="list">
      <formula1>$O$171:$O$189</formula1>
    </dataValidation>
    <dataValidation sqref="D123:G123" showDropDown="0" showInputMessage="1" showErrorMessage="1" allowBlank="1" type="list">
      <formula1>$P$119:$P$128</formula1>
    </dataValidation>
    <dataValidation sqref="D129:G129" showDropDown="0" showInputMessage="1" showErrorMessage="1" allowBlank="1" type="list">
      <formula1>$O$120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 codeName="Sheet22">
    <tabColor theme="5" tint="-0.249977111117893"/>
    <outlinePr summaryBelow="1" summaryRight="1"/>
    <pageSetUpPr/>
  </sheetPr>
  <dimension ref="A2:X528"/>
  <sheetViews>
    <sheetView showGridLines="0" view="pageBreakPreview" topLeftCell="A130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(1L6R)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FG-240-7P1L6R-01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2000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14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IFERROR(ROUNDUP(("")/100,0),"")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IFERROR(ROUNDUP(("")/100,0),"")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IFERROR(ROUNDUP(("")/100,0),"")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IFERROR(ROUNDUP(("")/100,0),"")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ชุดล้อแขวนบานเปิด</t>
        </is>
      </c>
      <c r="C183" s="140" t="inlineStr">
        <is>
          <t>Left Hand End Carrier Set</t>
        </is>
      </c>
      <c r="D183" s="139" t="inlineStr">
        <is>
          <t>05-008</t>
        </is>
      </c>
      <c r="E183" s="143" t="n"/>
      <c r="F183" s="143" t="inlineStr">
        <is>
          <t>05-008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((($I$141*$G$141*2)+($I$143*$G$143*2)+(($I$144*($G$144-1))*2))/1000)*$J$120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((($I$141*$G$141*2)+($I$143*$G$143*2)+(($I$144*($G$144-1))*2))/1000)*$J$120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3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52">
        <f>((($I$148*$G$148)+($I$149*$G$149))/1000)*$J$120</f>
        <v/>
      </c>
      <c r="I190" s="653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52">
        <f>((($I$144*$G$144)+($I$145*$G$145))/1000)*$J$120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IF($D$129="Standard",O185,IF($D$129="Soumdproof",O186,))</f>
        <v/>
      </c>
      <c r="C192" s="139">
        <f>IF($D$129="Standard",P185,IF($D$129="Soumdproof",P186,))</f>
        <v/>
      </c>
      <c r="D192" s="139">
        <f>IF($D$129="Standard",Q185,IF($D$129="Soumdproof",Q186,))</f>
        <v/>
      </c>
      <c r="E192" s="139">
        <f>IF($D$129="Standard",R185,IF($D$129="Soumdproof",R186,))</f>
        <v/>
      </c>
      <c r="F192" s="143">
        <f>IF($D$129="Standard",S185,IF($D$129="Soumdproof",S186,))</f>
        <v/>
      </c>
      <c r="G192" s="143">
        <f>IF($D$129="Standard",T185,IF($D$129="Soumdproof",T186,))</f>
        <v/>
      </c>
      <c r="H192" s="652">
        <f>IF($D$129="Standard",U185,IF($D$129="Soumdproof",U186,))</f>
        <v/>
      </c>
      <c r="I192" s="653">
        <f>IF($D$129="Standard",V185,IF($D$129="Soumdproof",V186,))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IF($D$129="Standard",O187,IF($D$129="Soumdproof",O188,))</f>
        <v/>
      </c>
      <c r="C193" s="139">
        <f>IF($D$129="Standard",P187,IF($D$129="Soumdproof",P188,))</f>
        <v/>
      </c>
      <c r="D193" s="139">
        <f>IF($D$129="Standard",Q187,IF($D$129="Soumdproof",Q188,))</f>
        <v/>
      </c>
      <c r="E193" s="139">
        <f>IF($D$129="Standard",R187,IF($D$129="Soumdproof",R188,))</f>
        <v/>
      </c>
      <c r="F193" s="143">
        <f>IF($D$129="Standard",S187,IF($D$129="Soumdproof",S188,))</f>
        <v/>
      </c>
      <c r="G193" s="143">
        <f>IF($D$129="Standard",T187,IF($D$129="Soumdproof",T188,))</f>
        <v/>
      </c>
      <c r="H193" s="652">
        <f>IF($D$129="Standard",U187,IF($D$129="Soumdproof",U188,))</f>
        <v/>
      </c>
      <c r="I193" s="653">
        <f>IF($D$129="Standard",V187,IF($D$129="Soumdproof",V188,))</f>
        <v/>
      </c>
      <c r="J193" s="654">
        <f>ROUNDUP((H193)/100,0)</f>
        <v/>
      </c>
    </row>
    <row r="194" ht="18" customHeight="1" s="344">
      <c r="A194" s="201">
        <f>IF(B194="","",+A193+1)</f>
        <v/>
      </c>
      <c r="B194" s="296">
        <f>IF($D$127=5,$O$176,IF($D$127=6,$O$177,IF($D$127=8,$O$178,IF($D$127=10,$O$176,IF($D$127=12,$O$176,IF($D$127=14,$O$178,IF($D$127=18,$O$176,IF($D$127=20,$O$177,IF($D$127=22,"")))))))))</f>
        <v/>
      </c>
      <c r="C194" s="296">
        <f>IF($D$127=5,$P$176,IF($D$127=6,$P$177,IF($D$127=8,$P$178,IF($D$127=10,$P$176,IF($D$127=12,$P$176,IF($D$127=14,$P$178,IF($D$127=18,$P$176,IF($D$127=20,$P$177,IF($D$127=22,"")))))))))</f>
        <v/>
      </c>
      <c r="D194" s="296">
        <f>IF($D$127=5,$Q$176,IF($D$127=6,$Q$177,IF($D$127=8,$Q$178,IF($D$127=10,$Q$176,IF($D$127=12,$Q$176,IF($D$127=14,$Q$178,IF($D$127=18,$Q$176,IF($D$127=20,$Q$177,IF($D$127=22,"")))))))))</f>
        <v/>
      </c>
      <c r="E194" s="296">
        <f>IF($D$129=5,R181,IF($D$129=6,R182,IF($D$129=8,R183,IF($D$129=10,R181,IF($D$129=12,R181,IF($D$129=14,R183,IF($D$129=18,R181,IF($D$129=20,R182,IF($D$129=22,"",)))))))))</f>
        <v/>
      </c>
      <c r="F194" s="242">
        <f>IF($D$127=5,$S$176,IF($D$127=6,$S$177,IF($D$127=8,$S$178,IF($D$127=10,$S$176,IF($D$127=12,$S$176,IF($D$127=14,$S$178,IF($D$127=18,$S$176,IF($D$127=20,$S$177,IF($D$127=22,"")))))))))</f>
        <v/>
      </c>
      <c r="G194" s="242">
        <f>IF($D$127=5,$T$176,IF($D$127=6,$T$177,IF($D$127=8,$T$178,IF($D$127=10,$T$176,IF($D$127=12,$T$176,IF($D$127=14,$T$178,IF($D$127=18,$T$176,IF($D$127=20,$T$177,IF($D$127=22,"")))))))))</f>
        <v/>
      </c>
      <c r="H194" s="652">
        <f>IF($D$127=5,$U$176,IF($D$127=6,$U$177,IF($D$127=8,$U$178,IF($D$127=10,$U$176*2,IF($D$127=12,$U$176,IF($D$127=14,$U$178*2,IF($D$127=18,$U$176,IF($D$127=20,$U$177,IF($D$127=22,"")))))))))</f>
        <v/>
      </c>
      <c r="I194" s="653">
        <f>IF($D$127=5,$V$176,IF($D$127=6,$V$177,IF($D$127=8,$V$178,IF($D$127=10,$V$176,IF($D$127=12,$V$176,IF($D$127=14,$V$178,IF($D$127=18,$V$176,IF($D$127=20,$V$177,IF($D$127=22,"")))))))))</f>
        <v/>
      </c>
      <c r="J194" s="655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296">
        <f>IF($D$127=5,$O$174,IF($D$127=6,$O$174,IF($D$127=8,$O$176,IF($D$127=10,"",IF($D$127=12,$O$175,IF($D$127=14,"",IF($D$127=18,$O$174,IF($D$127=20,$O$175,IF($D$127=22,"",)))))))))</f>
        <v/>
      </c>
      <c r="C195" s="296">
        <f>IF($D$127=5,$P$174,IF($D$127=6,$P$174,IF($D$127=8,$P$176,IF($D$127=10,"",IF($D$127=12,$P$175,IF($D$127=14,"",IF($D$127=18,$P$174,IF($D$127=20,$P$175,IF($D$127=22,"",)))))))))</f>
        <v/>
      </c>
      <c r="D195" s="296">
        <f>IF($D$127=5,$Q$174,IF($D$127=6,$Q$174,IF($D$127=8,$Q$176,IF($D$127=10,"",IF($D$127=12,$Q$175,IF($D$127=14,"",IF($D$127=18,$Q$174,IF($D$127=20,$Q$175,IF($D$127=22,"",)))))))))</f>
        <v/>
      </c>
      <c r="E195" s="296">
        <f>IF($D$129=5,R179,IF($D$129=6,R179,IF($D$129=8,R181,IF($D$129=10,"",IF($D$129=12,R180,IF($D$129=14,"",IF($D$129=18,R179,IF($D$129=20,R180,IF($D$129=22,"",)))))))))</f>
        <v/>
      </c>
      <c r="F195" s="242">
        <f>IF($D$127=5,$S$174,IF($D$127=6,$S$174,IF($D$127=8,$S$176,IF($D$127=10,"",IF($D$127=12,$S$175,IF($D$127=14,"",IF($D$127=18,$S$174,IF($D$127=20,$S$175,IF($D$127=22,"",)))))))))</f>
        <v/>
      </c>
      <c r="G195" s="242">
        <f>IF($D$127=5,$T$174,IF($D$127=6,$T$174,IF($D$127=8,$T$176,IF($D$127=10,"",IF($D$127=12,$T$175,IF($D$127=14,"",IF($D$127=18,$T$174,IF($D$127=20,$T$175,IF($D$127=22,"",)))))))))</f>
        <v/>
      </c>
      <c r="H195" s="652">
        <f>IF($D$127=5,$U$174,IF($D$127=6,$U$174,IF($D$127=8,$U$176,IF($D$127=10,"",IF($D$127=12,$U$175,IF($D$127=14,"",IF($D$127=18,$U$174,IF($D$127=20,$U$175,IF($D$127=22,"")))))))))</f>
        <v/>
      </c>
      <c r="I195" s="653">
        <f>IF($D$127=5,$V$174,IF($D$127=6,$V$174,IF($D$127=8,$V$176,IF($D$127=10,"",IF($D$127=12,$V$175,IF($D$127=14,"",IF($D$127=18,$V$174,IF($D$127=20,$V$175,IF($D$127=22,"",)))))))))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0" t="n"/>
      <c r="H252" s="109" t="n"/>
      <c r="I252" s="501" t="n"/>
      <c r="J252" s="501" t="n"/>
    </row>
    <row r="253" ht="15.9" customFormat="1" customHeight="1" s="278">
      <c r="A253" s="109" t="n"/>
      <c r="B253" s="278" t="n"/>
      <c r="D253" s="161" t="n"/>
      <c r="E253" s="109" t="n"/>
      <c r="F253" s="109" t="n"/>
      <c r="G253" s="109" t="n"/>
      <c r="H253" s="109" t="n"/>
      <c r="I253" s="501" t="n"/>
      <c r="J253" s="501" t="n"/>
    </row>
    <row r="254" ht="15.9" customFormat="1" customHeight="1" s="278">
      <c r="A254" s="44" t="n"/>
      <c r="B254" s="44" t="n"/>
      <c r="D254" s="84" t="n"/>
      <c r="E254" s="44" t="n"/>
      <c r="F254" s="44" t="n"/>
      <c r="G254" s="109" t="n"/>
      <c r="H254" s="109" t="n"/>
      <c r="I254" s="501" t="n"/>
      <c r="J254" s="501" t="n"/>
    </row>
    <row r="255" ht="15.9" customFormat="1" customHeight="1" s="278">
      <c r="A255" s="40" t="n"/>
      <c r="B255" s="40" t="n"/>
      <c r="C255" s="89" t="inlineStr">
        <is>
          <t xml:space="preserve">                   Door Stop Sill</t>
        </is>
      </c>
      <c r="D255" s="85" t="n"/>
      <c r="E255" s="40" t="n"/>
      <c r="F255" s="32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328" t="inlineStr">
        <is>
          <t xml:space="preserve">                          = Frame Width -60.00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542" t="inlineStr">
        <is>
          <t xml:space="preserve">                          ความกว้าง(วงกบ) - 60.00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6">
        <f>$I$136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7">
        <f>$J$136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87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161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89" t="inlineStr">
        <is>
          <t xml:space="preserve">                   JAMB</t>
        </is>
      </c>
      <c r="D265" s="161" t="n"/>
      <c r="E265" s="109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328" t="inlineStr">
        <is>
          <t xml:space="preserve">                          = FAME HIGHT</t>
        </is>
      </c>
      <c r="D266" s="328" t="n"/>
      <c r="E266" s="328" t="n"/>
      <c r="F266" s="109" t="n"/>
      <c r="G266" s="109" t="n"/>
      <c r="H266" s="109" t="n"/>
      <c r="I266" s="501" t="n"/>
      <c r="J266" s="501" t="n"/>
    </row>
    <row r="267" ht="15.9" customFormat="1" customHeight="1" s="278">
      <c r="A267" s="27" t="n"/>
      <c r="B267" s="278" t="n"/>
      <c r="C267" s="542" t="inlineStr">
        <is>
          <t xml:space="preserve">                          ความสูง (วงกบ)</t>
        </is>
      </c>
      <c r="D267" s="542" t="n"/>
      <c r="E267" s="542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C268" s="656">
        <f>$I$137</f>
        <v/>
      </c>
      <c r="D268" s="161" t="n"/>
      <c r="E268" s="109" t="n"/>
      <c r="F268" s="109" t="n"/>
      <c r="G268" s="278" t="n"/>
      <c r="H268" s="278" t="n"/>
      <c r="J268" s="109" t="n"/>
    </row>
    <row r="269" ht="15.9" customFormat="1" customHeight="1" s="278">
      <c r="A269" s="27" t="n"/>
      <c r="B269" s="278" t="n"/>
      <c r="C269" s="657">
        <f>$J$137+$J$138</f>
        <v/>
      </c>
      <c r="D269" s="161" t="n"/>
      <c r="E269" s="10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D273" s="328" t="n"/>
      <c r="E273" s="328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328" t="n"/>
      <c r="E274" s="328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278" t="n"/>
      <c r="D275" s="161" t="n"/>
      <c r="E275" s="109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89" t="inlineStr">
        <is>
          <t xml:space="preserve">                   Door Stop Jamb</t>
        </is>
      </c>
      <c r="D276" s="162" t="n"/>
      <c r="E276" s="501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328" t="inlineStr">
        <is>
          <t xml:space="preserve">                          = FAME HIGHT - 96</t>
        </is>
      </c>
      <c r="D277" s="328" t="n"/>
      <c r="E277" s="328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542" t="inlineStr">
        <is>
          <t xml:space="preserve">                          ความสูง (วงกบ) - 96</t>
        </is>
      </c>
      <c r="D278" s="542" t="n"/>
      <c r="E278" s="542" t="n"/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6">
        <f>$I$139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657">
        <f>$J$139+$J$140</f>
        <v/>
      </c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6))/7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6))/7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6))/7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$I$146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$J$146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$J$147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inlineStr">
        <is>
          <t xml:space="preserve">                   Sash Stop</t>
        </is>
      </c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inlineStr">
        <is>
          <t xml:space="preserve">                          = FAME HIGHT - 92.00</t>
        </is>
      </c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inlineStr">
        <is>
          <t xml:space="preserve">                          ความสูง (วงกบ) - 92.00</t>
        </is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$I$148</f>
        <v/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$J$148+$J$149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D123:G123"/>
    <mergeCell ref="A117:J117"/>
    <mergeCell ref="J123:J124"/>
    <mergeCell ref="I166:J167"/>
    <mergeCell ref="D170:D171"/>
    <mergeCell ref="I156:J156"/>
    <mergeCell ref="A518:J518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A6:J6"/>
    <mergeCell ref="I155:J155"/>
    <mergeCell ref="I161:J161"/>
    <mergeCell ref="D161:D162"/>
    <mergeCell ref="A427:J427"/>
    <mergeCell ref="D168:D169"/>
    <mergeCell ref="H170:H171"/>
    <mergeCell ref="A172:J172"/>
    <mergeCell ref="J120:J121"/>
    <mergeCell ref="I157:J157"/>
    <mergeCell ref="H123:I124"/>
    <mergeCell ref="A125:B125"/>
    <mergeCell ref="J126:J127"/>
    <mergeCell ref="D159:D160"/>
    <mergeCell ref="F520:G520"/>
    <mergeCell ref="I159:J160"/>
    <mergeCell ref="D125:G125"/>
    <mergeCell ref="C309:E309"/>
    <mergeCell ref="A213:J213"/>
    <mergeCell ref="D163:D167"/>
  </mergeCells>
  <dataValidations count="4">
    <dataValidation sqref="C206" showDropDown="0" showInputMessage="1" showErrorMessage="1" allowBlank="1" type="list">
      <formula1>$O$174:$O$192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 codeName="Sheet23">
    <tabColor theme="5" tint="-0.249977111117893"/>
    <outlinePr summaryBelow="1" summaryRight="1"/>
    <pageSetUpPr/>
  </sheetPr>
  <dimension ref="A2:X528"/>
  <sheetViews>
    <sheetView showGridLines="0" view="pageBreakPreview" topLeftCell="A114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1.66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(2L5R)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FG-240-7P2L5R-01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4450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389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14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2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ชุดบานพับระดับเดียวกัน</t>
        </is>
      </c>
      <c r="C184" s="140" t="inlineStr">
        <is>
          <t>Standard Hinge Handle Set</t>
        </is>
      </c>
      <c r="D184" s="139" t="inlineStr">
        <is>
          <t>05-004</t>
        </is>
      </c>
      <c r="E184" s="143" t="n"/>
      <c r="F184" s="143" t="inlineStr">
        <is>
          <t>05-004</t>
        </is>
      </c>
      <c r="G184" s="143" t="inlineStr">
        <is>
          <t>SET</t>
        </is>
      </c>
      <c r="H184" s="143" t="n">
        <v>2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ชุดบานพับต่างระดับมีมือจับ</t>
        </is>
      </c>
      <c r="C185" s="140" t="inlineStr">
        <is>
          <t>offset Hinge Handle Set</t>
        </is>
      </c>
      <c r="D185" s="139" t="inlineStr">
        <is>
          <t>05-005</t>
        </is>
      </c>
      <c r="E185" s="143" t="n"/>
      <c r="F185" s="143" t="inlineStr">
        <is>
          <t>05-005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ชุดล้อแขวนบานสุดท้าย</t>
        </is>
      </c>
      <c r="C186" s="140" t="inlineStr">
        <is>
          <t>Right Hand End Carriert Set</t>
        </is>
      </c>
      <c r="D186" s="139" t="inlineStr">
        <is>
          <t>05-009</t>
        </is>
      </c>
      <c r="E186" s="143" t="n"/>
      <c r="F186" s="143" t="inlineStr">
        <is>
          <t>05-009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ชุดมือจับล็อค</t>
        </is>
      </c>
      <c r="C187" s="140" t="inlineStr">
        <is>
          <t>Stainless steel mortise lock,handle,cylinder</t>
        </is>
      </c>
      <c r="D187" s="139" t="inlineStr">
        <is>
          <t>00-024 or 00-027</t>
        </is>
      </c>
      <c r="E187" s="143" t="n"/>
      <c r="F187" s="143" t="inlineStr">
        <is>
          <t>00-024 or 00-027</t>
        </is>
      </c>
      <c r="G187" s="143" t="inlineStr">
        <is>
          <t>SET</t>
        </is>
      </c>
      <c r="H187" s="143" t="n">
        <v>1</v>
      </c>
      <c r="I187" s="144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ตัวประคองสลักล็อค</t>
        </is>
      </c>
      <c r="C188" s="140" t="inlineStr">
        <is>
          <t>Guide twin Bolt Rods</t>
        </is>
      </c>
      <c r="D188" s="139" t="inlineStr">
        <is>
          <t>04-009</t>
        </is>
      </c>
      <c r="E188" s="143" t="n"/>
      <c r="F188" s="143" t="inlineStr">
        <is>
          <t>04-009</t>
        </is>
      </c>
      <c r="G188" s="143" t="inlineStr">
        <is>
          <t>PC</t>
        </is>
      </c>
      <c r="H188" s="143" t="n">
        <v>6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((($I$141*$G$141*2)+($I$143*$G$143*2)+($I$144*$G$144*2)+($I$145*$G$145))/1000)*$J$120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รางเสริมเปลี่ยนล้อ</t>
        </is>
      </c>
      <c r="C189" s="140" t="inlineStr">
        <is>
          <t>35 SERIES TRACK INSERT</t>
        </is>
      </c>
      <c r="D189" s="139" t="inlineStr">
        <is>
          <t>04-004</t>
        </is>
      </c>
      <c r="E189" s="143" t="n"/>
      <c r="F189" s="143" t="inlineStr">
        <is>
          <t>04-004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((($I$141*$G$141*2)+($I$143*$G$143*2)+($I$144*$G$144*2)+($I$145*$G$145))/1000)*$J$120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3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((($I$144*$G$144)+(I146*G146))/1000)*$J$120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IF($D$129="Standard",O186,IF($D$129="Soumdproof",O187,))</f>
        <v/>
      </c>
      <c r="C193" s="139">
        <f>IF($D$129="Standard",P186,IF($D$129="Soumdproof",P187,))</f>
        <v/>
      </c>
      <c r="D193" s="139">
        <f>IF($D$129="Standard",Q186,IF($D$129="Soumdproof",Q187,))</f>
        <v/>
      </c>
      <c r="E193" s="139">
        <f>IF($D$129="Standard",R186,IF($D$129="Soumdproof",R187,))</f>
        <v/>
      </c>
      <c r="F193" s="143">
        <f>IF($D$129="Standard",S186,IF($D$129="Soumdproof",S187,))</f>
        <v/>
      </c>
      <c r="G193" s="143">
        <f>IF($D$129="Standard",T186,IF($D$129="Soumdproof",T187,))</f>
        <v/>
      </c>
      <c r="H193" s="652">
        <f>IF($D$129="Standard",U186,IF($D$129="Soumdproof",U187,))</f>
        <v/>
      </c>
      <c r="I193" s="653">
        <f>IF($D$129="Standard",V186,IF($D$129="Soumdproof",V187,))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IF($D$129="Standard",O188,IF($D$129="Soumdproof",O189,))</f>
        <v/>
      </c>
      <c r="C194" s="139">
        <f>IF($D$129="Standard",P188,IF($D$129="Soumdproof",P189,))</f>
        <v/>
      </c>
      <c r="D194" s="139">
        <f>IF($D$129="Standard",Q188,IF($D$129="Soumdproof",Q189,))</f>
        <v/>
      </c>
      <c r="E194" s="139">
        <f>IF($D$129="Standard",R188,IF($D$129="Soumdproof",R189,))</f>
        <v/>
      </c>
      <c r="F194" s="143">
        <f>IF($D$129="Standard",S188,IF($D$129="Soumdproof",S189,))</f>
        <v/>
      </c>
      <c r="G194" s="143">
        <f>IF($D$129="Standard",T188,IF($D$129="Soumdproof",T189,))</f>
        <v/>
      </c>
      <c r="H194" s="652">
        <f>IF($D$129="Standard",U188,IF($D$129="Soumdproof",U189,))</f>
        <v/>
      </c>
      <c r="I194" s="653">
        <f>IF($D$129="Standard",V188,IF($D$129="Soumdproof",V189,))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IF($D$127=5,$O$177,IF($D$127=6,$O$178,IF($D$127=8,$O$179,IF($D$127=10,$O$177,IF($D$127=12,$O$177,IF($D$127=14,$O$179,IF($D$127=18,$O$177,IF($D$127=20,$O$178,IF($D$127=22,"")))))))))</f>
        <v/>
      </c>
      <c r="C195" s="296">
        <f>IF($D$127=5,$P$177,IF($D$127=6,$P$178,IF($D$127=8,$P$179,IF($D$127=10,$P$177,IF($D$127=12,$P$177,IF($D$127=14,$P$179,IF($D$127=18,$P$177,IF($D$127=20,$P$178,IF($D$127=22,"")))))))))</f>
        <v/>
      </c>
      <c r="D195" s="296">
        <f>IF($D$127=5,$Q$177,IF($D$127=6,$Q$178,IF($D$127=8,$Q$179,IF($D$127=10,$Q$177,IF($D$127=12,$Q$177,IF($D$127=14,$Q$179,IF($D$127=18,$Q$177,IF($D$127=20,$Q$178,IF($D$127=22,"")))))))))</f>
        <v/>
      </c>
      <c r="E195" s="296">
        <f>IF($D$129=5,R181,IF($D$129=6,R182,IF($D$129=8,R183,IF($D$129=10,R181,IF($D$129=12,R181,IF($D$129=14,R183,IF($D$129=18,R181,IF($D$129=20,R182,IF($D$129=22,"",)))))))))</f>
        <v/>
      </c>
      <c r="F195" s="242">
        <f>IF($D$127=5,$S$177,IF($D$127=6,$S$178,IF($D$127=8,$S$179,IF($D$127=10,$S$177,IF($D$127=12,$S$177,IF($D$127=14,$S$179,IF($D$127=18,$S$177,IF($D$127=20,$S$178,IF($D$127=22,"")))))))))</f>
        <v/>
      </c>
      <c r="G195" s="242">
        <f>IF($D$127=5,$T$177,IF($D$127=6,$T$178,IF($D$127=8,$T$179,IF($D$127=10,$T$177,IF($D$127=12,$T$177,IF($D$127=14,$T$179,IF($D$127=18,$T$177,IF($D$127=20,$T$178,IF($D$127=22,"")))))))))</f>
        <v/>
      </c>
      <c r="H195" s="652">
        <f>IF($D$127=5,$U$177,IF($D$127=6,$U$178,IF($D$127=8,$U$179,IF($D$127=10,$U$177*2,IF($D$127=12,$U$177,IF($D$127=14,$U$179*2,IF($D$127=18,$U$177,IF($D$127=20,$U$178,IF($D$127=22,"")))))))))</f>
        <v/>
      </c>
      <c r="I195" s="653">
        <f>IF($D$127=5,$V$177,IF($D$127=6,$V$178,IF($D$127=8,$V$179,IF($D$127=10,$V$177,IF($D$127=12,$V$177,IF($D$127=14,$V$179,IF($D$127=18,$V$177,IF($D$127=20,$V$178,IF($D$127=22,"")))))))))</f>
        <v/>
      </c>
      <c r="J195" s="655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296">
        <f>IF($D$127=5,$O$175,IF($D$127=6,$O$175,IF($D$127=8,$O$177,IF($D$127=10,"",IF($D$127=12,$O$176,IF($D$127=14,"",IF($D$127=18,$O$175,IF($D$127=20,$O$176,IF($D$127=22,"",)))))))))</f>
        <v/>
      </c>
      <c r="C196" s="296">
        <f>IF($D$127=5,$P$175,IF($D$127=6,$P$175,IF($D$127=8,$P$177,IF($D$127=10,"",IF($D$127=12,$P$176,IF($D$127=14,"",IF($D$127=18,$P$175,IF($D$127=20,$P$176,IF($D$127=22,"",)))))))))</f>
        <v/>
      </c>
      <c r="D196" s="296">
        <f>IF($D$127=5,$Q$175,IF($D$127=6,$Q$175,IF($D$127=8,$Q$177,IF($D$127=10,"",IF($D$127=12,$Q$176,IF($D$127=14,"",IF($D$127=18,$Q$175,IF($D$127=20,$Q$176,IF($D$127=22,"",)))))))))</f>
        <v/>
      </c>
      <c r="E196" s="296">
        <f>IF($D$129=5,R179,IF($D$129=6,R179,IF($D$129=8,R181,IF($D$129=10,"",IF($D$129=12,R180,IF($D$129=14,"",IF($D$129=18,R179,IF($D$129=20,R180,IF($D$129=22,"",)))))))))</f>
        <v/>
      </c>
      <c r="F196" s="242">
        <f>IF($D$127=5,$S$175,IF($D$127=6,$S$175,IF($D$127=8,$S$177,IF($D$127=10,"",IF($D$127=12,$S$176,IF($D$127=14,"",IF($D$127=18,$S$175,IF($D$127=20,$S$176,IF($D$127=22,"",)))))))))</f>
        <v/>
      </c>
      <c r="G196" s="242">
        <f>IF($D$127=5,$T$175,IF($D$127=6,$T$175,IF($D$127=8,$T$177,IF($D$127=10,"",IF($D$127=12,$T$176,IF($D$127=14,"",IF($D$127=18,$T$175,IF($D$127=20,$T$176,IF($D$127=22,"",)))))))))</f>
        <v/>
      </c>
      <c r="H196" s="652">
        <f>IF($D$127=5,$U$175,IF($D$127=6,$U$175,IF($D$127=8,$U$177,IF($D$127=10,"",IF($D$127=12,$U$176,IF($D$127=14,"",IF($D$127=18,$U$175,IF($D$127=20,$U$176,IF($D$127=22,"")))))))))</f>
        <v/>
      </c>
      <c r="I196" s="653">
        <f>IF($D$127=5,$V$175,IF($D$127=6,$V$175,IF($D$127=8,$V$177,IF($D$127=10,"",IF($D$127=12,$V$176,IF($D$127=14,"",IF($D$127=18,$V$175,IF($D$127=20,$V$176,IF($D$127=22,"",)))))))))</f>
        <v/>
      </c>
      <c r="J196" s="655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6))/7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6))/7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278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23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89" t="inlineStr">
        <is>
          <t xml:space="preserve">                   Glazing Bead</t>
        </is>
      </c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94" t="inlineStr">
        <is>
          <t xml:space="preserve">                          = ((Frame Width - 185-(113.25 × 6))/7</t>
        </is>
      </c>
      <c r="D296" s="161" t="n"/>
      <c r="E296" s="109" t="n"/>
      <c r="F296" s="109" t="n"/>
      <c r="G296" s="44" t="n"/>
      <c r="H296" s="44" t="n"/>
      <c r="I296" s="109" t="n"/>
      <c r="J296" s="501" t="n"/>
    </row>
    <row r="297" ht="15.9" customFormat="1" customHeight="1" s="278">
      <c r="A297" s="27" t="n"/>
      <c r="B297" s="278" t="n"/>
      <c r="C297" s="542" t="inlineStr">
        <is>
          <t xml:space="preserve">                         ((ความกว้าง (วงกบ) - 185-(113.25 × 6))/7</t>
        </is>
      </c>
      <c r="D297" s="328" t="n"/>
      <c r="E297" s="328" t="n"/>
      <c r="F297" s="109" t="n"/>
      <c r="G297" s="40" t="n"/>
      <c r="H297" s="32" t="n"/>
      <c r="I297" s="109" t="n"/>
      <c r="J297" s="501" t="n"/>
    </row>
    <row r="298" ht="15.9" customFormat="1" customHeight="1" s="278">
      <c r="A298" s="101" t="n"/>
      <c r="B298" s="278" t="n"/>
      <c r="C298" s="328" t="inlineStr">
        <is>
          <t xml:space="preserve">                          = FAME HIGHT - 242.00</t>
        </is>
      </c>
      <c r="D298" s="542" t="n"/>
      <c r="E298" s="542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44" t="n"/>
      <c r="B299" s="44" t="n"/>
      <c r="C299" s="542" t="inlineStr">
        <is>
          <t xml:space="preserve">                          ความสูง (วงกบ) - 242.00</t>
        </is>
      </c>
      <c r="D299" s="86" t="n"/>
      <c r="E299" s="79" t="n"/>
      <c r="F299" s="44" t="n"/>
      <c r="G299" s="109" t="n"/>
      <c r="H299" s="109" t="n"/>
      <c r="I299" s="109" t="n"/>
      <c r="J299" s="501" t="n"/>
    </row>
    <row r="300" ht="15.9" customFormat="1" customHeight="1" s="278">
      <c r="A300" s="40" t="n"/>
      <c r="B300" s="40" t="n"/>
      <c r="C300" s="656">
        <f>$I$147</f>
        <v/>
      </c>
      <c r="D300" s="87" t="n"/>
      <c r="E300" s="80" t="n"/>
      <c r="F300" s="32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6">
        <f>$I$148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278" t="n"/>
      <c r="C515" s="278" t="n"/>
      <c r="D515" s="161" t="n"/>
      <c r="E515" s="109" t="n"/>
      <c r="F515" s="109" t="n"/>
      <c r="G515" s="109" t="n"/>
      <c r="H515" s="287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+ROW()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+ROW()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+ROW()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+ROW()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+ROW()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+ROW()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+ROW()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+ROW()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M528" s="278">
        <f>+ROW()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  <c r="P528" s="278" t="n"/>
      <c r="Q528" s="278" t="n"/>
      <c r="R528" s="278" t="n"/>
      <c r="S528" s="278" t="n"/>
      <c r="T528" s="278" t="n"/>
      <c r="U528" s="278" t="n"/>
      <c r="V528" s="278" t="n"/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I156:J156"/>
    <mergeCell ref="A173:J173"/>
    <mergeCell ref="A518:J518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26:I127"/>
    <mergeCell ref="H163:H168"/>
    <mergeCell ref="C308:E308"/>
    <mergeCell ref="D171:D172"/>
    <mergeCell ref="A6:J6"/>
    <mergeCell ref="I155:J155"/>
    <mergeCell ref="I161:J161"/>
    <mergeCell ref="D161:D162"/>
    <mergeCell ref="A427:J427"/>
    <mergeCell ref="J120:J121"/>
    <mergeCell ref="I157:J157"/>
    <mergeCell ref="A125:B125"/>
    <mergeCell ref="J126:J127"/>
    <mergeCell ref="D159:D160"/>
    <mergeCell ref="D169:D170"/>
    <mergeCell ref="F520:G520"/>
    <mergeCell ref="I159:J16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$O$175:$O$193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 codeName="Sheet24">
    <tabColor theme="5" tint="-0.249977111117893"/>
    <outlinePr summaryBelow="1" summaryRight="1"/>
    <pageSetUpPr/>
  </sheetPr>
  <dimension ref="A2:W528"/>
  <sheetViews>
    <sheetView showGridLines="0" view="pageBreakPreview" topLeftCell="A112" zoomScale="75" zoomScaleNormal="75" zoomScaleSheetLayoutView="75" workbookViewId="0">
      <selection activeCell="D127" sqref="D127:G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5546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(3L4R)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FG-240-7P3L4R-01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78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2900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IF(B153="","",+A151+1)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14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3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2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ชุดล้อแขวนบานเปิด</t>
        </is>
      </c>
      <c r="C184" s="140" t="inlineStr">
        <is>
          <t>Left Hand End Carrier Set</t>
        </is>
      </c>
      <c r="D184" s="139" t="inlineStr">
        <is>
          <t>05-008</t>
        </is>
      </c>
      <c r="E184" s="143" t="n"/>
      <c r="F184" s="143" t="inlineStr">
        <is>
          <t>05-008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((($I$141*$G$141*2)+($I$143*$G$143*2)+($I$145*$G$145*2))/1000)*$J$120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2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((($I$141*$G$141*2)+($I$143*$G$143*2)+($I$145*$G$145*2))/1000)*$J$120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52">
        <f>((($I$149*$G$149)+($I$150*$G$150))/1000)*$J$120</f>
        <v/>
      </c>
      <c r="I190" s="653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52">
        <f>((($I$144*$G$144)+(I146*G146))/1000)*$J$120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IF($D$129="Standard",R190,IF($D$129="Soumdproof",R191,))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IF($D$129="Standard",$O$188,IF($D$129="Soumdproof",$O$189,))</f>
        <v/>
      </c>
      <c r="C193" s="139">
        <f>IF($D$129="Standard",$P$188,IF($D$129="Soumdproof",$P$189,))</f>
        <v/>
      </c>
      <c r="D193" s="139">
        <f>IF($D$129="Standard",$Q$188,IF($D$129="Soumdproof",$Q$189,))</f>
        <v/>
      </c>
      <c r="E193" s="143">
        <f>IF($D$129="Standard",R192,IF($D$129="Soumdproof",R193,))</f>
        <v/>
      </c>
      <c r="F193" s="143">
        <f>IF($D$129="Standard",$S$188,IF($D$129="Soumdproof",$S$189,))</f>
        <v/>
      </c>
      <c r="G193" s="143">
        <f>IF($D$129="Standard",$T$188,IF($D$129="Soumdproof",$T$189,))</f>
        <v/>
      </c>
      <c r="H193" s="652">
        <f>IF($D$129="Standard",$U$188,IF($D$129="Soumdproof",$U$189,))</f>
        <v/>
      </c>
      <c r="I193" s="653">
        <f>IF($D$129="Standard",$V$188,IF($D$129="Soumdproof",$V$189,))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296">
        <f>IF($D$127=5,$O$177,IF($D$127=6,$O$178,IF($D$127=8,$O$179,IF($D$127=10,$O$177,IF($D$127=12,$O$177,IF($D$127=14,$O$179,IF($D$127=18,$O$177,IF($D$127=20,$O$178,IF($D$127=22,"")))))))))</f>
        <v/>
      </c>
      <c r="C194" s="296">
        <f>IF($D$127=5,$P$177,IF($D$127=6,$P$178,IF($D$127=8,$P$179,IF($D$127=10,$P$177,IF($D$127=12,$P$177,IF($D$127=14,$P$179,IF($D$127=18,$P$177,IF($D$127=20,$P$178,IF($D$127=22,"")))))))))</f>
        <v/>
      </c>
      <c r="D194" s="296">
        <f>IF($D$127=5,$Q$177,IF($D$127=6,$Q$178,IF($D$127=8,$Q$179,IF($D$127=10,$Q$177,IF($D$127=12,$Q$177,IF($D$127=14,$Q$179,IF($D$127=18,$Q$177,IF($D$127=20,$Q$178,IF($D$127=22,"")))))))))</f>
        <v/>
      </c>
      <c r="E194" s="296">
        <f>IF($D$127=5,R181,IF($D$127=6,R182,IF($D$127=8,R183,IF($D$127=10,R181,IF($D$127=12,R181,IF($D$127=14,R183,IF($D$127=18,R181,IF($D$127=20,R182,IF($D$127=22,"",)))))))))</f>
        <v/>
      </c>
      <c r="F194" s="242">
        <f>IF($D$127=5,$S$177,IF($D$127=6,$S$178,IF($D$127=8,$S$179,IF($D$127=10,$S$177,IF($D$127=12,$S$177,IF($D$127=14,$S$179,IF($D$127=18,$S$177,IF($D$127=20,$S$178,IF($D$127=22,"")))))))))</f>
        <v/>
      </c>
      <c r="G194" s="242">
        <f>IF($D$127=5,$T$177,IF($D$127=6,$T$178,IF($D$127=8,$T$179,IF($D$127=10,$T$177,IF($D$127=12,$T$177,IF($D$127=14,$T$179,IF($D$127=18,$T$177,IF($D$127=20,$T$178,IF($D$127=22,"")))))))))</f>
        <v/>
      </c>
      <c r="H194" s="652">
        <f>IF($D$127=5,$U$177,IF($D$127=6,$U$178,IF($D$127=8,$U$179,IF($D$127=10,$U$177*2,IF($D$127=12,$U$177,IF($D$127=14,$U$179*2,IF($D$127=18,$U$177,IF($D$127=20,$U$178,IF($D$127=22,"")))))))))</f>
        <v/>
      </c>
      <c r="I194" s="653">
        <f>IF($D$127=5,$V$177,IF($D$127=6,$V$178,IF($D$127=8,$V$179,IF($D$127=10,$V$177,IF($D$127=12,$V$177,IF($D$127=14,$V$179,IF($D$127=18,$V$177,IF($D$127=20,$V$178,IF($D$127=22,"")))))))))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IF($D$127=5,$O$175,IF($D$127=6,$O$175,IF($D$127=8,$O$177,IF($D$127=10,"",IF($D$127=12,$O$176,IF($D$127=14,"",IF($D$127=18,$O$175,IF($D$127=20,$O$176,IF($D$127=22,"",)))))))))</f>
        <v/>
      </c>
      <c r="C195" s="296">
        <f>IF($D$127=5,$P$175,IF($D$127=6,$P$175,IF($D$127=8,$P$177,IF($D$127=10,"",IF($D$127=12,$P$176,IF($D$127=14,"",IF($D$127=18,$P$175,IF($D$127=20,$P$176,IF($D$127=22,"",)))))))))</f>
        <v/>
      </c>
      <c r="D195" s="296">
        <f>IF($D$127=5,$Q$175,IF($D$127=6,$Q$175,IF($D$127=8,$Q$177,IF($D$127=10,"",IF($D$127=12,$Q$176,IF($D$127=14,"",IF($D$127=18,$Q$175,IF($D$127=20,$Q$176,IF($D$127=22,"",)))))))))</f>
        <v/>
      </c>
      <c r="E195" s="296">
        <f>IF($D$127=5,R179,IF($D$127=6,R179,IF($D$127=8,R181,IF($D$127=10,"",IF($D$127=12,R180,IF($D$127=14,"",IF($D$127=18,R179,IF($D$127=20,R180,IF($D$127=22,"",)))))))))</f>
        <v/>
      </c>
      <c r="F195" s="242">
        <f>IF($D$127=5,$S$175,IF($D$127=6,$S$175,IF($D$127=8,$S$177,IF($D$127=10,"",IF($D$127=12,$S$176,IF($D$127=14,"",IF($D$127=18,$S$175,IF($D$127=20,$S$176,IF($D$127=22,"",)))))))))</f>
        <v/>
      </c>
      <c r="G195" s="242">
        <f>IF($D$127=5,$T$175,IF($D$127=6,$T$175,IF($D$127=8,$T$177,IF($D$127=10,"",IF($D$127=12,$T$176,IF($D$127=14,"",IF($D$127=18,$T$175,IF($D$127=20,$T$176,IF($D$127=22,"",)))))))))</f>
        <v/>
      </c>
      <c r="H195" s="652">
        <f>IF($D$127=5,$U$175,IF($D$127=6,$U$175,IF($D$127=8,$U$177,IF($D$127=10,"",IF($D$127=12,$U$176,IF($D$127=14,"",IF($D$127=18,$U$175,IF($D$127=20,$U$176,IF($D$127=22,"")))))))))</f>
        <v/>
      </c>
      <c r="I195" s="653">
        <f>IF($D$127=5,$V$175,IF($D$127=6,$V$175,IF($D$127=8,$V$177,IF($D$127=10,"",IF($D$127=12,$V$176,IF($D$127=14,"",IF($D$127=18,$V$175,IF($D$127=20,$V$176,IF($D$127=22,"",)))))))))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6))/7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$J$143+$J$144+$J$145+$J$146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6))/7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6))/7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66" t="n"/>
      <c r="I511" s="278" t="n"/>
      <c r="J511" s="109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66" t="n"/>
      <c r="I512" s="278" t="n"/>
      <c r="J512" s="109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I156:J156"/>
    <mergeCell ref="A518:J518"/>
    <mergeCell ref="A173:J173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63:H168"/>
    <mergeCell ref="H126:I127"/>
    <mergeCell ref="C308:E308"/>
    <mergeCell ref="D171:D172"/>
    <mergeCell ref="A6:J6"/>
    <mergeCell ref="I155:J155"/>
    <mergeCell ref="I161:J161"/>
    <mergeCell ref="D161:D162"/>
    <mergeCell ref="A427:J427"/>
    <mergeCell ref="J120:J121"/>
    <mergeCell ref="I157:J157"/>
    <mergeCell ref="A125:B125"/>
    <mergeCell ref="J126:J127"/>
    <mergeCell ref="D159:D160"/>
    <mergeCell ref="D169:D170"/>
    <mergeCell ref="F520:G520"/>
    <mergeCell ref="I159:J16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$O$175:$O$193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 codeName="Sheet25">
    <tabColor theme="5" tint="-0.249977111117893"/>
    <outlinePr summaryBelow="1" summaryRight="1"/>
    <pageSetUpPr/>
  </sheetPr>
  <dimension ref="A2:X528"/>
  <sheetViews>
    <sheetView showGridLines="0" view="pageBreakPreview" topLeftCell="A100" zoomScale="75" zoomScaleNormal="75" zoomScaleSheetLayoutView="75" workbookViewId="0">
      <selection activeCell="D127" sqref="D127:G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(4L3R)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FG-240-7P4L3R-01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ฮวดเจริญ D1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3335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4722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IF(B153="","",+A140+1)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14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3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2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ชุดล้อแขวนบานสุดท้าย</t>
        </is>
      </c>
      <c r="C184" s="140" t="inlineStr">
        <is>
          <t>Right Hand End Carriert Set</t>
        </is>
      </c>
      <c r="D184" s="139" t="inlineStr">
        <is>
          <t>05-009</t>
        </is>
      </c>
      <c r="E184" s="143" t="n"/>
      <c r="F184" s="143" t="inlineStr">
        <is>
          <t>05-009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3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79">
        <f>((($I$149*$G$149)+($I$150*$G$150))/1000)*$J$120</f>
        <v/>
      </c>
      <c r="I190" s="680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79">
        <f>(((I145*G145)+($I$146*$G$146))/1000)*$J$120</f>
        <v/>
      </c>
      <c r="I191" s="680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IF($D$129="Standard",R190,IF($D$129="Soumdproof",R191,))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IF($D$129="Standard",$O$188,IF($D$129="Soumdproof",$O$189,))</f>
        <v/>
      </c>
      <c r="C193" s="139">
        <f>IF($D$129="Standard",$P$188,IF($D$129="Soumdproof",$P$189,))</f>
        <v/>
      </c>
      <c r="D193" s="139">
        <f>IF($D$129="Standard",$Q$188,IF($D$129="Soumdproof",$Q$189,))</f>
        <v/>
      </c>
      <c r="E193" s="143">
        <f>IF($D$129="Standard",R192,IF($D$129="Soumdproof",R193,))</f>
        <v/>
      </c>
      <c r="F193" s="143">
        <f>IF($D$129="Standard",$S$188,IF($D$129="Soumdproof",$S$189,))</f>
        <v/>
      </c>
      <c r="G193" s="143">
        <f>IF($D$129="Standard",$T$188,IF($D$129="Soumdproof",$T$189,))</f>
        <v/>
      </c>
      <c r="H193" s="652">
        <f>IF($D$129="Standard",$U$188,IF($D$129="Soumdproof",$U$189,))</f>
        <v/>
      </c>
      <c r="I193" s="653">
        <f>IF($D$129="Standard",$V$188,IF($D$129="Soumdproof",$V$189,))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296">
        <f>IF($D$127=5,$O$177,IF($D$127=6,$O$178,IF($D$127=8,$O$179,IF($D$127=10,$O$177,IF($D$127=12,$O$177,IF($D$127=14,$O$179,IF($D$127=18,$O$177,IF($D$127=20,$O$178,IF($D$127=22,"")))))))))</f>
        <v/>
      </c>
      <c r="C194" s="296">
        <f>IF($D$127=5,$P$177,IF($D$127=6,$P$178,IF($D$127=8,$P$179,IF($D$127=10,$P$177,IF($D$127=12,$P$177,IF($D$127=14,$P$179,IF($D$127=18,$P$177,IF($D$127=20,$P$178,IF($D$127=22,"")))))))))</f>
        <v/>
      </c>
      <c r="D194" s="296">
        <f>IF($D$127=5,$Q$177,IF($D$127=6,$Q$178,IF($D$127=8,$Q$179,IF($D$127=10,$Q$177,IF($D$127=12,$Q$177,IF($D$127=14,$Q$179,IF($D$127=18,$Q$177,IF($D$127=20,$Q$178,IF($D$127=22,"")))))))))</f>
        <v/>
      </c>
      <c r="E194" s="296">
        <f>IF($D$127=5,R181,IF($D$127=6,R182,IF($D$127=8,R183,IF($D$127=10,R181,IF($D$127=12,R181,IF($D$127=14,R183,IF($D$127=18,R181,IF($D$127=20,R182,IF($D$127=22,"",)))))))))</f>
        <v/>
      </c>
      <c r="F194" s="242">
        <f>IF($D$127=5,$S$177,IF($D$127=6,$S$178,IF($D$127=8,$S$179,IF($D$127=10,$S$177,IF($D$127=12,$S$177,IF($D$127=14,$S$179,IF($D$127=18,$S$177,IF($D$127=20,$S$178,IF($D$127=22,"")))))))))</f>
        <v/>
      </c>
      <c r="G194" s="242">
        <f>IF($D$127=5,$T$177,IF($D$127=6,$T$178,IF($D$127=8,$T$179,IF($D$127=10,$T$177,IF($D$127=12,$T$177,IF($D$127=14,$T$179,IF($D$127=18,$T$177,IF($D$127=20,$T$178,IF($D$127=22,"")))))))))</f>
        <v/>
      </c>
      <c r="H194" s="652">
        <f>IF($D$127=5,$U$177,IF($D$127=6,$U$178,IF($D$127=8,$U$179,IF($D$127=10,$U$177*2,IF($D$127=12,$U$177,IF($D$127=14,$U$179*2,IF($D$127=18,$U$177,IF($D$127=20,$U$178,IF($D$127=22,"")))))))))</f>
        <v/>
      </c>
      <c r="I194" s="653">
        <f>IF($D$127=5,$V$177,IF($D$127=6,$V$178,IF($D$127=8,$V$179,IF($D$127=10,$V$177,IF($D$127=12,$V$177,IF($D$127=14,$V$179,IF($D$127=18,$V$177,IF($D$127=20,$V$178,IF($D$127=22,"")))))))))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IF($D$127=5,$O$175,IF($D$127=6,$O$175,IF($D$127=8,$O$177,IF($D$127=10,"",IF($D$127=12,$O$176,IF($D$127=14,"",IF($D$127=18,$O$175,IF($D$127=20,$O$176,IF($D$127=22,"",)))))))))</f>
        <v/>
      </c>
      <c r="C195" s="296">
        <f>IF($D$127=5,$P$175,IF($D$127=6,$P$175,IF($D$127=8,$P$177,IF($D$127=10,"",IF($D$127=12,$P$176,IF($D$127=14,"",IF($D$127=18,$P$175,IF($D$127=20,$P$176,IF($D$127=22,"",)))))))))</f>
        <v/>
      </c>
      <c r="D195" s="296">
        <f>IF($D$127=5,$Q$175,IF($D$127=6,$Q$175,IF($D$127=8,$Q$177,IF($D$127=10,"",IF($D$127=12,$Q$176,IF($D$127=14,"",IF($D$127=18,$Q$175,IF($D$127=20,$Q$176,IF($D$127=22,"",)))))))))</f>
        <v/>
      </c>
      <c r="E195" s="296">
        <f>IF($D$127=5,R179,IF($D$127=6,R179,IF($D$127=8,R181,IF($D$127=10,"",IF($D$127=12,R180,IF($D$127=14,"",IF($D$127=18,R179,IF($D$127=20,R180,IF($D$127=22,"",)))))))))</f>
        <v/>
      </c>
      <c r="F195" s="242">
        <f>IF($D$127=5,$S$175,IF($D$127=6,$S$175,IF($D$127=8,$S$177,IF($D$127=10,"",IF($D$127=12,$S$176,IF($D$127=14,"",IF($D$127=18,$S$175,IF($D$127=20,$S$176,IF($D$127=22,"",)))))))))</f>
        <v/>
      </c>
      <c r="G195" s="242">
        <f>IF($D$127=5,$T$175,IF($D$127=6,$T$175,IF($D$127=8,$T$177,IF($D$127=10,"",IF($D$127=12,$T$176,IF($D$127=14,"",IF($D$127=18,$T$175,IF($D$127=20,$T$176,IF($D$127=22,"",)))))))))</f>
        <v/>
      </c>
      <c r="H195" s="652">
        <f>IF($D$127=5,$U$175,IF($D$127=6,$U$175,IF($D$127=8,$U$177,IF($D$127=10,"",IF($D$127=12,$U$176,IF($D$127=14,"",IF($D$127=18,$U$175,IF($D$127=20,$U$176,IF($D$127=22,"")))))))))</f>
        <v/>
      </c>
      <c r="I195" s="653">
        <f>IF($D$127=5,$V$175,IF($D$127=6,$V$175,IF($D$127=8,$V$177,IF($D$127=10,"",IF($D$127=12,$V$176,IF($D$127=14,"",IF($D$127=18,$V$175,IF($D$127=20,$V$176,IF($D$127=22,"",)))))))))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6))/7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$J$143+$J$144+$J$145+$J$146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- 2185-(113.25 × 6))/7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6))/7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$I$147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$J$148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inlineStr">
        <is>
          <t xml:space="preserve">                    Sash Stop</t>
        </is>
      </c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inlineStr">
        <is>
          <t xml:space="preserve">                          = FAME HIGHT - 92.00</t>
        </is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542" t="inlineStr">
        <is>
          <t xml:space="preserve">                          ความสูง (วงกบ) - 92.00</t>
        </is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6">
        <f>$I$149</f>
        <v/>
      </c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657">
        <f>$J$149+$J$150</f>
        <v/>
      </c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44" t="n"/>
      <c r="B419" s="44" t="n"/>
      <c r="C419" s="44" t="n"/>
      <c r="D419" s="84" t="n"/>
      <c r="E419" s="44" t="n"/>
      <c r="F419" s="44" t="n"/>
      <c r="G419" s="44" t="n"/>
      <c r="H419" s="44" t="n"/>
      <c r="I419" s="44" t="n"/>
      <c r="J419" s="119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44" t="n"/>
      <c r="B514" s="278" t="n"/>
      <c r="C514" s="278" t="n"/>
      <c r="D514" s="161" t="n"/>
      <c r="E514" s="109" t="n"/>
      <c r="F514" s="109" t="n"/>
      <c r="G514" s="109" t="n"/>
      <c r="H514" s="287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I156:J156"/>
    <mergeCell ref="A518:J518"/>
    <mergeCell ref="A173:J173"/>
    <mergeCell ref="A320:J320"/>
    <mergeCell ref="H159:H160"/>
    <mergeCell ref="F331:G331"/>
    <mergeCell ref="H169:H170"/>
    <mergeCell ref="H120:I121"/>
    <mergeCell ref="F334:G334"/>
    <mergeCell ref="F330:G330"/>
    <mergeCell ref="D119:G119"/>
    <mergeCell ref="D163:D168"/>
    <mergeCell ref="H126:I127"/>
    <mergeCell ref="H163:H168"/>
    <mergeCell ref="D171:D172"/>
    <mergeCell ref="A6:J6"/>
    <mergeCell ref="I161:J161"/>
    <mergeCell ref="I155:J155"/>
    <mergeCell ref="D161:D162"/>
    <mergeCell ref="A427:J427"/>
    <mergeCell ref="C310:E310"/>
    <mergeCell ref="J120:J121"/>
    <mergeCell ref="I157:J157"/>
    <mergeCell ref="A125:B125"/>
    <mergeCell ref="J126:J127"/>
    <mergeCell ref="D159:D160"/>
    <mergeCell ref="D169:D170"/>
    <mergeCell ref="F520:G520"/>
    <mergeCell ref="I159:J16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$O$175:$O$193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 codeName="Sheet26">
    <tabColor theme="5" tint="-0.249977111117893"/>
    <outlinePr summaryBelow="1" summaryRight="1"/>
    <pageSetUpPr/>
  </sheetPr>
  <dimension ref="A2:Y529"/>
  <sheetViews>
    <sheetView showGridLines="0" view="pageBreakPreview" topLeftCell="A127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(5L2R)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FG-240-7P5L2R-01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Standard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4450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44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IF(B153="","",+A151+1)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389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81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81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5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81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7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14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ชุดบานพับระดับเดียวกัน</t>
        </is>
      </c>
      <c r="C180" s="140" t="inlineStr">
        <is>
          <t>Standard Hinge Handle Set</t>
        </is>
      </c>
      <c r="D180" s="139" t="inlineStr">
        <is>
          <t>05-004</t>
        </is>
      </c>
      <c r="E180" s="143" t="n"/>
      <c r="F180" s="143" t="inlineStr">
        <is>
          <t>05-004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ชุดบานพับต่างระดับมีมือจับ</t>
        </is>
      </c>
      <c r="C181" s="140" t="inlineStr">
        <is>
          <t>offset Hinge Handle Set</t>
        </is>
      </c>
      <c r="D181" s="139" t="inlineStr">
        <is>
          <t>05-005</t>
        </is>
      </c>
      <c r="E181" s="143" t="n"/>
      <c r="F181" s="143" t="inlineStr">
        <is>
          <t>05-005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ชุดล้อแขวนบานตายซ้าย</t>
        </is>
      </c>
      <c r="C182" s="140" t="inlineStr">
        <is>
          <t>Left Hand Pivot Set</t>
        </is>
      </c>
      <c r="D182" s="139" t="inlineStr">
        <is>
          <t>05-006</t>
        </is>
      </c>
      <c r="E182" s="143" t="n"/>
      <c r="F182" s="143" t="inlineStr">
        <is>
          <t>05-006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ชุดล้อแขวนบานตายขวา</t>
        </is>
      </c>
      <c r="C183" s="140" t="inlineStr">
        <is>
          <t>Right Hand Pivot Set</t>
        </is>
      </c>
      <c r="D183" s="139" t="inlineStr">
        <is>
          <t>05-007</t>
        </is>
      </c>
      <c r="E183" s="143" t="n"/>
      <c r="F183" s="143" t="inlineStr">
        <is>
          <t>05-007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2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ชุดล้อแขวนบานเปิด</t>
        </is>
      </c>
      <c r="C185" s="140" t="inlineStr">
        <is>
          <t>Left Hand End Carrier Set</t>
        </is>
      </c>
      <c r="D185" s="139" t="inlineStr">
        <is>
          <t>05-008</t>
        </is>
      </c>
      <c r="E185" s="143" t="n"/>
      <c r="F185" s="143" t="inlineStr">
        <is>
          <t>05-008</t>
        </is>
      </c>
      <c r="G185" s="143" t="inlineStr">
        <is>
          <t>SET</t>
        </is>
      </c>
      <c r="H185" s="143" t="n">
        <v>1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ชุดสลักล็อค</t>
        </is>
      </c>
      <c r="C186" s="140" t="inlineStr">
        <is>
          <t>Twin Bolt + Rods</t>
        </is>
      </c>
      <c r="D186" s="139" t="inlineStr">
        <is>
          <t>05-014</t>
        </is>
      </c>
      <c r="E186" s="143" t="n"/>
      <c r="F186" s="143" t="inlineStr">
        <is>
          <t>05-014</t>
        </is>
      </c>
      <c r="G186" s="143" t="inlineStr">
        <is>
          <t>SET</t>
        </is>
      </c>
      <c r="H186" s="143" t="n">
        <v>3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04-016</t>
        </is>
      </c>
      <c r="E187" s="143" t="n"/>
      <c r="F187" s="143" t="inlineStr">
        <is>
          <t>04-016</t>
        </is>
      </c>
      <c r="G187" s="143" t="inlineStr">
        <is>
          <t>PC</t>
        </is>
      </c>
      <c r="H187" s="143" t="n">
        <v>3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ชุดมือจับล็อค</t>
        </is>
      </c>
      <c r="C188" s="140" t="inlineStr">
        <is>
          <t>Stainless steel mortise lock,handle,cylinder</t>
        </is>
      </c>
      <c r="D188" s="139" t="inlineStr">
        <is>
          <t>00-024 or 00-027</t>
        </is>
      </c>
      <c r="E188" s="143" t="n"/>
      <c r="F188" s="143" t="inlineStr">
        <is>
          <t>00-024 or 00-027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ตัวประคองสลักล็อค</t>
        </is>
      </c>
      <c r="C189" s="140" t="inlineStr">
        <is>
          <t>Guide twin Bolt Rods</t>
        </is>
      </c>
      <c r="D189" s="139" t="inlineStr">
        <is>
          <t>04-009</t>
        </is>
      </c>
      <c r="E189" s="143" t="n"/>
      <c r="F189" s="143" t="inlineStr">
        <is>
          <t>04-009</t>
        </is>
      </c>
      <c r="G189" s="143" t="inlineStr">
        <is>
          <t>PC</t>
        </is>
      </c>
      <c r="H189" s="143" t="n">
        <v>6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รางเสริมเปลี่ยนล้อ</t>
        </is>
      </c>
      <c r="C190" s="140" t="inlineStr">
        <is>
          <t>35 SERIES TRACK INSERT</t>
        </is>
      </c>
      <c r="D190" s="139" t="inlineStr">
        <is>
          <t>04-004</t>
        </is>
      </c>
      <c r="E190" s="143" t="n"/>
      <c r="F190" s="143" t="inlineStr">
        <is>
          <t>04-004</t>
        </is>
      </c>
      <c r="G190" s="143" t="inlineStr">
        <is>
          <t>PC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(((I145*G145)+($I$146*$G$146))/1000)*$J$120</f>
        <v/>
      </c>
      <c r="I192" s="653" t="n">
        <v>100</v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IF($D$129="Standard",$O$186,IF($D$129="Soumdproof",$O$187,))</f>
        <v/>
      </c>
      <c r="C193" s="139">
        <f>IF($D$129="Standard",$P$186,IF($D$129="Soumdproof",$P$187,))</f>
        <v/>
      </c>
      <c r="D193" s="139">
        <f>IF($D$129="Standard",$Q$186,IF($D$129="Soumdproof",$Q$187,))</f>
        <v/>
      </c>
      <c r="E193" s="143">
        <f>IF($D$129="Standard",R191,IF($D$129="Soumdproof",R192,))</f>
        <v/>
      </c>
      <c r="F193" s="143">
        <f>IF($D$129="Standard",$S$186,IF($D$129="Soumdproof",$S$187,))</f>
        <v/>
      </c>
      <c r="G193" s="143">
        <f>IF($D$129="Standard",$T$186,IF($D$129="Soumdproof",$T$187,))</f>
        <v/>
      </c>
      <c r="H193" s="652">
        <f>IF($D$129="Standard",$U$186,IF($D$129="Soumdproof",$U$187,))</f>
        <v/>
      </c>
      <c r="I193" s="653">
        <f>IF($D$129="Standard",$V$186,IF($D$129="Soumdproof",$V$187,))</f>
        <v/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39">
        <f>IF($D$129="Standard",$O$188,IF($D$129="Soumdproof",$O$189,))</f>
        <v/>
      </c>
      <c r="C194" s="139">
        <f>IF($D$129="Standard",$P$188,IF($D$129="Soumdproof",$P$189,))</f>
        <v/>
      </c>
      <c r="D194" s="139">
        <f>IF($D$129="Standard",$Q$188,IF($D$129="Soumdproof",$Q$189,))</f>
        <v/>
      </c>
      <c r="E194" s="143">
        <f>IF($D$129="Standard",R193,IF($D$129="Soumdproof",R194,))</f>
        <v/>
      </c>
      <c r="F194" s="143">
        <f>IF($D$129="Standard",$S$188,IF($D$129="Soumdproof",$S$189,))</f>
        <v/>
      </c>
      <c r="G194" s="143">
        <f>IF($D$129="Standard",$T$188,IF($D$129="Soumdproof",$T$189,))</f>
        <v/>
      </c>
      <c r="H194" s="652">
        <f>IF($D$129="Standard",$U$188,IF($D$129="Soumdproof",$U$189,))</f>
        <v/>
      </c>
      <c r="I194" s="653">
        <f>IF($D$129="Standard",$V$188,IF($D$129="Soumdproof",$V$189,))</f>
        <v/>
      </c>
      <c r="J194" s="654">
        <f>ROUNDUP((H194)/100,0)</f>
        <v/>
      </c>
    </row>
    <row r="195" ht="18" customHeight="1" s="344">
      <c r="A195" s="201">
        <f>IF(B195="","",+A194+1)</f>
        <v/>
      </c>
      <c r="B195" s="296">
        <f>IF($D$127=5,$O$177,IF($D$127=6,$O$178,IF($D$127=8,$O$179,IF($D$127=10,$O$177,IF($D$127=12,$O$177,IF($D$127=14,$O$179,IF($D$127=18,$O$177,IF($D$127=20,$O$178,IF($D$127=22,"")))))))))</f>
        <v/>
      </c>
      <c r="C195" s="296">
        <f>IF($D$127=5,$P$177,IF($D$127=6,$P$178,IF($D$127=8,$P$179,IF($D$127=10,$P$177,IF($D$127=12,$P$177,IF($D$127=14,$P$179,IF($D$127=18,$P$177,IF($D$127=20,$P$178,IF($D$127=22,"")))))))))</f>
        <v/>
      </c>
      <c r="D195" s="296">
        <f>IF($D$127=5,$Q$177,IF($D$127=6,$Q$178,IF($D$127=8,$Q$179,IF($D$127=10,$Q$177,IF($D$127=12,$Q$177,IF($D$127=14,$Q$179,IF($D$127=18,$Q$177,IF($D$127=20,$Q$178,IF($D$127=22,"")))))))))</f>
        <v/>
      </c>
      <c r="E195" s="296">
        <f>IF($D$127=5,R182,IF($D$127=6,R183,IF($D$127=8,R184,IF($D$127=10,R182,IF($D$127=12,R182,IF($D$127=14,R184,IF($D$127=18,R182,IF($D$127=20,R183,IF($D$127=22,"",)))))))))</f>
        <v/>
      </c>
      <c r="F195" s="242">
        <f>IF($D$127=5,$S$177,IF($D$127=6,$S$178,IF($D$127=8,$S$179,IF($D$127=10,$S$177,IF($D$127=12,$S$177,IF($D$127=14,$S$179,IF($D$127=18,$S$177,IF($D$127=20,$S$178,IF($D$127=22,"")))))))))</f>
        <v/>
      </c>
      <c r="G195" s="242">
        <f>IF($D$127=5,$T$177,IF($D$127=6,$T$178,IF($D$127=8,$T$179,IF($D$127=10,$T$177,IF($D$127=12,$T$177,IF($D$127=14,$T$179,IF($D$127=18,$T$177,IF($D$127=20,$T$178,IF($D$127=22,"")))))))))</f>
        <v/>
      </c>
      <c r="H195" s="652">
        <f>IF($D$127=5,$U$177,IF($D$127=6,$U$178,IF($D$127=8,$U$179,IF($D$127=10,$U$177*2,IF($D$127=12,$U$177,IF($D$127=14,$U$179*2,IF($D$127=18,$U$177,IF($D$127=20,$U$178,IF($D$127=22,"")))))))))</f>
        <v/>
      </c>
      <c r="I195" s="653">
        <f>IF($D$127=5,$V$177,IF($D$127=6,$V$178,IF($D$127=8,$V$179,IF($D$127=10,$V$177,IF($D$127=12,$V$177,IF($D$127=14,$V$179,IF($D$127=18,$V$177,IF($D$127=20,$V$178,IF($D$127=22,"")))))))))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  <c r="Y195" s="278" t="n"/>
    </row>
    <row r="196" ht="18" customFormat="1" customHeight="1" s="278">
      <c r="A196" s="201">
        <f>IF(B196="","",+A195+1)</f>
        <v/>
      </c>
      <c r="B196" s="296">
        <f>IF($D$127=5,$O$175,IF($D$127=6,$O$175,IF($D$127=8,$O$177,IF($D$127=10,"",IF($D$127=12,$O$176,IF($D$127=14,"",IF($D$127=18,$O$175,IF($D$127=20,$O$176,IF($D$127=22,"",)))))))))</f>
        <v/>
      </c>
      <c r="C196" s="296">
        <f>IF($D$127=5,$P$175,IF($D$127=6,$P$175,IF($D$127=8,$P$177,IF($D$127=10,"",IF($D$127=12,$P$176,IF($D$127=14,"",IF($D$127=18,$P$175,IF($D$127=20,$P$176,IF($D$127=22,"",)))))))))</f>
        <v/>
      </c>
      <c r="D196" s="296">
        <f>IF($D$127=5,$Q$175,IF($D$127=6,$Q$175,IF($D$127=8,$Q$177,IF($D$127=10,"",IF($D$127=12,$Q$176,IF($D$127=14,"",IF($D$127=18,$Q$175,IF($D$127=20,$Q$176,IF($D$127=22,"",)))))))))</f>
        <v/>
      </c>
      <c r="E196" s="296">
        <f>IF($D$127=5,R180,IF($D$127=6,R180,IF($D$127=8,R182,IF($D$127=10,"",IF($D$127=12,R181,IF($D$127=14,"",IF($D$127=18,R180,IF($D$127=20,R181,IF($D$127=22,"",)))))))))</f>
        <v/>
      </c>
      <c r="F196" s="242">
        <f>IF($D$127=5,$S$175,IF($D$127=6,$S$175,IF($D$127=8,$S$177,IF($D$127=10,"",IF($D$127=12,$S$176,IF($D$127=14,"",IF($D$127=18,$S$175,IF($D$127=20,$S$176,IF($D$127=22,"",)))))))))</f>
        <v/>
      </c>
      <c r="G196" s="242">
        <f>IF($D$127=5,$T$175,IF($D$127=6,$T$175,IF($D$127=8,$T$177,IF($D$127=10,"",IF($D$127=12,$T$176,IF($D$127=14,"",IF($D$127=18,$T$175,IF($D$127=20,$T$176,IF($D$127=22,"",)))))))))</f>
        <v/>
      </c>
      <c r="H196" s="652">
        <f>IF($D$127=5,$U$175,IF($D$127=6,$U$175,IF($D$127=8,$U$177,IF($D$127=10,"",IF($D$127=12,$U$176,IF($D$127=14,"",IF($D$127=18,$U$175,IF($D$127=20,$U$176,IF($D$127=22,"")))))))))</f>
        <v/>
      </c>
      <c r="I196" s="653">
        <f>IF($D$127=5,$V$175,IF($D$127=6,$V$175,IF($D$127=8,$V$177,IF($D$127=10,"",IF($D$127=12,$V$176,IF($D$127=14,"",IF($D$127=18,$V$175,IF($D$127=20,$V$176,IF($D$127=22,"",)))))))))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44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6))/7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$J$143+$J$144+$J$145+$J$146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6))/7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6))/7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inlineStr">
        <is>
          <t xml:space="preserve">                   Sash Stop</t>
        </is>
      </c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inlineStr">
        <is>
          <t xml:space="preserve">                          = FAME HIGHT - 92.00</t>
        </is>
      </c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inlineStr">
        <is>
          <t xml:space="preserve">                          ความสูง (วงกบ) - 92.00</t>
        </is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$I$149</f>
        <v/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$J$149+$J$150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6)/7)-13</t>
        </is>
      </c>
      <c r="I521" s="124">
        <f>(($J$126-185-(113.25*6))/7)-13</f>
        <v/>
      </c>
      <c r="J521" s="151">
        <f>$J$120*7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F521:G521"/>
    <mergeCell ref="I166:J167"/>
    <mergeCell ref="I156:J156"/>
    <mergeCell ref="A173:J173"/>
    <mergeCell ref="A320:J320"/>
    <mergeCell ref="H159:H160"/>
    <mergeCell ref="F331:G331"/>
    <mergeCell ref="H169:H170"/>
    <mergeCell ref="H120:I121"/>
    <mergeCell ref="F334:G334"/>
    <mergeCell ref="F330:G330"/>
    <mergeCell ref="D119:G119"/>
    <mergeCell ref="D163:D168"/>
    <mergeCell ref="H126:I127"/>
    <mergeCell ref="H163:H168"/>
    <mergeCell ref="D171:D172"/>
    <mergeCell ref="A6:J6"/>
    <mergeCell ref="I161:J161"/>
    <mergeCell ref="I155:J155"/>
    <mergeCell ref="D161:D162"/>
    <mergeCell ref="A427:J427"/>
    <mergeCell ref="J120:J121"/>
    <mergeCell ref="I157:J157"/>
    <mergeCell ref="H123:I124"/>
    <mergeCell ref="A125:B125"/>
    <mergeCell ref="A519:J519"/>
    <mergeCell ref="J126:J127"/>
    <mergeCell ref="D159:D160"/>
    <mergeCell ref="D169:D170"/>
    <mergeCell ref="I159:J160"/>
    <mergeCell ref="D125:G125"/>
    <mergeCell ref="C309:E309"/>
    <mergeCell ref="A213:J213"/>
  </mergeCells>
  <dataValidations count="3">
    <dataValidation sqref="C206" showDropDown="0" showInputMessage="1" showErrorMessage="1" allowBlank="1" type="list">
      <formula1>$O$175:$O$193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 codeName="Sheet27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11" customWidth="1" style="344" min="17" max="17"/>
    <col hidden="1" outlineLevel="1" width="13.88671875" customWidth="1" style="344" min="18" max="18"/>
    <col hidden="1" outlineLevel="1" width="16.441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(6L1R)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FG-240-7P6L1R-01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78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3500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B24007-004R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inlineStr">
        <is>
          <t>บังใบ</t>
        </is>
      </c>
      <c r="C148" s="140" t="inlineStr">
        <is>
          <t>SASH STOP</t>
        </is>
      </c>
      <c r="D148" s="139" t="inlineStr">
        <is>
          <t>B24009</t>
        </is>
      </c>
      <c r="E148" s="143" t="n"/>
      <c r="F148" s="139" t="inlineStr">
        <is>
          <t>B24009-001</t>
        </is>
      </c>
      <c r="G148" s="143" t="n">
        <v>1</v>
      </c>
      <c r="H148" s="143" t="inlineStr">
        <is>
          <t>H-92</t>
        </is>
      </c>
      <c r="I148" s="130">
        <f>$J$123-92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B24009-002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VLOOKUP(C170,$C$133:$H$153,2,0)</f>
        <v/>
      </c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516">
        <f>ROUNDUP(((F170*G170)+(F171*G171))/6400,0)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14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ชุดล้อแขวนบานสุดท้าย</t>
        </is>
      </c>
      <c r="C183" s="140" t="inlineStr">
        <is>
          <t>Right Hand End Carriert Set</t>
        </is>
      </c>
      <c r="D183" s="139" t="inlineStr">
        <is>
          <t>05-009</t>
        </is>
      </c>
      <c r="E183" s="143" t="n"/>
      <c r="F183" s="143" t="inlineStr">
        <is>
          <t>05-009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((($I$141*$G$141*2)+($I$143*$G$143*2)+($I$144*($G$144-1)*2))/1000)*$J$120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((($I$141*$G$141*2)+($I$143*$G$143*2)+($I$144*($G$144-1)*2))/1000)*$J$120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04-016</t>
        </is>
      </c>
      <c r="E189" s="143" t="n"/>
      <c r="F189" s="143" t="inlineStr">
        <is>
          <t>04-016</t>
        </is>
      </c>
      <c r="G189" s="143" t="inlineStr">
        <is>
          <t>PC</t>
        </is>
      </c>
      <c r="H189" s="143" t="n">
        <v>3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52">
        <f>((($I$148*$G$148)+($I$149*$G$149))/1000)*$J$120</f>
        <v/>
      </c>
      <c r="I190" s="653" t="n">
        <v>100</v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52">
        <f>((($I$144*$G$144)+($I$145*$G$145))/1000)*$J$120</f>
        <v/>
      </c>
      <c r="I191" s="653" t="n">
        <v>100</v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IF($D$129="Standard",$O$185,IF($D$129="Soumdproof",$O$186,))</f>
        <v/>
      </c>
      <c r="C192" s="139">
        <f>IF($D$129="Standard",$P$185,IF($D$129="Soumdproof",$P$186,))</f>
        <v/>
      </c>
      <c r="D192" s="139">
        <f>IF($D$129="Standard",$Q$185,IF($D$129="Soumdproof",$Q$186,))</f>
        <v/>
      </c>
      <c r="E192" s="143">
        <f>IF($D$129="Standard",R190,IF($D$129="Soumdproof",R191,))</f>
        <v/>
      </c>
      <c r="F192" s="143">
        <f>IF($D$129="Standard",$S$185,IF($D$129="Soumdproof",$S$186,))</f>
        <v/>
      </c>
      <c r="G192" s="143">
        <f>IF($D$129="Standard",$T$185,IF($D$129="Soumdproof",$T$186,))</f>
        <v/>
      </c>
      <c r="H192" s="652">
        <f>IF($D$129="Standard",$U$185,IF($D$129="Soumdproof",$U$186,))</f>
        <v/>
      </c>
      <c r="I192" s="653">
        <f>IF($D$129="Standard",$V$185,IF($D$129="Soumdproof",$V$186,))</f>
        <v/>
      </c>
      <c r="J192" s="654">
        <f>ROUNDUP((H192)/100,0)</f>
        <v/>
      </c>
    </row>
    <row r="193" ht="18" customFormat="1" customHeight="1" s="278">
      <c r="A193" s="201">
        <f>IF(B193="","",+A192+1)</f>
        <v/>
      </c>
      <c r="B193" s="139">
        <f>IF($D$129="Standard",$O$187,IF($D$129="Soumdproof",$O$188,))</f>
        <v/>
      </c>
      <c r="C193" s="139">
        <f>IF($D$129="Standard",$P$187,IF($D$129="Soumdproof",$P$188,))</f>
        <v/>
      </c>
      <c r="D193" s="139">
        <f>IF($D$129="Standard",$Q$187,IF($D$129="Soumdproof",$Q$188,))</f>
        <v/>
      </c>
      <c r="E193" s="143">
        <f>IF($D$129="Standard",R192,IF($D$129="Soumdproof",R193,))</f>
        <v/>
      </c>
      <c r="F193" s="143">
        <f>IF($D$129="Standard",$S$187,IF($D$129="Soumdproof",$S$188,))</f>
        <v/>
      </c>
      <c r="G193" s="143">
        <f>IF($D$129="Standard",$T$187,IF($D$129="Soumdproof",$T$188,))</f>
        <v/>
      </c>
      <c r="H193" s="652">
        <f>IF($D$129="Standard",$U$187,IF($D$129="Soumdproof",$U$188,))</f>
        <v/>
      </c>
      <c r="I193" s="653">
        <f>IF($D$129="Standard",$V$187,IF($D$129="Soumdproof",$V$188,))</f>
        <v/>
      </c>
      <c r="J193" s="654">
        <f>ROUNDUP((H193)/100,0)</f>
        <v/>
      </c>
    </row>
    <row r="194" ht="18" customHeight="1" s="344">
      <c r="A194" s="201">
        <f>IF(B194="","",+A193+1)</f>
        <v/>
      </c>
      <c r="B194" s="296">
        <f>IF($D$127=5,$O$176,IF($D$127=6,$O$177,IF($D$127=8,$O$178,IF($D$127=10,$O$176,IF($D$127=12,$O$176,IF($D$127=14,$O$178,IF($D$127=18,$O$176,IF($D$127=20,$O$177,IF($D$127=22,"")))))))))</f>
        <v/>
      </c>
      <c r="C194" s="296">
        <f>IF($D$127=5,$P$176,IF($D$127=6,$P$177,IF($D$127=8,$P$178,IF($D$127=10,$P$176,IF($D$127=12,$P$176,IF($D$127=14,$P$178,IF($D$127=18,$P$176,IF($D$127=20,$P$177,IF($D$127=22,"")))))))))</f>
        <v/>
      </c>
      <c r="D194" s="296">
        <f>IF($D$127=5,$Q$176,IF($D$127=6,$Q$177,IF($D$127=8,$Q$178,IF($D$127=10,$Q$176,IF($D$127=12,$Q$176,IF($D$127=14,$Q$178,IF($D$127=18,$Q$176,IF($D$127=20,$Q$177,IF($D$127=22,"")))))))))</f>
        <v/>
      </c>
      <c r="E194" s="296">
        <f>IF($D$127=5,R181,IF($D$127=6,R182,IF($D$127=8,R183,IF($D$127=10,R181,IF($D$127=12,R181,IF($D$127=14,R183,IF($D$127=18,R181,IF($D$127=20,R182,IF($D$127=22,"",)))))))))</f>
        <v/>
      </c>
      <c r="F194" s="242">
        <f>IF($D$127=5,$S$176,IF($D$127=6,$S$177,IF($D$127=8,$S$178,IF($D$127=10,$S$176,IF($D$127=12,$S$176,IF($D$127=14,$S$178,IF($D$127=18,$S$176,IF($D$127=20,$S$177,IF($D$127=22,"")))))))))</f>
        <v/>
      </c>
      <c r="G194" s="242">
        <f>IF($D$127=5,$T$176,IF($D$127=6,$T$177,IF($D$127=8,$T$178,IF($D$127=10,$T$176,IF($D$127=12,$T$176,IF($D$127=14,$T$178,IF($D$127=18,$T$176,IF($D$127=20,$T$177,IF($D$127=22,"")))))))))</f>
        <v/>
      </c>
      <c r="H194" s="652">
        <f>IF($D$127=5,$U$176,IF($D$127=6,$U$177,IF($D$127=8,$U$178,IF($D$127=10,$U$176*2,IF($D$127=12,$U$176,IF($D$127=14,$U$178*2,IF($D$127=18,$U$176,IF($D$127=20,$U$177,IF($D$127=22,"")))))))))</f>
        <v/>
      </c>
      <c r="I194" s="653">
        <f>IF($D$127=5,$V$176,IF($D$127=6,$V$177,IF($D$127=8,$V$178,IF($D$127=10,$V$176,IF($D$127=12,$V$176,IF($D$127=14,$V$178,IF($D$127=18,$V$176,IF($D$127=20,$V$177,IF($D$127=22,"")))))))))</f>
        <v/>
      </c>
      <c r="J194" s="654">
        <f>ROUNDUP((H194)/100,0)</f>
        <v/>
      </c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296">
        <f>IF($D$127=5,$O$174,IF($D$127=6,$O$174,IF($D$127=8,$O$176,IF($D$127=10,"",IF($D$127=12,$O$175,IF($D$127=14,"",IF($D$127=18,$O$174,IF($D$127=20,$O$175,IF($D$127=22,"",)))))))))</f>
        <v/>
      </c>
      <c r="C195" s="296">
        <f>IF($D$127=5,$P$174,IF($D$127=6,$P$174,IF($D$127=8,$P$176,IF($D$127=10,"",IF($D$127=12,$P$175,IF($D$127=14,"",IF($D$127=18,$P$174,IF($D$127=20,$P$175,IF($D$127=22,"",)))))))))</f>
        <v/>
      </c>
      <c r="D195" s="296">
        <f>IF($D$127=5,$Q$174,IF($D$127=6,$Q$174,IF($D$127=8,$Q$176,IF($D$127=10,"",IF($D$127=12,$Q$175,IF($D$127=14,"",IF($D$127=18,$Q$174,IF($D$127=20,$Q$175,IF($D$127=22,"",)))))))))</f>
        <v/>
      </c>
      <c r="E195" s="296">
        <f>IF($D$127=5,R179,IF($D$127=6,R179,IF($D$127=8,R181,IF($D$127=10,"",IF($D$127=12,R180,IF($D$127=14,"",IF($D$127=18,R179,IF($D$127=20,R180,IF($D$127=22,"",)))))))))</f>
        <v/>
      </c>
      <c r="F195" s="242">
        <f>IF($D$127=5,$S$174,IF($D$127=6,$S$174,IF($D$127=8,$S$176,IF($D$127=10,"",IF($D$127=12,$S$175,IF($D$127=14,"",IF($D$127=18,$S$174,IF($D$127=20,$S$175,IF($D$127=22,"",)))))))))</f>
        <v/>
      </c>
      <c r="G195" s="242">
        <f>IF($D$127=5,$T$174,IF($D$127=6,$T$174,IF($D$127=8,$T$176,IF($D$127=10,"",IF($D$127=12,$T$175,IF($D$127=14,"",IF($D$127=18,$T$174,IF($D$127=20,$T$175,IF($D$127=22,"",)))))))))</f>
        <v/>
      </c>
      <c r="H195" s="652">
        <f>IF($D$127=5,$U$174,IF($D$127=6,$U$174,IF($D$127=8,$U$176,IF($D$127=10,"",IF($D$127=12,$U$175,IF($D$127=14,"",IF($D$127=18,$U$174,IF($D$127=20,$U$175,IF($D$127=22,"")))))))))</f>
        <v/>
      </c>
      <c r="I195" s="653">
        <f>IF($D$127=5,$V$174,IF($D$127=6,$V$174,IF($D$127=8,$V$176,IF($D$127=10,"",IF($D$127=12,$V$175,IF($D$127=14,"",IF($D$127=18,$V$174,IF($D$127=20,$V$175,IF($D$127=22,"",)))))))))</f>
        <v/>
      </c>
      <c r="J195" s="654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$J$120*G197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$J$120*G198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$J$120*G199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 t="n"/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6))/7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6))/7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278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23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89" t="inlineStr">
        <is>
          <t xml:space="preserve">                   Glazing Bead</t>
        </is>
      </c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94" t="inlineStr">
        <is>
          <t xml:space="preserve">                          = ((Frame Width - 185-(113.25 × 6))/7</t>
        </is>
      </c>
      <c r="D296" s="161" t="n"/>
      <c r="E296" s="109" t="n"/>
      <c r="F296" s="109" t="n"/>
      <c r="G296" s="44" t="n"/>
      <c r="H296" s="44" t="n"/>
      <c r="I296" s="109" t="n"/>
      <c r="J296" s="501" t="n"/>
    </row>
    <row r="297" ht="15.9" customFormat="1" customHeight="1" s="278">
      <c r="A297" s="27" t="n"/>
      <c r="B297" s="278" t="n"/>
      <c r="C297" s="542" t="inlineStr">
        <is>
          <t xml:space="preserve">                         ((ความกว้าง (วงกบ) - 185-(113.25 × 6))/7</t>
        </is>
      </c>
      <c r="D297" s="328" t="n"/>
      <c r="E297" s="328" t="n"/>
      <c r="F297" s="109" t="n"/>
      <c r="G297" s="40" t="n"/>
      <c r="H297" s="32" t="n"/>
      <c r="I297" s="109" t="n"/>
      <c r="J297" s="501" t="n"/>
    </row>
    <row r="298" ht="15.9" customFormat="1" customHeight="1" s="278">
      <c r="A298" s="101" t="n"/>
      <c r="B298" s="278" t="n"/>
      <c r="C298" s="328" t="inlineStr">
        <is>
          <t xml:space="preserve">                          = FAME HIGHT - 242.00</t>
        </is>
      </c>
      <c r="D298" s="542" t="n"/>
      <c r="E298" s="542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44" t="n"/>
      <c r="B299" s="44" t="n"/>
      <c r="C299" s="542" t="inlineStr">
        <is>
          <t xml:space="preserve">                          ความสูง (วงกบ) - 242.00</t>
        </is>
      </c>
      <c r="D299" s="86" t="n"/>
      <c r="E299" s="79" t="n"/>
      <c r="F299" s="44" t="n"/>
      <c r="G299" s="109" t="n"/>
      <c r="H299" s="109" t="n"/>
      <c r="I299" s="109" t="n"/>
      <c r="J299" s="501" t="n"/>
    </row>
    <row r="300" ht="15.9" customFormat="1" customHeight="1" s="278">
      <c r="A300" s="40" t="n"/>
      <c r="B300" s="40" t="n"/>
      <c r="C300" s="656">
        <f>$I$146</f>
        <v/>
      </c>
      <c r="D300" s="87" t="n"/>
      <c r="E300" s="80" t="n"/>
      <c r="F300" s="32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$J$146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6">
        <f>$I$147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$I$148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$J$148+$J$149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278" t="n"/>
      <c r="C406" s="278" t="n"/>
      <c r="D406" s="161" t="n"/>
      <c r="E406" s="109" t="n"/>
      <c r="F406" s="109" t="n"/>
      <c r="G406" s="109" t="n"/>
      <c r="H406" s="109" t="n"/>
      <c r="I406" s="44" t="n"/>
      <c r="J406" s="119" t="n"/>
    </row>
    <row r="407" ht="15.9" customFormat="1" customHeight="1" s="278">
      <c r="A407" s="44" t="n"/>
      <c r="B407" s="278" t="n"/>
      <c r="C407" s="278" t="n"/>
      <c r="D407" s="161" t="n"/>
      <c r="E407" s="109" t="n"/>
      <c r="F407" s="109" t="n"/>
      <c r="G407" s="109" t="n"/>
      <c r="H407" s="109" t="n"/>
      <c r="I407" s="44" t="n"/>
      <c r="J407" s="119" t="n"/>
    </row>
    <row r="408" ht="15.9" customFormat="1" customHeight="1" s="278">
      <c r="A408" s="44" t="n"/>
      <c r="B408" s="278" t="n"/>
      <c r="C408" s="278" t="n"/>
      <c r="D408" s="161" t="n"/>
      <c r="E408" s="109" t="n"/>
      <c r="F408" s="109" t="n"/>
      <c r="G408" s="109" t="n"/>
      <c r="H408" s="109" t="n"/>
      <c r="I408" s="44" t="n"/>
      <c r="J408" s="119" t="n"/>
    </row>
    <row r="409" ht="15.9" customFormat="1" customHeight="1" s="278">
      <c r="A409" s="44" t="n"/>
      <c r="B409" s="278" t="n"/>
      <c r="C409" s="278" t="n"/>
      <c r="D409" s="161" t="n"/>
      <c r="E409" s="109" t="n"/>
      <c r="F409" s="109" t="n"/>
      <c r="G409" s="109" t="n"/>
      <c r="H409" s="109" t="n"/>
      <c r="I409" s="44" t="n"/>
      <c r="J409" s="119" t="n"/>
    </row>
    <row r="410" ht="15.9" customFormat="1" customHeight="1" s="278">
      <c r="A410" s="44" t="n"/>
      <c r="B410" s="278" t="n"/>
      <c r="C410" s="278" t="n"/>
      <c r="D410" s="161" t="n"/>
      <c r="E410" s="109" t="n"/>
      <c r="F410" s="109" t="n"/>
      <c r="G410" s="109" t="n"/>
      <c r="H410" s="109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278" t="n"/>
      <c r="C515" s="278" t="n"/>
      <c r="D515" s="161" t="n"/>
      <c r="E515" s="109" t="n"/>
      <c r="F515" s="109" t="n"/>
      <c r="G515" s="109" t="n"/>
      <c r="H515" s="287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104" t="inlineStr">
        <is>
          <t>FORMULA</t>
        </is>
      </c>
      <c r="G519" s="682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7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D123:G123"/>
    <mergeCell ref="A117:J117"/>
    <mergeCell ref="J123:J124"/>
    <mergeCell ref="I166:J167"/>
    <mergeCell ref="D170:D171"/>
    <mergeCell ref="I156:J156"/>
    <mergeCell ref="A518:J518"/>
    <mergeCell ref="A320:J320"/>
    <mergeCell ref="H159:H160"/>
    <mergeCell ref="F331:G331"/>
    <mergeCell ref="H120:I121"/>
    <mergeCell ref="F334:G334"/>
    <mergeCell ref="F330:G330"/>
    <mergeCell ref="D119:G119"/>
    <mergeCell ref="H126:I127"/>
    <mergeCell ref="C308:E308"/>
    <mergeCell ref="A6:J6"/>
    <mergeCell ref="I155:J155"/>
    <mergeCell ref="I161:J161"/>
    <mergeCell ref="D161:D162"/>
    <mergeCell ref="A427:J427"/>
    <mergeCell ref="F519:G519"/>
    <mergeCell ref="D168:D169"/>
    <mergeCell ref="H170:H171"/>
    <mergeCell ref="A172:J172"/>
    <mergeCell ref="J120:J121"/>
    <mergeCell ref="I157:J157"/>
    <mergeCell ref="A125:B125"/>
    <mergeCell ref="J126:J127"/>
    <mergeCell ref="D159:D160"/>
    <mergeCell ref="F520:G520"/>
    <mergeCell ref="I159:J160"/>
    <mergeCell ref="D125:G125"/>
    <mergeCell ref="H123:I124"/>
    <mergeCell ref="A213:J213"/>
    <mergeCell ref="D163:D167"/>
  </mergeCells>
  <dataValidations count="4">
    <dataValidation sqref="C206" showDropDown="0" showInputMessage="1" showErrorMessage="1" allowBlank="1" type="list">
      <formula1>$O$174:$O$192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X528"/>
  <sheetViews>
    <sheetView showGridLines="0" view="pageBreakPreview" topLeftCell="A31" zoomScale="75" zoomScaleNormal="75" zoomScaleSheetLayoutView="75" workbookViewId="0">
      <selection activeCell="D123" sqref="D123:G123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(7L)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FG-240-7P7L-01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D1 ชมพู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Black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 t="n"/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IFERROR(VLOOKUP(C170,$C$133:$H$153,2,0),"")</f>
        <v/>
      </c>
      <c r="E170" s="175">
        <f>IFERROR(VLOOKUP(C170,$C$133:$H$153,3,0),"")</f>
        <v/>
      </c>
      <c r="F170" s="353">
        <f>IFERROR(VLOOKUP(C170,$C$133:$I$153,7,0),"")</f>
        <v/>
      </c>
      <c r="G170" s="175">
        <f>IFERROR(VLOOKUP(C170,$C$133:$J$153,8,0),"")</f>
        <v/>
      </c>
      <c r="H170" s="516">
        <f>IFERROR(ROUNDUP(((F170*G170)+(F171*G171))/6400,0),"")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IFERROR(VLOOKUP(C171,$C$133:$H$153,3,0),"")</f>
        <v/>
      </c>
      <c r="F171" s="353">
        <f>IFERROR(VLOOKUP(C171,$C$133:$I$153,7,0),"")</f>
        <v/>
      </c>
      <c r="G171" s="175">
        <f>IFERROR(VLOOKUP(C171,$C$133:$J$153,8,0),"")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14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IFERROR(ROUNDUP(("")/100,0),"")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IFERROR(ROUNDUP(("")/100,0),"")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IFERROR(ROUNDUP(("")/100,0),"")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IFERROR(ROUNDUP(("")/100,0),"")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ชุดล้อแขวนบานตายซ้าย</t>
        </is>
      </c>
      <c r="C181" s="140" t="inlineStr">
        <is>
          <t>Left Hand Pivot Set</t>
        </is>
      </c>
      <c r="D181" s="139" t="inlineStr">
        <is>
          <t>05-006</t>
        </is>
      </c>
      <c r="E181" s="143" t="n"/>
      <c r="F181" s="143" t="inlineStr">
        <is>
          <t>05-006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3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ชุดมือจับล็อค</t>
        </is>
      </c>
      <c r="C184" s="140" t="inlineStr">
        <is>
          <t>Stainless steel mortise lock,handle,cylinder</t>
        </is>
      </c>
      <c r="D184" s="139" t="inlineStr">
        <is>
          <t>00-024 or 00-027</t>
        </is>
      </c>
      <c r="E184" s="143" t="n"/>
      <c r="F184" s="143" t="inlineStr">
        <is>
          <t>00-024 or 00-027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6</v>
      </c>
      <c r="I185" s="130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04-016</t>
        </is>
      </c>
      <c r="E187" s="143" t="n"/>
      <c r="F187" s="143" t="inlineStr">
        <is>
          <t>04-016</t>
        </is>
      </c>
      <c r="G187" s="143" t="inlineStr">
        <is>
          <t>PC</t>
        </is>
      </c>
      <c r="H187" s="143" t="n">
        <v>3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((($I$141*$G$141*2)+($I$143*$G$143*2)+(($I$144*($G$144-1))*2))/1000)*$J$120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สักหลาดบังใบ</t>
        </is>
      </c>
      <c r="C188" s="140" t="inlineStr">
        <is>
          <t>MOHAIR FOR SASH STOP</t>
        </is>
      </c>
      <c r="D188" s="139" t="inlineStr">
        <is>
          <t>02-028</t>
        </is>
      </c>
      <c r="E188" s="143" t="n"/>
      <c r="F188" s="143" t="inlineStr">
        <is>
          <t>02-028</t>
        </is>
      </c>
      <c r="G188" s="143" t="inlineStr">
        <is>
          <t>M</t>
        </is>
      </c>
      <c r="H188" s="652">
        <f>((($I$148*$G$148)+($I$149*$G$149))/1000)*$J$120</f>
        <v/>
      </c>
      <c r="I188" s="653" t="n">
        <v>100</v>
      </c>
      <c r="J188" s="654">
        <f>ROUNDUP((H188)/100,0)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((($I$141*$G$141*2)+($I$143*$G$143*2)+(($I$144*($G$144-1))*2))/1000)*$J$120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สักหลาดเสา</t>
        </is>
      </c>
      <c r="C189" s="140" t="inlineStr">
        <is>
          <t>MOHAIR FOR SASH (Ver)</t>
        </is>
      </c>
      <c r="D189" s="139" t="inlineStr">
        <is>
          <t>02-036</t>
        </is>
      </c>
      <c r="E189" s="143" t="n"/>
      <c r="F189" s="143" t="inlineStr">
        <is>
          <t>02-036</t>
        </is>
      </c>
      <c r="G189" s="143" t="inlineStr">
        <is>
          <t>M</t>
        </is>
      </c>
      <c r="H189" s="652">
        <f>((($I$144*$G$144)+($I$145*$G$145))/1000)*$J$120</f>
        <v/>
      </c>
      <c r="I189" s="653" t="n">
        <v>100</v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39">
        <f>IF($D$129="Standard",O185,IF($D$129="Soumdproof",O186,))</f>
        <v/>
      </c>
      <c r="C190" s="139">
        <f>IF($D$129="Standard",P185,IF($D$129="Soumdproof",P186,))</f>
        <v/>
      </c>
      <c r="D190" s="139">
        <f>IF($D$129="Standard",Q185,IF($D$129="Soumdproof",Q186,))</f>
        <v/>
      </c>
      <c r="E190" s="139">
        <f>IF($D$129="Standard",R185,IF($D$129="Soumdproof",R186,))</f>
        <v/>
      </c>
      <c r="F190" s="143">
        <f>IF($D$129="Standard",S185,IF($D$129="Soumdproof",S186,))</f>
        <v/>
      </c>
      <c r="G190" s="143">
        <f>IF($D$129="Standard",T185,IF($D$129="Soumdproof",T186,))</f>
        <v/>
      </c>
      <c r="H190" s="652">
        <f>IF($D$129="Standard",U185,IF($D$129="Soumdproof",U186,))</f>
        <v/>
      </c>
      <c r="I190" s="653">
        <f>IF($D$129="Standard",V185,IF($D$129="Soumdproof",V186,))</f>
        <v/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IF($D$129="Standard",O187,IF($D$129="Soumdproof",O188,))</f>
        <v/>
      </c>
      <c r="C191" s="139">
        <f>IF($D$129="Standard",P187,IF($D$129="Soumdproof",P188,))</f>
        <v/>
      </c>
      <c r="D191" s="139">
        <f>IF($D$129="Standard",Q187,IF($D$129="Soumdproof",Q188,))</f>
        <v/>
      </c>
      <c r="E191" s="139">
        <f>IF($D$129="Standard",R187,IF($D$129="Soumdproof",R188,))</f>
        <v/>
      </c>
      <c r="F191" s="143">
        <f>IF($D$129="Standard",S187,IF($D$129="Soumdproof",S188,))</f>
        <v/>
      </c>
      <c r="G191" s="143">
        <f>IF($D$129="Standard",T187,IF($D$129="Soumdproof",T188,))</f>
        <v/>
      </c>
      <c r="H191" s="652">
        <f>IF($D$129="Standard",U187,IF($D$129="Soumdproof",U188,))</f>
        <v/>
      </c>
      <c r="I191" s="653">
        <f>IF($D$129="Standard",V187,IF($D$129="Soumdproof",V188,))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296">
        <f>IF($D$127=5,$O$176,IF($D$127=6,$O$177,IF($D$127=8,$O$178,IF($D$127=10,$O$176,IF($D$127=12,$O$176,IF($D$127=14,$O$178,IF($D$127=18,$O$176,IF($D$127=20,$O$177,IF($D$127=22,"")))))))))</f>
        <v/>
      </c>
      <c r="C192" s="296">
        <f>IF($D$127=5,$P$176,IF($D$127=6,$P$177,IF($D$127=8,$P$178,IF($D$127=10,$P$176,IF($D$127=12,$P$176,IF($D$127=14,$P$178,IF($D$127=18,$P$176,IF($D$127=20,$P$177,IF($D$127=22,"")))))))))</f>
        <v/>
      </c>
      <c r="D192" s="296">
        <f>IF($D$127=5,$Q$176,IF($D$127=6,$Q$177,IF($D$127=8,$Q$178,IF($D$127=10,$Q$176,IF($D$127=12,$Q$176,IF($D$127=14,$Q$178,IF($D$127=18,$Q$176,IF($D$127=20,$Q$177,IF($D$127=22,"")))))))))</f>
        <v/>
      </c>
      <c r="E192" s="296">
        <f>IF($D$129=5,R181,IF($D$129=6,R182,IF($D$129=8,R183,IF($D$129=10,R181,IF($D$129=12,R181,IF($D$129=14,R183,IF($D$129=18,R181,IF($D$129=20,R182,IF($D$129=22,"",)))))))))</f>
        <v/>
      </c>
      <c r="F192" s="242">
        <f>IF($D$127=5,$S$176,IF($D$127=6,$S$177,IF($D$127=8,$S$178,IF($D$127=10,$S$176,IF($D$127=12,$S$176,IF($D$127=14,$S$178,IF($D$127=18,$S$176,IF($D$127=20,$S$177,IF($D$127=22,"")))))))))</f>
        <v/>
      </c>
      <c r="G192" s="242">
        <f>IF($D$127=5,$T$176,IF($D$127=6,$T$177,IF($D$127=8,$T$178,IF($D$127=10,$T$176,IF($D$127=12,$T$176,IF($D$127=14,$T$178,IF($D$127=18,$T$176,IF($D$127=20,$T$177,IF($D$127=22,"")))))))))</f>
        <v/>
      </c>
      <c r="H192" s="652">
        <f>IF($D$127=5,$U$176,IF($D$127=6,$U$177,IF($D$127=8,$U$178,IF($D$127=10,$U$176*2,IF($D$127=12,$U$176,IF($D$127=14,$U$178*2,IF($D$127=18,$U$176,IF($D$127=20,$U$177,IF($D$127=22,"")))))))))</f>
        <v/>
      </c>
      <c r="I192" s="653">
        <f>IF($D$127=5,$V$176,IF($D$127=6,$V$177,IF($D$127=8,$V$178,IF($D$127=10,$V$176,IF($D$127=12,$V$176,IF($D$127=14,$V$178,IF($D$127=18,$V$176,IF($D$127=20,$V$177,IF($D$127=22,"")))))))))</f>
        <v/>
      </c>
      <c r="J192" s="655">
        <f>ROUNDUP((H192)/100,0)</f>
        <v/>
      </c>
    </row>
    <row r="193" ht="18" customFormat="1" customHeight="1" s="278">
      <c r="A193" s="201">
        <f>IF(B193="","",+A192+1)</f>
        <v/>
      </c>
      <c r="B193" s="296">
        <f>IF($D$127=5,$O$174,IF($D$127=6,$O$174,IF($D$127=8,$O$176,IF($D$127=10,"",IF($D$127=12,$O$175,IF($D$127=14,"",IF($D$127=18,$O$174,IF($D$127=20,$O$175,IF($D$127=22,"",)))))))))</f>
        <v/>
      </c>
      <c r="C193" s="296">
        <f>IF($D$127=5,$P$174,IF($D$127=6,$P$174,IF($D$127=8,$P$176,IF($D$127=10,"",IF($D$127=12,$P$175,IF($D$127=14,"",IF($D$127=18,$P$174,IF($D$127=20,$P$175,IF($D$127=22,"",)))))))))</f>
        <v/>
      </c>
      <c r="D193" s="296">
        <f>IF($D$127=5,$Q$174,IF($D$127=6,$Q$174,IF($D$127=8,$Q$176,IF($D$127=10,"",IF($D$127=12,$Q$175,IF($D$127=14,"",IF($D$127=18,$Q$174,IF($D$127=20,$Q$175,IF($D$127=22,"",)))))))))</f>
        <v/>
      </c>
      <c r="E193" s="296">
        <f>IF($D$129=5,R179,IF($D$129=6,R179,IF($D$129=8,R181,IF($D$129=10,"",IF($D$129=12,R180,IF($D$129=14,"",IF($D$129=18,R179,IF($D$129=20,R180,IF($D$129=22,"",)))))))))</f>
        <v/>
      </c>
      <c r="F193" s="242">
        <f>IF($D$127=5,$S$174,IF($D$127=6,$S$174,IF($D$127=8,$S$176,IF($D$127=10,"",IF($D$127=12,$S$175,IF($D$127=14,"",IF($D$127=18,$S$174,IF($D$127=20,$S$175,IF($D$127=22,"",)))))))))</f>
        <v/>
      </c>
      <c r="G193" s="242">
        <f>IF($D$127=5,$T$174,IF($D$127=6,$T$174,IF($D$127=8,$T$176,IF($D$127=10,"",IF($D$127=12,$T$175,IF($D$127=14,"",IF($D$127=18,$T$174,IF($D$127=20,$T$175,IF($D$127=22,"",)))))))))</f>
        <v/>
      </c>
      <c r="H193" s="652">
        <f>IF($D$127=5,$U$174,IF($D$127=6,$U$174,IF($D$127=8,$U$176,IF($D$127=10,"",IF($D$127=12,$U$175,IF($D$127=14,"",IF($D$127=18,$U$174,IF($D$127=20,$U$175,IF($D$127=22,"")))))))))</f>
        <v/>
      </c>
      <c r="I193" s="653">
        <f>IF($D$127=5,$V$174,IF($D$127=6,$V$174,IF($D$127=8,$V$176,IF($D$127=10,"",IF($D$127=12,$V$175,IF($D$127=14,"",IF($D$127=18,$V$174,IF($D$127=20,$V$175,IF($D$127=22,"",)))))))))</f>
        <v/>
      </c>
      <c r="J193" s="655">
        <f>ROUNDUP((H193)/100,0)</f>
        <v/>
      </c>
    </row>
    <row r="194" ht="18" customHeight="1" s="344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 t="n"/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LEFT($J$111,11)&amp;"-02"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0" t="n"/>
      <c r="H252" s="109" t="n"/>
      <c r="I252" s="501" t="n"/>
      <c r="J252" s="501" t="n"/>
    </row>
    <row r="253" ht="15.9" customFormat="1" customHeight="1" s="278">
      <c r="A253" s="109" t="n"/>
      <c r="B253" s="278" t="n"/>
      <c r="D253" s="161" t="n"/>
      <c r="E253" s="109" t="n"/>
      <c r="F253" s="109" t="n"/>
      <c r="G253" s="109" t="n"/>
      <c r="H253" s="109" t="n"/>
      <c r="I253" s="501" t="n"/>
      <c r="J253" s="501" t="n"/>
    </row>
    <row r="254" ht="15.9" customFormat="1" customHeight="1" s="278">
      <c r="A254" s="44" t="n"/>
      <c r="B254" s="44" t="n"/>
      <c r="D254" s="84" t="n"/>
      <c r="E254" s="44" t="n"/>
      <c r="F254" s="44" t="n"/>
      <c r="G254" s="109" t="n"/>
      <c r="H254" s="109" t="n"/>
      <c r="I254" s="501" t="n"/>
      <c r="J254" s="501" t="n"/>
    </row>
    <row r="255" ht="15.9" customFormat="1" customHeight="1" s="278">
      <c r="A255" s="40" t="n"/>
      <c r="B255" s="40" t="n"/>
      <c r="C255" s="89" t="inlineStr">
        <is>
          <t xml:space="preserve">                   Door Stop Sill</t>
        </is>
      </c>
      <c r="D255" s="85" t="n"/>
      <c r="E255" s="40" t="n"/>
      <c r="F255" s="32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328" t="inlineStr">
        <is>
          <t xml:space="preserve">                          = Frame Width -60.00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542" t="inlineStr">
        <is>
          <t xml:space="preserve">                          ความกว้าง(วงกบ) - 60.00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6">
        <f>$I$136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7">
        <f>$J$136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87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161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89" t="inlineStr">
        <is>
          <t xml:space="preserve">                   JAMB</t>
        </is>
      </c>
      <c r="D265" s="161" t="n"/>
      <c r="E265" s="109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328" t="inlineStr">
        <is>
          <t xml:space="preserve">                          = FAME HIGHT</t>
        </is>
      </c>
      <c r="D266" s="328" t="n"/>
      <c r="E266" s="328" t="n"/>
      <c r="F266" s="109" t="n"/>
      <c r="G266" s="109" t="n"/>
      <c r="H266" s="109" t="n"/>
      <c r="I266" s="501" t="n"/>
      <c r="J266" s="501" t="n"/>
    </row>
    <row r="267" ht="15.9" customFormat="1" customHeight="1" s="278">
      <c r="A267" s="27" t="n"/>
      <c r="B267" s="278" t="n"/>
      <c r="C267" s="542" t="inlineStr">
        <is>
          <t xml:space="preserve">                          ความสูง (วงกบ)</t>
        </is>
      </c>
      <c r="D267" s="542" t="n"/>
      <c r="E267" s="542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C268" s="656">
        <f>$I$137</f>
        <v/>
      </c>
      <c r="D268" s="161" t="n"/>
      <c r="E268" s="109" t="n"/>
      <c r="F268" s="109" t="n"/>
      <c r="G268" s="278" t="n"/>
      <c r="H268" s="278" t="n"/>
      <c r="J268" s="109" t="n"/>
    </row>
    <row r="269" ht="15.9" customFormat="1" customHeight="1" s="278">
      <c r="A269" s="27" t="n"/>
      <c r="B269" s="278" t="n"/>
      <c r="C269" s="657">
        <f>$J$137+$J$138</f>
        <v/>
      </c>
      <c r="D269" s="161" t="n"/>
      <c r="E269" s="10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D273" s="328" t="n"/>
      <c r="E273" s="328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328" t="n"/>
      <c r="E274" s="328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278" t="n"/>
      <c r="D275" s="161" t="n"/>
      <c r="E275" s="109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89" t="inlineStr">
        <is>
          <t xml:space="preserve">                   Door Stop Jamb</t>
        </is>
      </c>
      <c r="D276" s="162" t="n"/>
      <c r="E276" s="501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328" t="inlineStr">
        <is>
          <t xml:space="preserve">                          = FAME HIGHT - 96</t>
        </is>
      </c>
      <c r="D277" s="328" t="n"/>
      <c r="E277" s="328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542" t="inlineStr">
        <is>
          <t xml:space="preserve">                          ความสูง (วงกบ) - 96</t>
        </is>
      </c>
      <c r="D278" s="542" t="n"/>
      <c r="E278" s="542" t="n"/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6">
        <f>$I$139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657">
        <f>$J$139+$J$140</f>
        <v/>
      </c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6))/7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6))/7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6))/7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$I$146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$J$146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$J$147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n"/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n"/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LEFT($J$111,11)&amp;"-03"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LEFT($J$111,11)&amp;"-04"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68:H169"/>
    <mergeCell ref="I154:J154"/>
    <mergeCell ref="D129:G129"/>
    <mergeCell ref="D123:G123"/>
    <mergeCell ref="C309:E309"/>
    <mergeCell ref="I166:J167"/>
    <mergeCell ref="J123:J124"/>
    <mergeCell ref="A117:J117"/>
    <mergeCell ref="D170:D171"/>
    <mergeCell ref="I156:J156"/>
    <mergeCell ref="A518:J518"/>
    <mergeCell ref="A320:J320"/>
    <mergeCell ref="F331:G331"/>
    <mergeCell ref="H159:H160"/>
    <mergeCell ref="H120:I121"/>
    <mergeCell ref="F334:G334"/>
    <mergeCell ref="F330:G330"/>
    <mergeCell ref="D119:G119"/>
    <mergeCell ref="H126:I127"/>
    <mergeCell ref="I161:J161"/>
    <mergeCell ref="I155:J155"/>
    <mergeCell ref="A6:J6"/>
    <mergeCell ref="D161:D162"/>
    <mergeCell ref="A427:J427"/>
    <mergeCell ref="D168:D169"/>
    <mergeCell ref="A172:J172"/>
    <mergeCell ref="H170:H171"/>
    <mergeCell ref="J120:J121"/>
    <mergeCell ref="I157:J157"/>
    <mergeCell ref="A125:B125"/>
    <mergeCell ref="J126:J127"/>
    <mergeCell ref="D159:D160"/>
    <mergeCell ref="F520:G520"/>
    <mergeCell ref="I159:J160"/>
    <mergeCell ref="D125:G125"/>
    <mergeCell ref="H123:I124"/>
    <mergeCell ref="A213:J213"/>
    <mergeCell ref="D163:D167"/>
  </mergeCells>
  <dataValidations count="4">
    <dataValidation sqref="C206" showDropDown="0" showInputMessage="1" showErrorMessage="1" allowBlank="1" type="list">
      <formula1>$O$174:$O$192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X528"/>
  <sheetViews>
    <sheetView showGridLines="0" view="pageBreakPreview" zoomScale="75" zoomScaleNormal="75" zoomScaleSheetLayoutView="75" workbookViewId="0">
      <selection activeCell="A1" sqref="A1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240-7 Panel (7R)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FG-240-7P7R-01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2900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14</v>
      </c>
      <c r="U133" s="283" t="inlineStr">
        <is>
          <t>(W-185-(113.25 × 6))/7</t>
        </is>
      </c>
      <c r="V133" s="285">
        <f>($J$126-185-(113.25*6))/7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14</v>
      </c>
      <c r="U134" s="143" t="inlineStr">
        <is>
          <t>(W-185-(113.25 × 6))/7</t>
        </is>
      </c>
      <c r="V134" s="144">
        <f>($J$126-185-(113.25*6))/7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14</v>
      </c>
      <c r="U135" s="240" t="inlineStr">
        <is>
          <t>(W-185-(113.25 × 6))/7</t>
        </is>
      </c>
      <c r="V135" s="145">
        <f>($J$126-185-(113.25*6))/7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7</v>
      </c>
      <c r="H141" s="143" t="inlineStr">
        <is>
          <t>45° (W-60-(7+1)×4)/7</t>
        </is>
      </c>
      <c r="I141" s="178">
        <f>($J$126-60-(7+1)*4)/7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7</v>
      </c>
      <c r="H142" s="143" t="inlineStr">
        <is>
          <t>45° (W-60-(7+1)×4)/7</t>
        </is>
      </c>
      <c r="I142" s="178">
        <f>($J$126-60-(7+1)*4)/7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10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B24007-005L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เสากุญแจมือจับ</t>
        </is>
      </c>
      <c r="C145" s="140" t="inlineStr">
        <is>
          <t>SASH (Ver) LOCK HANDLE</t>
        </is>
      </c>
      <c r="D145" s="139" t="inlineStr">
        <is>
          <t>B24007</t>
        </is>
      </c>
      <c r="E145" s="143" t="n">
        <v>1.106</v>
      </c>
      <c r="F145" s="139" t="inlineStr">
        <is>
          <t>B24007-003L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 t="n"/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 t="n"/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44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3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ht="15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25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47">
        <f>IFERROR(VLOOKUP(C170,$C$133:$H$153,2,0),"")</f>
        <v/>
      </c>
      <c r="E170" s="175">
        <f>IFERROR(VLOOKUP(C170,$C$133:$H$153,3,0),"")</f>
        <v/>
      </c>
      <c r="F170" s="353">
        <f>IFERROR(VLOOKUP(C170,$C$133:$I$153,7,0),"")</f>
        <v/>
      </c>
      <c r="G170" s="175">
        <f>IFERROR(VLOOKUP(C170,$C$133:$J$153,8,0),"")</f>
        <v/>
      </c>
      <c r="H170" s="516">
        <f>IFERROR(ROUNDUP(((F170*G170)+(F171*G171))/6400,0),"")</f>
        <v/>
      </c>
      <c r="I170" s="501" t="n"/>
      <c r="J170" s="501" t="n"/>
    </row>
    <row r="171" outlineLevel="1" customFormat="1" s="278" thickBot="1">
      <c r="A171" s="213">
        <f>IF(B171="","",+A170+1)</f>
        <v/>
      </c>
      <c r="B171" s="173">
        <f>B149</f>
        <v/>
      </c>
      <c r="C171" s="173">
        <f>C149</f>
        <v/>
      </c>
      <c r="D171" s="648" t="n"/>
      <c r="E171" s="175">
        <f>IFERROR(VLOOKUP(C171,$C$133:$H$153,3,0),"")</f>
        <v/>
      </c>
      <c r="F171" s="353">
        <f>IFERROR(VLOOKUP(C171,$C$133:$I$153,7,0),"")</f>
        <v/>
      </c>
      <c r="G171" s="175">
        <f>IFERROR(VLOOKUP(C171,$C$133:$J$153,8,0),"")</f>
        <v/>
      </c>
      <c r="H171" s="644" t="n"/>
      <c r="I171" s="501" t="n"/>
      <c r="J171" s="501" t="n"/>
    </row>
    <row r="172" ht="24.9" customFormat="1" customHeight="1" s="278" thickBot="1">
      <c r="A172" s="642" t="inlineStr">
        <is>
          <t>PARTS LIST HARDWARE &amp; ACCESSORIES</t>
        </is>
      </c>
      <c r="B172" s="634" t="n"/>
      <c r="C172" s="634" t="n"/>
      <c r="D172" s="634" t="n"/>
      <c r="E172" s="634" t="n"/>
      <c r="F172" s="634" t="n"/>
      <c r="G172" s="634" t="n"/>
      <c r="H172" s="634" t="n"/>
      <c r="I172" s="634" t="n"/>
      <c r="J172" s="635" t="n"/>
    </row>
    <row r="173" ht="35.1" customFormat="1" customHeight="1" s="278" thickBot="1">
      <c r="A173" s="102" t="inlineStr">
        <is>
          <t>ITEM</t>
        </is>
      </c>
      <c r="B173" s="103" t="inlineStr">
        <is>
          <t>THAI</t>
        </is>
      </c>
      <c r="C173" s="103" t="inlineStr">
        <is>
          <t>DESCRIPTION</t>
        </is>
      </c>
      <c r="D173" s="103" t="inlineStr">
        <is>
          <t>PART NO.</t>
        </is>
      </c>
      <c r="E173" s="103" t="inlineStr">
        <is>
          <t>KG/m</t>
        </is>
      </c>
      <c r="F173" s="104" t="inlineStr">
        <is>
          <t>DRAWING</t>
        </is>
      </c>
      <c r="G173" s="103" t="inlineStr">
        <is>
          <t>PER</t>
        </is>
      </c>
      <c r="H173" s="104" t="inlineStr">
        <is>
          <t>QUANTITY</t>
        </is>
      </c>
      <c r="I173" s="104" t="inlineStr">
        <is>
          <t>Pack QTY</t>
        </is>
      </c>
      <c r="J173" s="115" t="inlineStr">
        <is>
          <t>TOTAL</t>
        </is>
      </c>
      <c r="N173" s="101" t="inlineStr">
        <is>
          <t>Glass size</t>
        </is>
      </c>
      <c r="O173" s="246" t="inlineStr">
        <is>
          <t>THAI</t>
        </is>
      </c>
      <c r="P173" s="246" t="inlineStr">
        <is>
          <t>DESCRIPTION</t>
        </is>
      </c>
      <c r="Q173" s="246" t="inlineStr">
        <is>
          <t>PART NO.</t>
        </is>
      </c>
      <c r="R173" s="246" t="inlineStr">
        <is>
          <t>KG/m</t>
        </is>
      </c>
      <c r="S173" s="246" t="inlineStr">
        <is>
          <t>DRAWING</t>
        </is>
      </c>
      <c r="T173" s="246" t="inlineStr">
        <is>
          <t>PER</t>
        </is>
      </c>
      <c r="U173" s="246" t="inlineStr">
        <is>
          <t>QUANTITY</t>
        </is>
      </c>
      <c r="V173" s="246" t="inlineStr">
        <is>
          <t>Pack QTY</t>
        </is>
      </c>
      <c r="W173" s="246" t="inlineStr">
        <is>
          <t>TOTAL</t>
        </is>
      </c>
    </row>
    <row r="174" ht="18" customFormat="1" customHeight="1" s="278">
      <c r="A174" s="200">
        <f>IF(B174="","",1)</f>
        <v/>
      </c>
      <c r="B174" s="140" t="inlineStr">
        <is>
          <t>หมอนรองกระจก</t>
        </is>
      </c>
      <c r="C174" s="140" t="inlineStr">
        <is>
          <t>SETTING BLOCK</t>
        </is>
      </c>
      <c r="D174" s="139" t="inlineStr">
        <is>
          <t>02-037</t>
        </is>
      </c>
      <c r="E174" s="143" t="n"/>
      <c r="F174" s="143" t="inlineStr">
        <is>
          <t>02-037</t>
        </is>
      </c>
      <c r="G174" s="143" t="inlineStr">
        <is>
          <t>PC</t>
        </is>
      </c>
      <c r="H174" s="143" t="n">
        <v>14</v>
      </c>
      <c r="I174" s="130" t="n"/>
      <c r="J174" s="131">
        <f>$J$120*H174</f>
        <v/>
      </c>
      <c r="N174" s="101" t="inlineStr">
        <is>
          <t>5,6,18</t>
        </is>
      </c>
      <c r="O174" s="280" t="inlineStr">
        <is>
          <t>5,6,18 mm ยางรองกระจก</t>
        </is>
      </c>
      <c r="P174" s="415" t="inlineStr">
        <is>
          <t>5,6,18 mm CAPTIVE WEDGE</t>
        </is>
      </c>
      <c r="Q174" s="280" t="inlineStr">
        <is>
          <t>02-022</t>
        </is>
      </c>
      <c r="R174" s="213" t="n"/>
      <c r="S174" s="213" t="inlineStr">
        <is>
          <t>02-022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IFERROR(ROUNDUP(("")/100,0),"")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ประเก็นเฟรมบน</t>
        </is>
      </c>
      <c r="C175" s="140" t="inlineStr">
        <is>
          <t>FRAME SEAL BI-FOLD HEAD (L/R)</t>
        </is>
      </c>
      <c r="D175" s="139" t="inlineStr">
        <is>
          <t>02-015</t>
        </is>
      </c>
      <c r="E175" s="143" t="n"/>
      <c r="F175" s="143" t="inlineStr">
        <is>
          <t>02-015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12,20</t>
        </is>
      </c>
      <c r="O175" s="280" t="inlineStr">
        <is>
          <t>12,20 mm ยางรองกระจก</t>
        </is>
      </c>
      <c r="P175" s="415" t="inlineStr">
        <is>
          <t>12,20 mm CAPTIVE WEDGE</t>
        </is>
      </c>
      <c r="Q175" s="280" t="inlineStr">
        <is>
          <t>02-032</t>
        </is>
      </c>
      <c r="R175" s="213" t="n"/>
      <c r="S175" s="213" t="inlineStr">
        <is>
          <t>02-032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IFERROR(ROUNDUP(("")/100,0),"")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ประเก็นเฟรมล่าง</t>
        </is>
      </c>
      <c r="C176" s="140" t="inlineStr">
        <is>
          <t>FRAME SEAL BI-FOLD SILL (L/R)</t>
        </is>
      </c>
      <c r="D176" s="139" t="inlineStr">
        <is>
          <t>02-016</t>
        </is>
      </c>
      <c r="E176" s="143" t="n"/>
      <c r="F176" s="143" t="inlineStr">
        <is>
          <t>02-016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5,8,10,12,18</t>
        </is>
      </c>
      <c r="O176" s="415" t="inlineStr">
        <is>
          <t>5,8,10,12,18 mmยางอัดกระจก</t>
        </is>
      </c>
      <c r="P176" s="415" t="inlineStr">
        <is>
          <t>5,8,10,12,18 mm ROLL IN WEDGE</t>
        </is>
      </c>
      <c r="Q176" s="280" t="inlineStr">
        <is>
          <t>02-033</t>
        </is>
      </c>
      <c r="R176" s="213" t="n"/>
      <c r="S176" s="213" t="inlineStr">
        <is>
          <t>02-033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IFERROR(ROUNDUP(("")/100,0),"")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38</t>
        </is>
      </c>
      <c r="C177" s="140" t="inlineStr">
        <is>
          <t>#8x38 mm. SS PH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8</v>
      </c>
      <c r="I177" s="130" t="n"/>
      <c r="J177" s="131">
        <f>$J$120*H177</f>
        <v/>
      </c>
      <c r="N177" s="101" t="inlineStr">
        <is>
          <t>6,20</t>
        </is>
      </c>
      <c r="O177" s="415" t="inlineStr">
        <is>
          <t>6,20 mm ยางอัดกระจก</t>
        </is>
      </c>
      <c r="P177" s="415" t="inlineStr">
        <is>
          <t>6,20 mm ROLL IN WEDGE</t>
        </is>
      </c>
      <c r="Q177" s="280" t="inlineStr">
        <is>
          <t>02-034</t>
        </is>
      </c>
      <c r="R177" s="213" t="n"/>
      <c r="S177" s="213" t="inlineStr">
        <is>
          <t>02-034</t>
        </is>
      </c>
      <c r="T177" s="213" t="inlineStr">
        <is>
          <t>M</t>
        </is>
      </c>
      <c r="U177" s="650">
        <f>((($I$141*$G$141)+($I$142*$G$142)+($I$143*$G$143)+($I$144*$G$144)+($I$145*$G$145))/1000)*$J$120</f>
        <v/>
      </c>
      <c r="V177" s="650" t="n">
        <v>100</v>
      </c>
      <c r="W177" s="651">
        <f>IFERROR(ROUNDUP(("")/100,0),"")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12</t>
        </is>
      </c>
      <c r="C178" s="140" t="inlineStr">
        <is>
          <t>#8x12 mm. CSK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110</v>
      </c>
      <c r="I178" s="130" t="n"/>
      <c r="J178" s="131">
        <f>$J$120*H178</f>
        <v/>
      </c>
      <c r="N178" s="101" t="inlineStr">
        <is>
          <t>8,14</t>
        </is>
      </c>
      <c r="O178" s="415" t="inlineStr">
        <is>
          <t>8,14 mm ยางอัดกระจก</t>
        </is>
      </c>
      <c r="P178" s="415" t="inlineStr">
        <is>
          <t>8,14 mm ROLL IN WEDGE</t>
        </is>
      </c>
      <c r="Q178" s="280" t="inlineStr">
        <is>
          <t>02-045</t>
        </is>
      </c>
      <c r="R178" s="213" t="n"/>
      <c r="S178" s="213" t="inlineStr">
        <is>
          <t>02-045</t>
        </is>
      </c>
      <c r="T178" s="213" t="inlineStr">
        <is>
          <t>M</t>
        </is>
      </c>
      <c r="U178" s="650">
        <f>((($I$141*$G$141)+($I$142*$G$142)+($I$143*$G$143)+($I$144*$G$144)+($I$145*$G$145))/1000)*$J$120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ชุดบานพับระดับเดียวกัน</t>
        </is>
      </c>
      <c r="C179" s="140" t="inlineStr">
        <is>
          <t>Standard Hinge Handle Set</t>
        </is>
      </c>
      <c r="D179" s="139" t="inlineStr">
        <is>
          <t>05-004</t>
        </is>
      </c>
      <c r="E179" s="143" t="n"/>
      <c r="F179" s="143" t="inlineStr">
        <is>
          <t>05-004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ชุดบานพับต่างระดับมีมือจับ</t>
        </is>
      </c>
      <c r="C180" s="140" t="inlineStr">
        <is>
          <t>offset Hinge Handle Set</t>
        </is>
      </c>
      <c r="D180" s="139" t="inlineStr">
        <is>
          <t>05-005</t>
        </is>
      </c>
      <c r="E180" s="143" t="n"/>
      <c r="F180" s="143" t="inlineStr">
        <is>
          <t>05-005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3</v>
      </c>
      <c r="I182" s="144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278" t="n"/>
      <c r="O183" s="278" t="n"/>
      <c r="P183" s="278" t="n"/>
      <c r="Q183" s="442" t="n"/>
      <c r="R183" s="442" t="n"/>
      <c r="S183" s="442" t="n"/>
      <c r="T183" s="109" t="n"/>
      <c r="U183" s="109" t="n"/>
      <c r="V183" s="109" t="n"/>
      <c r="W183" s="278" t="n"/>
    </row>
    <row r="184" ht="18" customFormat="1" customHeight="1" s="278">
      <c r="A184" s="201">
        <f>IF(B184="","",+A183+1)</f>
        <v/>
      </c>
      <c r="B184" s="140" t="inlineStr">
        <is>
          <t>ชุดมือจับล็อค</t>
        </is>
      </c>
      <c r="C184" s="140" t="inlineStr">
        <is>
          <t>Stainless steel mortise lock,handle,cylinder</t>
        </is>
      </c>
      <c r="D184" s="139" t="inlineStr">
        <is>
          <t>00-024 or 00-027</t>
        </is>
      </c>
      <c r="E184" s="143" t="n"/>
      <c r="F184" s="143" t="inlineStr">
        <is>
          <t>00-024 or 00-027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  <c r="N184" s="101" t="inlineStr">
        <is>
          <t>FRAME SEAL</t>
        </is>
      </c>
      <c r="O184" s="246" t="inlineStr">
        <is>
          <t>THAI</t>
        </is>
      </c>
      <c r="P184" s="246" t="inlineStr">
        <is>
          <t>DESCRIPTION</t>
        </is>
      </c>
      <c r="Q184" s="246" t="inlineStr">
        <is>
          <t>PART NO.</t>
        </is>
      </c>
      <c r="R184" s="246" t="inlineStr">
        <is>
          <t>KG/m</t>
        </is>
      </c>
      <c r="S184" s="246" t="inlineStr">
        <is>
          <t>DRAWING</t>
        </is>
      </c>
      <c r="T184" s="246" t="inlineStr">
        <is>
          <t>PER</t>
        </is>
      </c>
      <c r="U184" s="246" t="inlineStr">
        <is>
          <t>QUANTITY</t>
        </is>
      </c>
      <c r="V184" s="246" t="inlineStr">
        <is>
          <t>Pack QTY</t>
        </is>
      </c>
      <c r="W184" s="246" t="inlineStr">
        <is>
          <t>TOTAL</t>
        </is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6</v>
      </c>
      <c r="I185" s="130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ยางเฟรมกันน้ำ (ธรรมดา)</t>
        </is>
      </c>
      <c r="P185" s="415" t="inlineStr">
        <is>
          <t>FRAME SEAL (Standard)</t>
        </is>
      </c>
      <c r="Q185" s="280" t="inlineStr">
        <is>
          <t>02-026</t>
        </is>
      </c>
      <c r="R185" s="213" t="n"/>
      <c r="S185" s="213" t="inlineStr">
        <is>
          <t>02-026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300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30" t="n"/>
      <c r="J186" s="131">
        <f>$J$120*H186</f>
        <v/>
      </c>
      <c r="N186" s="101" t="inlineStr">
        <is>
          <t>กันเสียง</t>
        </is>
      </c>
      <c r="O186" s="415" t="inlineStr">
        <is>
          <t>ยางเฟรมกันน้ำ (กันเสียง)</t>
        </is>
      </c>
      <c r="P186" s="415" t="inlineStr">
        <is>
          <t>FRAME SEAL (Soumdproof)</t>
        </is>
      </c>
      <c r="Q186" s="280" t="inlineStr">
        <is>
          <t>02-025</t>
        </is>
      </c>
      <c r="R186" s="213" t="n"/>
      <c r="S186" s="213" t="inlineStr">
        <is>
          <t>02-025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04-016</t>
        </is>
      </c>
      <c r="E187" s="143" t="n"/>
      <c r="F187" s="143" t="inlineStr">
        <is>
          <t>04-016</t>
        </is>
      </c>
      <c r="G187" s="143" t="inlineStr">
        <is>
          <t>PC</t>
        </is>
      </c>
      <c r="H187" s="143" t="n">
        <v>3</v>
      </c>
      <c r="I187" s="130" t="n"/>
      <c r="J187" s="131">
        <f>$J$120*H187</f>
        <v/>
      </c>
      <c r="N187" s="101" t="inlineStr">
        <is>
          <t>ธรรมดา</t>
        </is>
      </c>
      <c r="O187" s="415" t="inlineStr">
        <is>
          <t>ยางแซชกันน้ำ (ธรรมดา)</t>
        </is>
      </c>
      <c r="P187" s="415" t="inlineStr">
        <is>
          <t>SASH SEAL FOAM (Standard)</t>
        </is>
      </c>
      <c r="Q187" s="280" t="inlineStr">
        <is>
          <t>02-031</t>
        </is>
      </c>
      <c r="R187" s="213" t="n"/>
      <c r="S187" s="213" t="inlineStr">
        <is>
          <t>02-031</t>
        </is>
      </c>
      <c r="T187" s="213" t="inlineStr">
        <is>
          <t>M</t>
        </is>
      </c>
      <c r="U187" s="650">
        <f>((($I$141*$G$141*2)+($I$143*$G$143*2)+(($I$144*($G$144-1))*2))/1000)*$J$120</f>
        <v/>
      </c>
      <c r="V187" s="650" t="n">
        <v>350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สักหลาดบังใบ</t>
        </is>
      </c>
      <c r="C188" s="140" t="inlineStr">
        <is>
          <t>MOHAIR FOR SASH STOP</t>
        </is>
      </c>
      <c r="D188" s="139" t="inlineStr">
        <is>
          <t>02-028</t>
        </is>
      </c>
      <c r="E188" s="143" t="n"/>
      <c r="F188" s="143" t="inlineStr">
        <is>
          <t>02-028</t>
        </is>
      </c>
      <c r="G188" s="143" t="inlineStr">
        <is>
          <t>M</t>
        </is>
      </c>
      <c r="H188" s="652">
        <f>((($I$148*$G$148)+($I$149*$G$149))/1000)*$J$120</f>
        <v/>
      </c>
      <c r="I188" s="653" t="n">
        <v>100</v>
      </c>
      <c r="J188" s="654">
        <f>ROUNDUP((H188)/100,0)</f>
        <v/>
      </c>
      <c r="N188" s="101" t="inlineStr">
        <is>
          <t>กันเสียง</t>
        </is>
      </c>
      <c r="O188" s="415" t="inlineStr">
        <is>
          <t>ยางแซชกันน้ำ (กันเสียง)</t>
        </is>
      </c>
      <c r="P188" s="415" t="inlineStr">
        <is>
          <t>SASH SEAL FOAM (Soumdproof)</t>
        </is>
      </c>
      <c r="Q188" s="280" t="inlineStr">
        <is>
          <t>02-035</t>
        </is>
      </c>
      <c r="R188" s="213" t="n"/>
      <c r="S188" s="213" t="inlineStr">
        <is>
          <t>02-035</t>
        </is>
      </c>
      <c r="T188" s="213" t="inlineStr">
        <is>
          <t>M</t>
        </is>
      </c>
      <c r="U188" s="650">
        <f>((($I$141*$G$141*2)+($I$143*$G$143*2)+(($I$144*($G$144-1))*2))/1000)*$J$120</f>
        <v/>
      </c>
      <c r="V188" s="650" t="n">
        <v>100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สักหลาดเสา</t>
        </is>
      </c>
      <c r="C189" s="140" t="inlineStr">
        <is>
          <t>MOHAIR FOR SASH (Ver)</t>
        </is>
      </c>
      <c r="D189" s="139" t="inlineStr">
        <is>
          <t>02-036</t>
        </is>
      </c>
      <c r="E189" s="143" t="n"/>
      <c r="F189" s="143" t="inlineStr">
        <is>
          <t>02-036</t>
        </is>
      </c>
      <c r="G189" s="143" t="inlineStr">
        <is>
          <t>M</t>
        </is>
      </c>
      <c r="H189" s="652">
        <f>((($I$144*$G$144)+($I$145*$G$145))/1000)*$J$120</f>
        <v/>
      </c>
      <c r="I189" s="653" t="n">
        <v>100</v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39">
        <f>IF($D$129="Standard",O185,IF($D$129="Soumdproof",O186,))</f>
        <v/>
      </c>
      <c r="C190" s="139">
        <f>IF($D$129="Standard",P185,IF($D$129="Soumdproof",P186,))</f>
        <v/>
      </c>
      <c r="D190" s="139">
        <f>IF($D$129="Standard",Q185,IF($D$129="Soumdproof",Q186,))</f>
        <v/>
      </c>
      <c r="E190" s="139">
        <f>IF($D$129="Standard",R185,IF($D$129="Soumdproof",R186,))</f>
        <v/>
      </c>
      <c r="F190" s="143">
        <f>IF($D$129="Standard",S185,IF($D$129="Soumdproof",S186,))</f>
        <v/>
      </c>
      <c r="G190" s="143">
        <f>IF($D$129="Standard",T185,IF($D$129="Soumdproof",T186,))</f>
        <v/>
      </c>
      <c r="H190" s="652">
        <f>IF($D$129="Standard",U185,IF($D$129="Soumdproof",U186,))</f>
        <v/>
      </c>
      <c r="I190" s="653">
        <f>IF($D$129="Standard",V185,IF($D$129="Soumdproof",V186,))</f>
        <v/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IF($D$129="Standard",O187,IF($D$129="Soumdproof",O188,))</f>
        <v/>
      </c>
      <c r="C191" s="139">
        <f>IF($D$129="Standard",P187,IF($D$129="Soumdproof",P188,))</f>
        <v/>
      </c>
      <c r="D191" s="139">
        <f>IF($D$129="Standard",Q187,IF($D$129="Soumdproof",Q188,))</f>
        <v/>
      </c>
      <c r="E191" s="139">
        <f>IF($D$129="Standard",R187,IF($D$129="Soumdproof",R188,))</f>
        <v/>
      </c>
      <c r="F191" s="143">
        <f>IF($D$129="Standard",S187,IF($D$129="Soumdproof",S188,))</f>
        <v/>
      </c>
      <c r="G191" s="143">
        <f>IF($D$129="Standard",T187,IF($D$129="Soumdproof",T188,))</f>
        <v/>
      </c>
      <c r="H191" s="652">
        <f>IF($D$129="Standard",U187,IF($D$129="Soumdproof",U188,))</f>
        <v/>
      </c>
      <c r="I191" s="653">
        <f>IF($D$129="Standard",V187,IF($D$129="Soumdproof",V188,))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296">
        <f>IF($D$127=5,$O$176,IF($D$127=6,$O$177,IF($D$127=8,$O$178,IF($D$127=10,$O$176,IF($D$127=12,$O$176,IF($D$127=14,$O$178,IF($D$127=18,$O$176,IF($D$127=20,$O$177,IF($D$127=22,"")))))))))</f>
        <v/>
      </c>
      <c r="C192" s="296">
        <f>IF($D$127=5,$P$176,IF($D$127=6,$P$177,IF($D$127=8,$P$178,IF($D$127=10,$P$176,IF($D$127=12,$P$176,IF($D$127=14,$P$178,IF($D$127=18,$P$176,IF($D$127=20,$P$177,IF($D$127=22,"")))))))))</f>
        <v/>
      </c>
      <c r="D192" s="296">
        <f>IF($D$127=5,$Q$176,IF($D$127=6,$Q$177,IF($D$127=8,$Q$178,IF($D$127=10,$Q$176,IF($D$127=12,$Q$176,IF($D$127=14,$Q$178,IF($D$127=18,$Q$176,IF($D$127=20,$Q$177,IF($D$127=22,"")))))))))</f>
        <v/>
      </c>
      <c r="E192" s="296">
        <f>IF($D$129=5,R181,IF($D$129=6,R182,IF($D$129=8,R183,IF($D$129=10,R181,IF($D$129=12,R181,IF($D$129=14,R183,IF($D$129=18,R181,IF($D$129=20,R182,IF($D$129=22,"",)))))))))</f>
        <v/>
      </c>
      <c r="F192" s="242">
        <f>IF($D$127=5,$S$176,IF($D$127=6,$S$177,IF($D$127=8,$S$178,IF($D$127=10,$S$176,IF($D$127=12,$S$176,IF($D$127=14,$S$178,IF($D$127=18,$S$176,IF($D$127=20,$S$177,IF($D$127=22,"")))))))))</f>
        <v/>
      </c>
      <c r="G192" s="242">
        <f>IF($D$127=5,$T$176,IF($D$127=6,$T$177,IF($D$127=8,$T$178,IF($D$127=10,$T$176,IF($D$127=12,$T$176,IF($D$127=14,$T$178,IF($D$127=18,$T$176,IF($D$127=20,$T$177,IF($D$127=22,"")))))))))</f>
        <v/>
      </c>
      <c r="H192" s="652">
        <f>IF($D$127=5,$U$176,IF($D$127=6,$U$177,IF($D$127=8,$U$178,IF($D$127=10,$U$176*2,IF($D$127=12,$U$176,IF($D$127=14,$U$178*2,IF($D$127=18,$U$176,IF($D$127=20,$U$177,IF($D$127=22,"")))))))))</f>
        <v/>
      </c>
      <c r="I192" s="653">
        <f>IF($D$127=5,$V$176,IF($D$127=6,$V$177,IF($D$127=8,$V$178,IF($D$127=10,$V$176,IF($D$127=12,$V$176,IF($D$127=14,$V$178,IF($D$127=18,$V$176,IF($D$127=20,$V$177,IF($D$127=22,"")))))))))</f>
        <v/>
      </c>
      <c r="J192" s="655">
        <f>ROUNDUP((H192)/100,0)</f>
        <v/>
      </c>
    </row>
    <row r="193" ht="18" customFormat="1" customHeight="1" s="278">
      <c r="A193" s="201">
        <f>IF(B193="","",+A192+1)</f>
        <v/>
      </c>
      <c r="B193" s="296">
        <f>IF($D$127=5,$O$174,IF($D$127=6,$O$174,IF($D$127=8,$O$176,IF($D$127=10,"",IF($D$127=12,$O$175,IF($D$127=14,"",IF($D$127=18,$O$174,IF($D$127=20,$O$175,IF($D$127=22,"",)))))))))</f>
        <v/>
      </c>
      <c r="C193" s="296">
        <f>IF($D$127=5,$P$174,IF($D$127=6,$P$174,IF($D$127=8,$P$176,IF($D$127=10,"",IF($D$127=12,$P$175,IF($D$127=14,"",IF($D$127=18,$P$174,IF($D$127=20,$P$175,IF($D$127=22,"",)))))))))</f>
        <v/>
      </c>
      <c r="D193" s="296">
        <f>IF($D$127=5,$Q$174,IF($D$127=6,$Q$174,IF($D$127=8,$Q$176,IF($D$127=10,"",IF($D$127=12,$Q$175,IF($D$127=14,"",IF($D$127=18,$Q$174,IF($D$127=20,$Q$175,IF($D$127=22,"",)))))))))</f>
        <v/>
      </c>
      <c r="E193" s="296">
        <f>IF($D$129=5,R179,IF($D$129=6,R179,IF($D$129=8,R181,IF($D$129=10,"",IF($D$129=12,R180,IF($D$129=14,"",IF($D$129=18,R179,IF($D$129=20,R180,IF($D$129=22,"",)))))))))</f>
        <v/>
      </c>
      <c r="F193" s="242">
        <f>IF($D$127=5,$S$174,IF($D$127=6,$S$174,IF($D$127=8,$S$176,IF($D$127=10,"",IF($D$127=12,$S$175,IF($D$127=14,"",IF($D$127=18,$S$174,IF($D$127=20,$S$175,IF($D$127=22,"",)))))))))</f>
        <v/>
      </c>
      <c r="G193" s="242">
        <f>IF($D$127=5,$T$174,IF($D$127=6,$T$174,IF($D$127=8,$T$176,IF($D$127=10,"",IF($D$127=12,$T$175,IF($D$127=14,"",IF($D$127=18,$T$174,IF($D$127=20,$T$175,IF($D$127=22,"",)))))))))</f>
        <v/>
      </c>
      <c r="H193" s="652">
        <f>IF($D$127=5,$U$174,IF($D$127=6,$U$174,IF($D$127=8,$U$176,IF($D$127=10,"",IF($D$127=12,$U$175,IF($D$127=14,"",IF($D$127=18,$U$174,IF($D$127=20,$U$175,IF($D$127=22,"")))))))))</f>
        <v/>
      </c>
      <c r="I193" s="653">
        <f>IF($D$127=5,$V$174,IF($D$127=6,$V$174,IF($D$127=8,$V$176,IF($D$127=10,"",IF($D$127=12,$V$175,IF($D$127=14,"",IF($D$127=18,$V$174,IF($D$127=20,$V$175,IF($D$127=22,"",)))))))))</f>
        <v/>
      </c>
      <c r="J193" s="655">
        <f>ROUNDUP((H193)/100,0)</f>
        <v/>
      </c>
    </row>
    <row r="194" ht="18" customHeight="1" s="344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 t="n"/>
      <c r="N194" s="278" t="n"/>
      <c r="O194" s="278" t="n"/>
      <c r="P194" s="278" t="n"/>
      <c r="Q194" s="278" t="n"/>
      <c r="R194" s="278" t="n"/>
      <c r="S194" s="278" t="n"/>
      <c r="T194" s="278" t="n"/>
      <c r="U194" s="278" t="n"/>
      <c r="V194" s="278" t="n"/>
      <c r="W194" s="278" t="n"/>
      <c r="X194" s="278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IF(B205="","",+""+1)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LEFT($J$111,11)&amp;"-02"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0" t="n"/>
      <c r="H252" s="109" t="n"/>
      <c r="I252" s="501" t="n"/>
      <c r="J252" s="501" t="n"/>
    </row>
    <row r="253" ht="15.9" customFormat="1" customHeight="1" s="278">
      <c r="A253" s="109" t="n"/>
      <c r="B253" s="278" t="n"/>
      <c r="D253" s="161" t="n"/>
      <c r="E253" s="109" t="n"/>
      <c r="F253" s="109" t="n"/>
      <c r="G253" s="109" t="n"/>
      <c r="H253" s="109" t="n"/>
      <c r="I253" s="501" t="n"/>
      <c r="J253" s="501" t="n"/>
    </row>
    <row r="254" ht="15.9" customFormat="1" customHeight="1" s="278">
      <c r="A254" s="44" t="n"/>
      <c r="B254" s="44" t="n"/>
      <c r="D254" s="84" t="n"/>
      <c r="E254" s="44" t="n"/>
      <c r="F254" s="44" t="n"/>
      <c r="G254" s="109" t="n"/>
      <c r="H254" s="109" t="n"/>
      <c r="I254" s="501" t="n"/>
      <c r="J254" s="501" t="n"/>
    </row>
    <row r="255" ht="15.9" customFormat="1" customHeight="1" s="278">
      <c r="A255" s="40" t="n"/>
      <c r="B255" s="40" t="n"/>
      <c r="C255" s="89" t="inlineStr">
        <is>
          <t xml:space="preserve">                   Door Stop Sill</t>
        </is>
      </c>
      <c r="D255" s="85" t="n"/>
      <c r="E255" s="40" t="n"/>
      <c r="F255" s="32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328" t="inlineStr">
        <is>
          <t xml:space="preserve">                          = Frame Width -60.00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542" t="inlineStr">
        <is>
          <t xml:space="preserve">                          ความกว้าง(วงกบ) - 60.00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6">
        <f>$I$136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7">
        <f>$J$136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87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161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278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89" t="inlineStr">
        <is>
          <t xml:space="preserve">                   JAMB</t>
        </is>
      </c>
      <c r="D265" s="161" t="n"/>
      <c r="E265" s="109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328" t="inlineStr">
        <is>
          <t xml:space="preserve">                          = FAME HIGHT</t>
        </is>
      </c>
      <c r="D266" s="328" t="n"/>
      <c r="E266" s="328" t="n"/>
      <c r="F266" s="109" t="n"/>
      <c r="G266" s="109" t="n"/>
      <c r="H266" s="109" t="n"/>
      <c r="I266" s="501" t="n"/>
      <c r="J266" s="501" t="n"/>
    </row>
    <row r="267" ht="15.9" customFormat="1" customHeight="1" s="278">
      <c r="A267" s="27" t="n"/>
      <c r="B267" s="278" t="n"/>
      <c r="C267" s="542" t="inlineStr">
        <is>
          <t xml:space="preserve">                          ความสูง (วงกบ)</t>
        </is>
      </c>
      <c r="D267" s="542" t="n"/>
      <c r="E267" s="542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C268" s="656">
        <f>$I$137</f>
        <v/>
      </c>
      <c r="D268" s="161" t="n"/>
      <c r="E268" s="109" t="n"/>
      <c r="F268" s="109" t="n"/>
      <c r="G268" s="278" t="n"/>
      <c r="H268" s="278" t="n"/>
      <c r="J268" s="109" t="n"/>
    </row>
    <row r="269" ht="15.9" customFormat="1" customHeight="1" s="278">
      <c r="A269" s="27" t="n"/>
      <c r="B269" s="278" t="n"/>
      <c r="C269" s="657">
        <f>$J$137+$J$138</f>
        <v/>
      </c>
      <c r="D269" s="161" t="n"/>
      <c r="E269" s="10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D273" s="328" t="n"/>
      <c r="E273" s="328" t="n"/>
      <c r="F273" s="109" t="n"/>
      <c r="G273" s="109" t="n"/>
      <c r="H273" s="109" t="n"/>
      <c r="J273" s="109" t="n"/>
    </row>
    <row r="274" ht="15.9" customFormat="1" customHeight="1" s="278">
      <c r="A274" s="27" t="n"/>
      <c r="B274" s="278" t="n"/>
      <c r="D274" s="328" t="n"/>
      <c r="E274" s="328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278" t="n"/>
      <c r="D275" s="161" t="n"/>
      <c r="E275" s="109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89" t="inlineStr">
        <is>
          <t xml:space="preserve">                   Door Stop Jamb</t>
        </is>
      </c>
      <c r="D276" s="162" t="n"/>
      <c r="E276" s="501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328" t="inlineStr">
        <is>
          <t xml:space="preserve">                          = FAME HIGHT - 96</t>
        </is>
      </c>
      <c r="D277" s="328" t="n"/>
      <c r="E277" s="328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542" t="inlineStr">
        <is>
          <t xml:space="preserve">                          ความสูง (วงกบ) - 96</t>
        </is>
      </c>
      <c r="D278" s="542" t="n"/>
      <c r="E278" s="542" t="n"/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6">
        <f>$I$139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657">
        <f>$J$139+$J$140</f>
        <v/>
      </c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6))/7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6))/7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6))/7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6))/7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$I$146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$J$146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$J$147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n"/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n"/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LEFT($J$111,11)&amp;"-03"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LEFT($J$111,11)&amp;"-04"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66" t="n"/>
      <c r="I514" s="278" t="n"/>
      <c r="J514" s="10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6)/7)-13</t>
        </is>
      </c>
      <c r="I520" s="124">
        <f>(($J$126-185-(113.25*6))/7)-13</f>
        <v/>
      </c>
      <c r="J520" s="151">
        <f>$J$120*7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LEFT($J$111,11)&amp;"-05"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D127:G127"/>
    <mergeCell ref="I168:J168"/>
    <mergeCell ref="H163:H167"/>
    <mergeCell ref="A131:J131"/>
    <mergeCell ref="D121:G121"/>
    <mergeCell ref="H161:H162"/>
    <mergeCell ref="H168:H169"/>
    <mergeCell ref="I154:J154"/>
    <mergeCell ref="D129:G129"/>
    <mergeCell ref="D123:G123"/>
    <mergeCell ref="C309:E309"/>
    <mergeCell ref="I166:J167"/>
    <mergeCell ref="J123:J124"/>
    <mergeCell ref="A117:J117"/>
    <mergeCell ref="D170:D171"/>
    <mergeCell ref="I156:J156"/>
    <mergeCell ref="A518:J518"/>
    <mergeCell ref="A320:J320"/>
    <mergeCell ref="F331:G331"/>
    <mergeCell ref="H159:H160"/>
    <mergeCell ref="H120:I121"/>
    <mergeCell ref="F334:G334"/>
    <mergeCell ref="F330:G330"/>
    <mergeCell ref="D119:G119"/>
    <mergeCell ref="H126:I127"/>
    <mergeCell ref="I161:J161"/>
    <mergeCell ref="I155:J155"/>
    <mergeCell ref="A6:J6"/>
    <mergeCell ref="D161:D162"/>
    <mergeCell ref="A427:J427"/>
    <mergeCell ref="D168:D169"/>
    <mergeCell ref="A172:J172"/>
    <mergeCell ref="H170:H171"/>
    <mergeCell ref="J120:J121"/>
    <mergeCell ref="I157:J157"/>
    <mergeCell ref="A125:B125"/>
    <mergeCell ref="J126:J127"/>
    <mergeCell ref="D159:D160"/>
    <mergeCell ref="F520:G520"/>
    <mergeCell ref="I159:J160"/>
    <mergeCell ref="D125:G125"/>
    <mergeCell ref="H123:I124"/>
    <mergeCell ref="A213:J213"/>
    <mergeCell ref="D163:D167"/>
  </mergeCells>
  <dataValidations count="4">
    <dataValidation sqref="D129:G129" showDropDown="0" showInputMessage="1" showErrorMessage="1" allowBlank="1" type="list">
      <formula1>$O$119</formula1>
    </dataValidation>
    <dataValidation sqref="D127:G127" showDropDown="0" showInputMessage="1" showErrorMessage="1" allowBlank="1" type="list">
      <formula1>$N$119:$N$127</formula1>
    </dataValidation>
    <dataValidation sqref="D123:G123" showDropDown="0" showInputMessage="1" showErrorMessage="1" allowBlank="1" type="list">
      <formula1>$P$118:$P$127</formula1>
    </dataValidation>
    <dataValidation sqref="C206" showDropDown="0" showInputMessage="1" showErrorMessage="1" allowBlank="1" type="list">
      <formula1>$O$174:$O$192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X526"/>
  <sheetViews>
    <sheetView showGridLines="0" view="pageBreakPreview" topLeftCell="A121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240-8 Panel (8R)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FG-240-8P8R-01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2400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6300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P128" s="278" t="inlineStr">
        <is>
          <t>-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5-6-8mm คิ้วตบกระจกแนวนอน</t>
        </is>
      </c>
      <c r="P133" s="281" t="inlineStr">
        <is>
          <t>5-6-8mm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16</v>
      </c>
      <c r="U133" s="283" t="inlineStr">
        <is>
          <t>(W-185-(113.25 × 7))/8</t>
        </is>
      </c>
      <c r="V133" s="285">
        <f>($J$126-185-(113.25*7))/8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281" t="inlineStr">
        <is>
          <t>5-6mm คิ้วตบกระจกแนวนอน</t>
        </is>
      </c>
      <c r="P134" s="281" t="inlineStr">
        <is>
          <t>5-6mm GLAZING BEAD HORIZONTAL</t>
        </is>
      </c>
      <c r="Q134" s="378" t="inlineStr">
        <is>
          <t>B24016</t>
        </is>
      </c>
      <c r="R134" s="143" t="n">
        <v>0.215</v>
      </c>
      <c r="S134" s="378" t="inlineStr">
        <is>
          <t>B24016-001</t>
        </is>
      </c>
      <c r="T134" s="143" t="n">
        <v>16</v>
      </c>
      <c r="U134" s="143" t="inlineStr">
        <is>
          <t>(W-185-(113.25 × 7))/8</t>
        </is>
      </c>
      <c r="V134" s="144">
        <f>($J$126-185-(113.25*7))/8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16</v>
      </c>
      <c r="U135" s="240" t="inlineStr">
        <is>
          <t>(W-185-(113.25 × 7))/8</t>
        </is>
      </c>
      <c r="V135" s="145">
        <f>($J$126-185-(113.25*7))/8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16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281" t="inlineStr">
        <is>
          <t>5-6-8mm คิ้วตบกระจกแนวตั้ง</t>
        </is>
      </c>
      <c r="P137" s="281" t="inlineStr">
        <is>
          <t>5-6-8mm GLAZING BEAD VERTICAL</t>
        </is>
      </c>
      <c r="Q137" s="378" t="inlineStr">
        <is>
          <t>B24016</t>
        </is>
      </c>
      <c r="R137" s="143" t="n">
        <v>0.215</v>
      </c>
      <c r="S137" s="378" t="inlineStr">
        <is>
          <t>B24016-002</t>
        </is>
      </c>
      <c r="T137" s="143" t="n">
        <v>16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16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8</v>
      </c>
      <c r="H141" s="143" t="inlineStr">
        <is>
          <t>45° (W-60-(8+1)×4)/8</t>
        </is>
      </c>
      <c r="I141" s="178">
        <f>($J$126-60-(8+1)*4)/8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8</v>
      </c>
      <c r="H142" s="143" t="inlineStr">
        <is>
          <t>45° (W-60-(8+1)×4)/8</t>
        </is>
      </c>
      <c r="I142" s="178">
        <f>($J$126-60-(8+1)*4)/8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12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 t="n"/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IFERROR(VLOOKUP(C171,$C$133:$H$153,2,0),"")</f>
        <v/>
      </c>
      <c r="E171" s="175">
        <f>IFERROR(VLOOKUP(C171,$C$133:$H$153,3,0),"")</f>
        <v/>
      </c>
      <c r="F171" s="353">
        <f>IFERROR(VLOOKUP(C171,$C$133:$I$153,7,0),"")</f>
        <v/>
      </c>
      <c r="G171" s="175">
        <f>IFERROR(VLOOKUP(C171,$C$133:$J$153,8,0),"")</f>
        <v/>
      </c>
      <c r="H171" s="516">
        <f>IFERROR(ROUNDUP(((F171*G171)+(F172*G172))/6400,0),"")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IFERROR(VLOOKUP(C172,$C$133:$H$153,3,0),"")</f>
        <v/>
      </c>
      <c r="F172" s="353">
        <f>IFERROR(VLOOKUP(C172,$C$133:$I$153,7,0),"")</f>
        <v/>
      </c>
      <c r="G172" s="175">
        <f>IFERROR(VLOOKUP(C172,$C$133:$J$153,8,0),"")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16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379" t="inlineStr">
        <is>
          <t>02-033</t>
        </is>
      </c>
      <c r="R177" s="213" t="n"/>
      <c r="S177" s="380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379" t="inlineStr">
        <is>
          <t>02-045</t>
        </is>
      </c>
      <c r="R179" s="213" t="n"/>
      <c r="S179" s="380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ชุดบานพับระดับเดียวกัน</t>
        </is>
      </c>
      <c r="C180" s="140" t="inlineStr">
        <is>
          <t>Standard Hinge Handle Set</t>
        </is>
      </c>
      <c r="D180" s="139" t="inlineStr">
        <is>
          <t>05-004</t>
        </is>
      </c>
      <c r="E180" s="143" t="n"/>
      <c r="F180" s="143" t="inlineStr">
        <is>
          <t>05-004</t>
        </is>
      </c>
      <c r="G180" s="143" t="inlineStr">
        <is>
          <t>SET</t>
        </is>
      </c>
      <c r="H180" s="143" t="n">
        <v>2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ชุดบานพับต่างระดับมีมือจับ</t>
        </is>
      </c>
      <c r="C181" s="140" t="inlineStr">
        <is>
          <t>offset Hinge Handle Set</t>
        </is>
      </c>
      <c r="D181" s="139" t="inlineStr">
        <is>
          <t>05-005</t>
        </is>
      </c>
      <c r="E181" s="143" t="n"/>
      <c r="F181" s="143" t="inlineStr">
        <is>
          <t>05-005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</row>
    <row r="182" ht="18" customFormat="1" customHeight="1" s="278">
      <c r="A182" s="201">
        <f>IF(B182="","",+A193+1)</f>
        <v/>
      </c>
      <c r="B182" s="140" t="inlineStr">
        <is>
          <t>ชุดล้อแขวนบานตายขวา</t>
        </is>
      </c>
      <c r="C182" s="140" t="inlineStr">
        <is>
          <t>Right Hand Pivot Set</t>
        </is>
      </c>
      <c r="D182" s="139" t="inlineStr">
        <is>
          <t>05-007</t>
        </is>
      </c>
      <c r="E182" s="143" t="n"/>
      <c r="F182" s="143" t="inlineStr">
        <is>
          <t>05-007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ชุดล้อและไกด์บานเปิดซ้าย</t>
        </is>
      </c>
      <c r="C183" s="140" t="inlineStr">
        <is>
          <t>Left Hand carrier Set</t>
        </is>
      </c>
      <c r="D183" s="139" t="inlineStr">
        <is>
          <t>05-008</t>
        </is>
      </c>
      <c r="E183" s="143" t="n"/>
      <c r="F183" s="143" t="inlineStr">
        <is>
          <t>05-008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IF(B184="","",+A182+1)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3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4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IF(B186="","",+A198+1)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8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IF(B188="","",+A199+1)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4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IF(B189="","",+A197+1)</f>
        <v/>
      </c>
      <c r="B189" s="139">
        <f>IF($D$129="Standard",$O$186,IF($D$129="Soumdproof",$O$187,))</f>
        <v/>
      </c>
      <c r="C189" s="139">
        <f>IF($D$129="Standard",$P$186,IF($D$129="Soumdproof",$P$187,))</f>
        <v/>
      </c>
      <c r="D189" s="139">
        <f>IF($D$129="Standard",$Q$186,IF($D$129="Soumdproof",$Q$187,))</f>
        <v/>
      </c>
      <c r="E189" s="143">
        <f>IF($D$129="Standard",R191,IF($D$129="Soumdproof",R192,))</f>
        <v/>
      </c>
      <c r="F189" s="143">
        <f>IF($D$129="Standard",$S$186,IF($D$129="Soumdproof",$S$187,))</f>
        <v/>
      </c>
      <c r="G189" s="143">
        <f>IF($D$129="Standard",$T$186,IF($D$129="Soumdproof",$T$187,))</f>
        <v/>
      </c>
      <c r="H189" s="652">
        <f>IF($D$129="Standard",$U$186,IF($D$129="Soumdproof",$U$187,))</f>
        <v/>
      </c>
      <c r="I189" s="653">
        <f>IF($D$129="Standard",$V$186,IF($D$129="Soumdproof",$V$187,))</f>
        <v/>
      </c>
      <c r="J189" s="654">
        <f>ROUNDUP((H189)/100,0)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39">
        <f>IF($D$129="Standard",$O$188,IF($D$129="Soumdproof",$O$189,))</f>
        <v/>
      </c>
      <c r="C190" s="139">
        <f>IF($D$129="Standard",$P$188,IF($D$129="Soumdproof",$P$189,))</f>
        <v/>
      </c>
      <c r="D190" s="139">
        <f>IF($D$129="Standard",$Q$188,IF($D$129="Soumdproof",$Q$189,))</f>
        <v/>
      </c>
      <c r="E190" s="143">
        <f>IF($D$129="Standard",R193,IF($D$129="Soumdproof",R194,))</f>
        <v/>
      </c>
      <c r="F190" s="143">
        <f>IF($D$129="Standard",$S$188,IF($D$129="Soumdproof",$S$189,))</f>
        <v/>
      </c>
      <c r="G190" s="143">
        <f>IF($D$129="Standard",$T$188,IF($D$129="Soumdproof",$T$189,))</f>
        <v/>
      </c>
      <c r="H190" s="652">
        <f>IF($D$129="Standard",$U$188,IF($D$129="Soumdproof",$U$189,))</f>
        <v/>
      </c>
      <c r="I190" s="653">
        <f>IF($D$129="Standard",$V$188,IF($D$129="Soumdproof",$V$189,))</f>
        <v/>
      </c>
      <c r="J190" s="654">
        <f>ROUNDUP((H190)/100,0)</f>
        <v/>
      </c>
    </row>
    <row r="191" ht="18" customFormat="1" customHeight="1" s="278">
      <c r="A191" s="201">
        <f>IF(B191="","",+A190+1)</f>
        <v/>
      </c>
      <c r="B191" s="296">
        <f>IF($D$127=5,$O$177,IF($D$127=6,$O$178,IF($D$127=8,$O$179,IF($D$127=10,$O$177,IF($D$127=12,$O$177,IF($D$127=14,$O$179,IF($D$127=18,$O$177,IF($D$127=20,$O$178,IF($D$127=22,"")))))))))</f>
        <v/>
      </c>
      <c r="C191" s="296">
        <f>IF($D$127=5,$P$177,IF($D$127=6,$P$178,IF($D$127=8,$P$179,IF($D$127=10,$P$177,IF($D$127=12,$P$177,IF($D$127=14,$P$179,IF($D$127=18,$P$177,IF($D$127=20,$P$178,IF($D$127=22,"")))))))))</f>
        <v/>
      </c>
      <c r="D191" s="296">
        <f>IF($D$127=5,$Q$177,IF($D$127=6,$Q$178,IF($D$127=8,$Q$179,IF($D$127=10,$Q$177,IF($D$127=12,$Q$177,IF($D$127=14,$Q$179,IF($D$127=18,$Q$177,IF($D$127=20,$Q$178,IF($D$127=22,"")))))))))</f>
        <v/>
      </c>
      <c r="E191" s="296">
        <f>IF($D$127=5,R182,IF($D$127=6,R183,IF($D$127=8,R184,IF($D$127=10,R182,IF($D$127=12,R182,IF($D$127=14,R184,IF($D$127=18,R182,IF($D$127=20,R183,IF($D$127=22,"",)))))))))</f>
        <v/>
      </c>
      <c r="F191" s="242">
        <f>IF($D$127=5,$S$177,IF($D$127=6,$S$178,IF($D$127=8,$S$179,IF($D$127=10,$S$177,IF($D$127=12,$S$177,IF($D$127=14,$S$179,IF($D$127=18,$S$177,IF($D$127=20,$S$178,IF($D$127=22,"")))))))))</f>
        <v/>
      </c>
      <c r="G191" s="242">
        <f>IF($D$127=5,$T$177,IF($D$127=6,$T$178,IF($D$127=8,$T$179,IF($D$127=10,$T$177,IF($D$127=12,$T$177,IF($D$127=14,$T$179,IF($D$127=18,$T$177,IF($D$127=20,$T$178,IF($D$127=22,"")))))))))</f>
        <v/>
      </c>
      <c r="H191" s="652">
        <f>IF($D$127=5,$U$177,IF($D$127=6,$U$178,IF($D$127=8,$U$179,IF($D$127=10,$U$177*2,IF($D$127=12,$U$177,IF($D$127=14,$U$179*2,IF($D$127=18,$U$177,IF($D$127=20,$U$178,IF($D$127=22,"")))))))))</f>
        <v/>
      </c>
      <c r="I191" s="653">
        <f>IF($D$127=5,$V$177,IF($D$127=6,$V$178,IF($D$127=8,$V$179,IF($D$127=10,$V$177,IF($D$127=12,$V$177,IF($D$127=14,$V$179,IF($D$127=18,$V$177,IF($D$127=20,$V$178,IF($D$127=22,"")))))))))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296">
        <f>IF($D$127=5,$O$175,IF($D$127=6,$O$175,IF($D$127=8,$O$177,IF($D$127=10,"",IF($D$127=12,$O$176,IF($D$127=14,"",IF($D$127=18,$O$175,IF($D$127=20,$O$176,IF($D$127=22,"",)))))))))</f>
        <v/>
      </c>
      <c r="C192" s="296">
        <f>IF($D$127=5,$P$175,IF($D$127=6,$P$175,IF($D$127=8,$P$177,IF($D$127=10,"",IF($D$127=12,$P$176,IF($D$127=14,"",IF($D$127=18,$P$175,IF($D$127=20,$P$176,IF($D$127=22,"",)))))))))</f>
        <v/>
      </c>
      <c r="D192" s="296">
        <f>IF($D$127=5,$Q$175,IF($D$127=6,$Q$175,IF($D$127=8,$Q$177,IF($D$127=10,"",IF($D$127=12,$Q$176,IF($D$127=14,"",IF($D$127=18,$Q$175,IF($D$127=20,$Q$176,IF($D$127=22,"",)))))))))</f>
        <v/>
      </c>
      <c r="E192" s="296">
        <f>IF($D$127=5,R180,IF($D$127=6,R180,IF($D$127=8,R182,IF($D$127=10,"",IF($D$127=12,R181,IF($D$127=14,"",IF($D$127=18,R180,IF($D$127=20,R181,IF($D$127=22,"",)))))))))</f>
        <v/>
      </c>
      <c r="F192" s="242">
        <f>IF($D$127=5,$S$175,IF($D$127=6,$S$175,IF($D$127=8,$S$177,IF($D$127=10,"",IF($D$127=12,$S$176,IF($D$127=14,"",IF($D$127=18,$S$175,IF($D$127=20,$S$176,IF($D$127=22,"",)))))))))</f>
        <v/>
      </c>
      <c r="G192" s="242">
        <f>IF($D$127=5,$T$175,IF($D$127=6,$T$175,IF($D$127=8,$T$177,IF($D$127=10,"",IF($D$127=12,$T$176,IF($D$127=14,"",IF($D$127=18,$T$175,IF($D$127=20,$T$176,IF($D$127=22,"",)))))))))</f>
        <v/>
      </c>
      <c r="H192" s="652">
        <f>IF($D$127=5,$U$175,IF($D$127=6,$U$175,IF($D$127=8,$U$177,IF($D$127=10,"",IF($D$127=12,$U$176,IF($D$127=14,"",IF($D$127=18,$U$175,IF($D$127=20,$U$176,IF($D$127=22,"")))))))))</f>
        <v/>
      </c>
      <c r="I192" s="653">
        <f>IF($D$127=5,$V$175,IF($D$127=6,$V$175,IF($D$127=8,$V$177,IF($D$127=10,"",IF($D$127=12,$V$176,IF($D$127=14,"",IF($D$127=18,$V$175,IF($D$127=20,$V$176,IF($D$127=22,"",)))))))))</f>
        <v/>
      </c>
      <c r="J192" s="654">
        <f>ROUNDUP((H192)/100,0)</f>
        <v/>
      </c>
    </row>
    <row r="193" ht="18" customFormat="1" customHeight="1" s="278">
      <c r="A193" s="201" t="n"/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 t="n"/>
    </row>
    <row r="194" ht="18" customFormat="1" customHeight="1" s="278">
      <c r="A194" s="201" t="n"/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 t="n"/>
    </row>
    <row r="195" ht="18" customHeight="1" s="344">
      <c r="A195" s="201" t="n"/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 t="n"/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 t="n"/>
      <c r="B196" s="140" t="n"/>
      <c r="C196" s="140" t="n"/>
      <c r="D196" s="139" t="n"/>
      <c r="E196" s="143" t="n"/>
      <c r="F196" s="143" t="n"/>
      <c r="G196" s="143" t="n"/>
      <c r="H196" s="652" t="n"/>
      <c r="I196" s="653" t="n"/>
      <c r="J196" s="654" t="n"/>
    </row>
    <row r="197" ht="18" customFormat="1" customHeight="1" s="278">
      <c r="A197" s="201" t="n"/>
      <c r="B197" s="140" t="n"/>
      <c r="C197" s="140" t="n"/>
      <c r="D197" s="139" t="n"/>
      <c r="E197" s="143" t="n"/>
      <c r="F197" s="143" t="n"/>
      <c r="G197" s="143" t="n"/>
      <c r="H197" s="652" t="n"/>
      <c r="I197" s="653" t="n"/>
      <c r="J197" s="654" t="n"/>
    </row>
    <row r="198" ht="18" customFormat="1" customHeight="1" s="278">
      <c r="A198" s="201" t="n"/>
      <c r="B198" s="140" t="n"/>
      <c r="C198" s="140" t="n"/>
      <c r="D198" s="139" t="n"/>
      <c r="E198" s="143" t="n"/>
      <c r="F198" s="143" t="n"/>
      <c r="G198" s="143" t="n"/>
      <c r="H198" s="143" t="n"/>
      <c r="I198" s="144" t="n"/>
      <c r="J198" s="131" t="n"/>
    </row>
    <row r="199" ht="18" customFormat="1" customHeight="1" s="278">
      <c r="A199" s="201" t="n"/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 t="n"/>
    </row>
    <row r="200" ht="18" customFormat="1" customHeight="1" s="278">
      <c r="A200" s="201">
        <f>IF(B200="","",+A192+1)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IF(B204="","",+""+1)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Height="1" s="344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2.75" customHeight="1" s="344">
      <c r="A207" s="109" t="n"/>
      <c r="J207" s="99">
        <f>LEFT($J$111,11)&amp;"-02"</f>
        <v/>
      </c>
      <c r="K207" s="37" t="n"/>
      <c r="L207" s="37" t="n"/>
      <c r="M207" s="2" t="n"/>
      <c r="N207" s="2" t="n"/>
    </row>
    <row r="208" ht="30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5" t="n"/>
      <c r="L208" s="35" t="n"/>
      <c r="M208" s="2" t="n"/>
      <c r="N208" s="2" t="n"/>
    </row>
    <row r="209" ht="24.9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M210" s="4" t="n"/>
      <c r="N210" s="4" t="n"/>
    </row>
    <row r="211" ht="15" customFormat="1" customHeight="1" s="278">
      <c r="C211" s="28" t="n"/>
      <c r="D211" s="28" t="n"/>
      <c r="E211" s="28" t="n"/>
      <c r="F211" s="28" t="n"/>
      <c r="G211" s="28" t="n"/>
      <c r="H211" s="28" t="n"/>
      <c r="I211" s="28" t="n"/>
      <c r="J211" s="397">
        <f>$J$4</f>
        <v/>
      </c>
      <c r="K211" s="4" t="n"/>
      <c r="L211" s="4" t="n"/>
      <c r="M211" s="4" t="n"/>
      <c r="N211" s="4" t="n"/>
    </row>
    <row r="212" ht="24.9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278" t="n"/>
      <c r="L212" s="278" t="n"/>
      <c r="M212" s="278" t="n"/>
      <c r="N212" s="278" t="n"/>
    </row>
    <row r="213" ht="20.4" customHeight="1" s="344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</row>
    <row r="214" ht="15" customFormat="1" customHeight="1" s="278">
      <c r="D214" s="345" t="n"/>
      <c r="J214" s="112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.6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.9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75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7))/8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7))/8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3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H288" s="278" t="n"/>
      <c r="I288" s="501" t="n"/>
      <c r="J288" s="501" t="n"/>
    </row>
    <row r="289" ht="15.9" customFormat="1" customHeight="1" s="278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$J$143+$J$144+$J$145+$J$146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7))/8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7))/8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$I$147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$J$148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inlineStr">
        <is>
          <t xml:space="preserve">                          Sash Stop</t>
        </is>
      </c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inlineStr">
        <is>
          <t xml:space="preserve">                          = FAME HIGHT - 92.00</t>
        </is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542" t="inlineStr">
        <is>
          <t xml:space="preserve">                          ความสูง (วงกบ) - 92.00</t>
        </is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6">
        <f>$I$149</f>
        <v/>
      </c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657">
        <f>$J$149+$J$150</f>
        <v/>
      </c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2.75" customHeight="1" s="344">
      <c r="A314" s="27" t="n"/>
      <c r="B314" s="278" t="n"/>
      <c r="C314" s="278" t="n"/>
      <c r="D314" s="162" t="n"/>
      <c r="E314" s="501" t="n"/>
      <c r="F314" s="109" t="n"/>
      <c r="G314" s="109" t="n"/>
      <c r="H314" s="109" t="n"/>
      <c r="I314" s="27" t="n"/>
      <c r="J314" s="99">
        <f>LEFT($J$111,11)&amp;"-03"</f>
        <v/>
      </c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24.9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M317" s="4" t="n"/>
      <c r="N317" s="4" t="n"/>
    </row>
    <row r="318" ht="15" customFormat="1" customHeight="1" s="278">
      <c r="C318" s="28" t="n"/>
      <c r="D318" s="28" t="n"/>
      <c r="E318" s="28" t="n"/>
      <c r="F318" s="28" t="n"/>
      <c r="G318" s="28" t="n"/>
      <c r="H318" s="28" t="n"/>
      <c r="I318" s="28" t="n"/>
      <c r="J318" s="397">
        <f>$J$4</f>
        <v/>
      </c>
      <c r="K318" s="4" t="n"/>
      <c r="L318" s="4" t="n"/>
      <c r="M318" s="4" t="n"/>
      <c r="N318" s="4" t="n"/>
    </row>
    <row r="319" ht="24.9" customHeight="1" s="344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0.4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</row>
    <row r="321" ht="15" customFormat="1" customHeight="1" s="278">
      <c r="D321" s="345" t="n"/>
      <c r="J321" s="112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78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75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75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75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  <c r="K416" s="71" t="n"/>
    </row>
    <row r="417" ht="15.9" customFormat="1" customHeight="1" s="278">
      <c r="A417" s="109" t="n"/>
      <c r="B417" s="44" t="n"/>
      <c r="C417" s="44" t="n"/>
      <c r="D417" s="84" t="n"/>
      <c r="E417" s="44" t="n"/>
      <c r="F417" s="44" t="n"/>
      <c r="G417" s="44" t="n"/>
      <c r="H417" s="44" t="n"/>
      <c r="I417" s="501" t="n"/>
      <c r="J417" s="501" t="n"/>
    </row>
    <row r="418" ht="18" customHeight="1" s="344">
      <c r="A418" s="109" t="n"/>
      <c r="B418" s="278" t="n"/>
      <c r="C418" s="278" t="n"/>
      <c r="D418" s="161" t="n"/>
      <c r="E418" s="109" t="n"/>
      <c r="F418" s="109" t="n"/>
      <c r="G418" s="109" t="n"/>
      <c r="H418" s="109" t="n"/>
      <c r="I418" s="501" t="n"/>
      <c r="J418" s="278" t="n"/>
      <c r="K418" s="37" t="n"/>
      <c r="L418" s="37" t="n"/>
      <c r="M418" s="2" t="n"/>
      <c r="N418" s="2" t="n"/>
    </row>
    <row r="419" ht="12.75" customHeight="1" s="344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109" t="n"/>
      <c r="J419" s="99">
        <f>LEFT($J$111,11)&amp;"-04"</f>
        <v/>
      </c>
      <c r="K419" s="37" t="n"/>
      <c r="L419" s="37" t="n"/>
      <c r="M419" s="2" t="n"/>
      <c r="N419" s="2" t="n"/>
    </row>
    <row r="420" ht="30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114" t="n"/>
      <c r="K420" s="37" t="n"/>
      <c r="L420" s="37" t="n"/>
      <c r="M420" s="2" t="n"/>
      <c r="N420" s="2" t="n"/>
    </row>
    <row r="421" ht="24.9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0">
        <f>$J$2</f>
        <v/>
      </c>
      <c r="K421" s="37" t="n"/>
      <c r="L421" s="37" t="n"/>
      <c r="M421" s="2" t="n"/>
      <c r="N421" s="2" t="n"/>
    </row>
    <row r="422" ht="24.9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1">
        <f>$J$3</f>
        <v/>
      </c>
      <c r="M422" s="4" t="n"/>
      <c r="N422" s="4" t="n"/>
    </row>
    <row r="423" ht="15" customFormat="1" customHeight="1" s="278">
      <c r="C423" s="28" t="n"/>
      <c r="D423" s="28" t="n"/>
      <c r="E423" s="28" t="n"/>
      <c r="F423" s="28" t="n"/>
      <c r="G423" s="28" t="n"/>
      <c r="H423" s="28" t="n"/>
      <c r="I423" s="28" t="n"/>
      <c r="J423" s="397">
        <f>$J$4</f>
        <v/>
      </c>
      <c r="K423" s="4" t="n"/>
      <c r="L423" s="4" t="n"/>
      <c r="M423" s="4" t="n"/>
      <c r="N423" s="4" t="n"/>
    </row>
    <row r="424" ht="24.9" customFormat="1" customHeight="1" s="278" thickBot="1">
      <c r="A424" s="78" t="n"/>
      <c r="B424" s="72" t="n"/>
      <c r="C424" s="28" t="n"/>
      <c r="D424" s="28" t="n"/>
      <c r="E424" s="28" t="n"/>
      <c r="F424" s="28" t="n"/>
      <c r="G424" s="28" t="n"/>
      <c r="H424" s="28" t="n"/>
      <c r="I424" s="78" t="n"/>
      <c r="J424" s="100" t="n"/>
      <c r="K424" s="4" t="n"/>
      <c r="L424" s="4" t="n"/>
      <c r="M424" s="4" t="n"/>
      <c r="N424" s="4" t="n"/>
    </row>
    <row r="425" ht="15" customFormat="1" customHeight="1" s="278" thickBot="1">
      <c r="A425" s="633" t="inlineStr">
        <is>
          <t>INSIDE SASH ASSEMBLY</t>
        </is>
      </c>
      <c r="B425" s="634" t="n"/>
      <c r="C425" s="634" t="n"/>
      <c r="D425" s="634" t="n"/>
      <c r="E425" s="634" t="n"/>
      <c r="F425" s="634" t="n"/>
      <c r="G425" s="634" t="n"/>
      <c r="H425" s="634" t="n"/>
      <c r="I425" s="634" t="n"/>
      <c r="J425" s="635" t="n"/>
      <c r="K425" s="278" t="n"/>
      <c r="L425" s="278" t="n"/>
      <c r="M425" s="278" t="n"/>
      <c r="N425" s="278" t="n"/>
    </row>
    <row r="426" ht="15" customFormat="1" customHeight="1" s="278">
      <c r="A426" s="278" t="n"/>
      <c r="B426" s="194" t="n"/>
      <c r="C426" s="194" t="n"/>
      <c r="D426" s="194" t="n"/>
      <c r="E426" s="194" t="n"/>
      <c r="F426" s="194" t="n"/>
      <c r="G426" s="194" t="n"/>
      <c r="H426" s="194" t="n"/>
      <c r="I426" s="278" t="n"/>
    </row>
    <row r="427" ht="15" customFormat="1" customHeight="1" s="278">
      <c r="A427" s="63" t="n"/>
      <c r="B427" s="278" t="n"/>
      <c r="C427" s="278" t="n"/>
      <c r="D427" s="278" t="n"/>
      <c r="E427" s="278" t="n"/>
      <c r="F427" s="278" t="n"/>
      <c r="G427" s="278" t="n"/>
      <c r="H427" s="278" t="n"/>
      <c r="I427" s="44" t="n"/>
      <c r="J427" s="119" t="n"/>
    </row>
    <row r="428" ht="15" customFormat="1" customHeight="1" s="278">
      <c r="A428" s="109" t="n"/>
      <c r="B428" s="72" t="n"/>
      <c r="C428" s="278" t="n"/>
      <c r="D428" s="161" t="n"/>
      <c r="E428" s="35" t="n"/>
      <c r="F428" s="72" t="n"/>
      <c r="G428" s="278" t="n"/>
      <c r="H428" s="44" t="n"/>
      <c r="I428" s="44" t="n"/>
      <c r="J428" s="119" t="n"/>
    </row>
    <row r="429" ht="15" customFormat="1" customHeight="1" s="278">
      <c r="A429" s="109" t="n"/>
      <c r="B429" s="278" t="n"/>
      <c r="C429" s="278" t="n"/>
      <c r="D429" s="161" t="n"/>
      <c r="E429" s="35" t="n"/>
      <c r="F429" s="161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H430" s="44" t="n"/>
      <c r="I430" s="44" t="n"/>
      <c r="J430" s="119" t="n"/>
    </row>
    <row r="431" ht="15" customFormat="1" customHeight="1" s="278">
      <c r="A431" s="109" t="n"/>
      <c r="B431" s="278" t="n"/>
      <c r="C431" s="161" t="n"/>
      <c r="D431" s="161" t="n"/>
      <c r="E431" s="109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35" t="n"/>
      <c r="F432" s="163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1" t="n"/>
      <c r="H433" s="44" t="n"/>
      <c r="I433" s="44" t="n"/>
      <c r="J433" s="119" t="n"/>
    </row>
    <row r="434" ht="15" customFormat="1" customHeight="1" s="278">
      <c r="A434" s="72" t="n"/>
      <c r="B434" s="278" t="n"/>
      <c r="C434" s="93" t="n"/>
      <c r="D434" s="161" t="n"/>
      <c r="E434" s="109" t="n"/>
      <c r="F434" s="69" t="n"/>
      <c r="H434" s="44" t="n"/>
      <c r="I434" s="44" t="n"/>
      <c r="J434" s="119" t="n"/>
    </row>
    <row r="435" ht="15" customFormat="1" customHeight="1" s="278">
      <c r="A435" s="532" t="n"/>
      <c r="B435" s="72" t="n"/>
      <c r="C435" s="163" t="n"/>
      <c r="D435" s="161" t="n"/>
      <c r="E435" s="109" t="n"/>
      <c r="F435" s="324" t="n"/>
      <c r="H435" s="44" t="n"/>
      <c r="I435" s="44" t="n"/>
      <c r="J435" s="119" t="n"/>
    </row>
    <row r="436" ht="15" customFormat="1" customHeight="1" s="278">
      <c r="B436" s="532" t="n"/>
      <c r="C436" s="161" t="n"/>
      <c r="D436" s="161" t="n"/>
      <c r="E436" s="109" t="n"/>
      <c r="F436" s="507" t="n"/>
      <c r="H436" s="44" t="n"/>
      <c r="I436" s="44" t="n"/>
      <c r="J436" s="119" t="n"/>
    </row>
    <row r="437" ht="15.9" customFormat="1" customHeight="1" s="278">
      <c r="A437" s="64">
        <f>A18</f>
        <v/>
      </c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.9" customFormat="1" customHeight="1" s="278">
      <c r="A438" s="76">
        <f>A19</f>
        <v/>
      </c>
      <c r="C438" s="93" t="n"/>
      <c r="D438" s="161" t="n"/>
      <c r="E438" s="109" t="n"/>
      <c r="F438" s="324" t="n"/>
      <c r="H438" s="44" t="n"/>
      <c r="I438" s="44" t="n"/>
      <c r="J438" s="119" t="n"/>
    </row>
    <row r="439" ht="15.9" customFormat="1" customHeight="1" s="278">
      <c r="A439" s="72" t="n"/>
      <c r="C439" s="161" t="n"/>
      <c r="D439" s="161" t="n"/>
      <c r="E439" s="109" t="n"/>
      <c r="F439" s="37" t="n"/>
      <c r="H439" s="44" t="n"/>
      <c r="I439" s="44" t="n"/>
      <c r="J439" s="119" t="n"/>
    </row>
    <row r="440" ht="15.9" customFormat="1" customHeight="1" s="278">
      <c r="A440" s="44" t="n"/>
      <c r="B440" s="278" t="n"/>
      <c r="C440" s="43" t="n"/>
      <c r="D440" s="161" t="n"/>
      <c r="E440" s="109" t="n"/>
      <c r="F440" s="109" t="n"/>
      <c r="H440" s="44" t="n"/>
      <c r="I440" s="44" t="n"/>
      <c r="J440" s="119" t="n"/>
    </row>
    <row r="441">
      <c r="A441" s="40" t="n"/>
      <c r="B441" s="278" t="n"/>
      <c r="C441" s="44" t="n"/>
      <c r="D441" s="84" t="n"/>
      <c r="E441" s="44" t="n"/>
      <c r="F441" s="44" t="n"/>
      <c r="G441" s="278" t="n"/>
      <c r="H441" s="44" t="n"/>
      <c r="I441" s="44" t="n"/>
      <c r="J441" s="119" t="n"/>
    </row>
    <row r="442" ht="15.6" customHeight="1" s="344">
      <c r="B442" s="64" t="n"/>
      <c r="C442" s="163" t="n"/>
      <c r="D442" s="161" t="n"/>
      <c r="E442" s="109" t="n"/>
      <c r="F442" s="161" t="n"/>
      <c r="G442" s="109" t="n"/>
      <c r="H442" s="109" t="n"/>
    </row>
    <row r="446" ht="15.9" customFormat="1" customHeight="1" s="278">
      <c r="D446" s="345" t="n"/>
      <c r="J446" s="112" t="n"/>
    </row>
    <row r="447" ht="15.9" customFormat="1" customHeight="1" s="278">
      <c r="A447" s="109" t="n"/>
      <c r="D447" s="345" t="n"/>
      <c r="I447" s="501" t="n"/>
      <c r="J447" s="501" t="n"/>
    </row>
    <row r="448" ht="15.9" customFormat="1" customHeight="1" s="278">
      <c r="A448" s="109" t="n"/>
      <c r="B448" s="278" t="n"/>
      <c r="C448" s="278" t="n"/>
      <c r="D448" s="161" t="n"/>
      <c r="E448" s="109" t="n"/>
      <c r="F448" s="161" t="n"/>
      <c r="G448" s="109" t="n"/>
      <c r="H448" s="109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44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161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3" t="n"/>
      <c r="D453" s="161" t="n"/>
      <c r="E453" s="109" t="n"/>
      <c r="F453" s="161" t="n"/>
      <c r="G453" s="109" t="n"/>
      <c r="H453" s="109" t="n"/>
      <c r="I453" s="109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" customFormat="1" customHeight="1" s="278">
      <c r="A455" s="109" t="n"/>
      <c r="B455" s="278" t="n"/>
      <c r="C455" s="278" t="n"/>
      <c r="D455" s="161" t="n"/>
      <c r="E455" s="109" t="n"/>
      <c r="F455" s="109" t="n"/>
      <c r="G455" s="109" t="n"/>
      <c r="H455" s="109" t="n"/>
      <c r="I455" s="501" t="n"/>
      <c r="J455" s="501" t="n"/>
    </row>
    <row r="456" ht="15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7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.9" customFormat="1" customHeight="1" s="23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.9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109" t="n"/>
      <c r="J474" s="109" t="n"/>
    </row>
    <row r="475" ht="15.9" customFormat="1" customHeight="1" s="278">
      <c r="A475" s="44" t="n"/>
      <c r="B475" s="278" t="n"/>
      <c r="C475" s="278" t="n"/>
      <c r="D475" s="161" t="n"/>
      <c r="E475" s="109" t="n"/>
      <c r="F475" s="109" t="n"/>
      <c r="G475" s="109" t="n"/>
      <c r="H475" s="109" t="n"/>
      <c r="I475" s="44" t="n"/>
      <c r="J475" s="119" t="n"/>
    </row>
    <row r="476" ht="15.9" customFormat="1" customHeight="1" s="278">
      <c r="A476" s="40" t="n"/>
      <c r="B476" s="44" t="n"/>
      <c r="C476" s="44" t="n"/>
      <c r="D476" s="84" t="n"/>
      <c r="E476" s="44" t="n"/>
      <c r="F476" s="44" t="n"/>
      <c r="G476" s="44" t="n"/>
      <c r="H476" s="44" t="n"/>
      <c r="I476" s="32" t="n"/>
      <c r="J476" s="40" t="n"/>
    </row>
    <row r="477" ht="15.9" customFormat="1" customHeight="1" s="278">
      <c r="A477" s="27" t="n"/>
      <c r="B477" s="40" t="n"/>
      <c r="C477" s="44" t="n"/>
      <c r="D477" s="85" t="n"/>
      <c r="E477" s="40" t="n"/>
      <c r="F477" s="32" t="n"/>
      <c r="G477" s="40" t="n"/>
      <c r="H477" s="32" t="n"/>
      <c r="I477" s="501" t="n"/>
      <c r="J477" s="501" t="n"/>
    </row>
    <row r="478" ht="15.9" customFormat="1" customHeight="1" s="278">
      <c r="A478" s="27" t="n"/>
      <c r="B478" s="278" t="n"/>
      <c r="C478" s="93" t="n"/>
      <c r="D478" s="161" t="n"/>
      <c r="E478" s="109" t="n"/>
      <c r="F478" s="109" t="n"/>
      <c r="G478" s="109" t="n"/>
      <c r="H478" s="93" t="n"/>
      <c r="I478" s="287" t="n"/>
      <c r="J478" s="302" t="n"/>
    </row>
    <row r="479" ht="15.9" customFormat="1" customHeight="1" s="278">
      <c r="A479" s="27" t="n"/>
      <c r="B479" s="278" t="n"/>
      <c r="C479" s="163" t="n"/>
      <c r="D479" s="161" t="n"/>
      <c r="E479" s="109" t="n"/>
      <c r="F479" s="109" t="n"/>
      <c r="G479" s="109" t="n"/>
      <c r="H479" s="287" t="n"/>
      <c r="I479" s="278" t="n"/>
      <c r="J479" s="109" t="n"/>
    </row>
    <row r="480" ht="15.9" customFormat="1" customHeight="1" s="278">
      <c r="A480" s="27" t="n"/>
      <c r="B480" s="278" t="n"/>
      <c r="C480" s="161" t="n"/>
      <c r="D480" s="161" t="n"/>
      <c r="E480" s="109" t="n"/>
      <c r="F480" s="109" t="n"/>
      <c r="G480" s="109" t="n"/>
      <c r="H480" s="278" t="n"/>
      <c r="I480" s="501" t="n"/>
      <c r="J480" s="501" t="n"/>
    </row>
    <row r="481" ht="15.9" customFormat="1" customHeight="1" s="278">
      <c r="A481" s="27" t="n"/>
      <c r="B481" s="278" t="n"/>
      <c r="C481" s="278" t="n"/>
      <c r="D481" s="161" t="n"/>
      <c r="E481" s="109" t="n"/>
      <c r="F481" s="109" t="n"/>
      <c r="G481" s="109" t="n"/>
      <c r="H481" s="109" t="n"/>
      <c r="I481" s="501" t="n"/>
      <c r="J481" s="501" t="n"/>
    </row>
    <row r="482" ht="15.9" customFormat="1" customHeight="1" s="278">
      <c r="A482" s="27" t="n"/>
      <c r="B482" s="278" t="n"/>
      <c r="C482" s="278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287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161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D492" s="161" t="n"/>
      <c r="E492" s="109" t="n"/>
      <c r="F492" s="109" t="n"/>
      <c r="G492" s="278" t="n"/>
      <c r="H492" s="278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93" t="n"/>
      <c r="I496" s="287" t="n"/>
      <c r="J496" s="302" t="n"/>
    </row>
    <row r="497" ht="15.9" customFormat="1" customHeight="1" s="278">
      <c r="A497" s="27" t="n"/>
      <c r="B497" s="278" t="n"/>
      <c r="C497" s="63" t="n"/>
      <c r="D497" s="161" t="n"/>
      <c r="E497" s="109" t="n"/>
      <c r="F497" s="109" t="n"/>
      <c r="G497" s="109" t="n"/>
      <c r="H497" s="287" t="n"/>
      <c r="I497" s="278" t="n"/>
      <c r="J497" s="109" t="n"/>
    </row>
    <row r="498" ht="15.9" customFormat="1" customHeight="1" s="278">
      <c r="A498" s="27" t="n"/>
      <c r="B498" s="278" t="n"/>
      <c r="C498" s="287" t="n"/>
      <c r="D498" s="161" t="n"/>
      <c r="E498" s="109" t="n"/>
      <c r="F498" s="109" t="n"/>
      <c r="G498" s="109" t="n"/>
      <c r="H498" s="278" t="n"/>
      <c r="I498" s="501" t="n"/>
      <c r="J498" s="501" t="n"/>
    </row>
    <row r="499" ht="15.9" customFormat="1" customHeight="1" s="278">
      <c r="A499" s="27" t="n"/>
      <c r="B499" s="278" t="n"/>
      <c r="C499" s="161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278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109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109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109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66" t="n"/>
      <c r="I513" s="278" t="n"/>
      <c r="J513" s="10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24.9" customFormat="1" customHeight="1" s="278" thickBot="1"/>
    <row r="517" ht="35.1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  <c r="N517" s="249" t="inlineStr">
        <is>
          <t>DESCRIPTION</t>
        </is>
      </c>
      <c r="O517" s="249" t="inlineStr">
        <is>
          <t>DESCRIPTION</t>
        </is>
      </c>
    </row>
    <row r="518" ht="15.9" customFormat="1" customHeight="1" s="278" thickBot="1">
      <c r="A518" s="102" t="inlineStr">
        <is>
          <t>ITEM</t>
        </is>
      </c>
      <c r="B518" s="103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M518" s="278">
        <f>ROW()</f>
        <v/>
      </c>
      <c r="N518" s="415" t="inlineStr">
        <is>
          <t>กระจก 5 mm (สูง) (กว้าง)</t>
        </is>
      </c>
      <c r="O518" s="415" t="inlineStr">
        <is>
          <t>GLASS thk.5 mm (H) (W)</t>
        </is>
      </c>
    </row>
    <row r="519" ht="15.9" customFormat="1" customHeight="1" s="278">
      <c r="A519" s="186">
        <f>IF(C519="","",1)</f>
        <v/>
      </c>
      <c r="B519" s="138">
        <f>IF($D$127=5,N518,IF($D$127=6,N519,IF($D$127=8,N520,IF($D$127=10,N521,IF($D$127=12,N522,IF($D$127=14,N523,IF($D$127=18,N524,IF($D$127=20,N525,IF($D$127=22,N526,)))))))))</f>
        <v/>
      </c>
      <c r="C519" s="138">
        <f>IF($D$127=5,O518,IF($D$127=6,O519,IF($D$127=8,O520,IF($D$127=10,O521,IF($D$127=12,O522,IF($D$127=14,O523,IF($D$127=18,O524,IF($D$127=20,O525,IF($D$127=22,O526,)))))))))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((W-185-(113.25 × 7)/8)-13</t>
        </is>
      </c>
      <c r="I519" s="124">
        <f>(($J$126-185-(113.25*7))/8)-13</f>
        <v/>
      </c>
      <c r="J519" s="151">
        <f>$J$120*8</f>
        <v/>
      </c>
      <c r="M519" s="278">
        <f>ROW()</f>
        <v/>
      </c>
      <c r="N519" s="415" t="inlineStr">
        <is>
          <t>กระจก 6 mm (สูง) (กว้าง)</t>
        </is>
      </c>
      <c r="O519" s="415" t="inlineStr">
        <is>
          <t>GLASS thk.6 mm (H) (W)</t>
        </is>
      </c>
    </row>
    <row r="520" ht="15.9" customFormat="1" customHeight="1" s="278">
      <c r="A520" s="346" t="n"/>
      <c r="B520" s="295" t="n"/>
      <c r="C520" s="295" t="n"/>
      <c r="D520" s="296" t="n"/>
      <c r="E520" s="242" t="n"/>
      <c r="F520" s="251" t="n"/>
      <c r="G520" s="297" t="n"/>
      <c r="H520" s="242" t="n"/>
      <c r="I520" s="298" t="n"/>
      <c r="J520" s="299" t="n"/>
      <c r="M520" s="278">
        <f>ROW()</f>
        <v/>
      </c>
      <c r="N520" s="415" t="inlineStr">
        <is>
          <t>กระจก 8 mm (สูง) (กว้าง)</t>
        </is>
      </c>
      <c r="O520" s="415" t="inlineStr">
        <is>
          <t>GLASS thk.8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10 mm (สูง) (กว้าง)</t>
        </is>
      </c>
      <c r="O521" s="415" t="inlineStr">
        <is>
          <t>GLASS thk.10 mm (H) (W)</t>
        </is>
      </c>
    </row>
    <row r="522" ht="15.9" customFormat="1" customHeight="1" s="278">
      <c r="A522" s="143">
        <f>IF(B522="","",+""+1)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M522" s="278">
        <f>ROW()</f>
        <v/>
      </c>
      <c r="N522" s="415" t="inlineStr">
        <is>
          <t>กระจก 12 mm (สูง) (กว้าง)</t>
        </is>
      </c>
      <c r="O522" s="415" t="inlineStr">
        <is>
          <t>GLASS thk.12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M523" s="278">
        <f>ROW()</f>
        <v/>
      </c>
      <c r="N523" s="415" t="inlineStr">
        <is>
          <t>กระจก 14 mm (สูง) (กว้าง)</t>
        </is>
      </c>
      <c r="O523" s="415" t="inlineStr">
        <is>
          <t>GLASS thk.14 mm (H) (W)</t>
        </is>
      </c>
    </row>
    <row r="524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M524" s="278">
        <f>ROW()</f>
        <v/>
      </c>
      <c r="N524" s="415" t="inlineStr">
        <is>
          <t>กระจก 18 mm (สูง) (กว้าง)</t>
        </is>
      </c>
      <c r="O524" s="415" t="inlineStr">
        <is>
          <t>GLASS thk.18 mm (H) (W)</t>
        </is>
      </c>
    </row>
    <row r="525">
      <c r="J525" s="99">
        <f>LEFT($J$111,11)&amp;"-05"</f>
        <v/>
      </c>
      <c r="M525" s="278">
        <f>ROW()</f>
        <v/>
      </c>
      <c r="N525" s="415" t="inlineStr">
        <is>
          <t>กระจก 20 mm (สูง) (กว้าง)</t>
        </is>
      </c>
      <c r="O525" s="415" t="inlineStr">
        <is>
          <t>GLASS thk.20 mm (H) (W)</t>
        </is>
      </c>
    </row>
    <row r="526">
      <c r="M526" s="278">
        <f>ROW()</f>
        <v/>
      </c>
      <c r="N526" s="415" t="inlineStr">
        <is>
          <t>กระจก 22 mm (สูง) (กว้าง)</t>
        </is>
      </c>
      <c r="O526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D121:G121"/>
    <mergeCell ref="A131:J131"/>
    <mergeCell ref="H161:H162"/>
    <mergeCell ref="I154:J154"/>
    <mergeCell ref="D129:G129"/>
    <mergeCell ref="D123:G123"/>
    <mergeCell ref="A117:J117"/>
    <mergeCell ref="J123:J124"/>
    <mergeCell ref="I166:J167"/>
    <mergeCell ref="I156:J156"/>
    <mergeCell ref="A173:J173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26:I127"/>
    <mergeCell ref="H163:H168"/>
    <mergeCell ref="D171:D172"/>
    <mergeCell ref="A6:J6"/>
    <mergeCell ref="I155:J155"/>
    <mergeCell ref="I161:J161"/>
    <mergeCell ref="D161:D162"/>
    <mergeCell ref="A517:J517"/>
    <mergeCell ref="F519:G519"/>
    <mergeCell ref="C310:E310"/>
    <mergeCell ref="J120:J121"/>
    <mergeCell ref="I157:J157"/>
    <mergeCell ref="A125:B125"/>
    <mergeCell ref="J126:J127"/>
    <mergeCell ref="D159:D160"/>
    <mergeCell ref="A425:J425"/>
    <mergeCell ref="D169:D170"/>
    <mergeCell ref="I159:J160"/>
    <mergeCell ref="D125:G125"/>
    <mergeCell ref="H123:I124"/>
    <mergeCell ref="A213:J213"/>
  </mergeCells>
  <dataValidations count="4">
    <dataValidation sqref="D129:G129" showDropDown="0" showInputMessage="1" showErrorMessage="1" allowBlank="1" type="list">
      <formula1>$O$119</formula1>
    </dataValidation>
    <dataValidation sqref="D127:G127" showDropDown="0" showInputMessage="1" showErrorMessage="1" allowBlank="1" type="list">
      <formula1>$N$119:$N$127</formula1>
    </dataValidation>
    <dataValidation sqref="D123:G123" showDropDown="0" showInputMessage="1" showErrorMessage="1" allowBlank="1" type="list">
      <formula1>$P$118:$P$128</formula1>
    </dataValidation>
    <dataValidation sqref="C206" showDropDown="0" showInputMessage="1" showErrorMessage="1" allowBlank="1" type="list">
      <formula1>$O$175:$O$193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6" errors="blank"/>
  <rowBreaks count="4" manualBreakCount="4">
    <brk id="111" min="0" max="9" man="1"/>
    <brk id="207" min="0" max="9" man="1"/>
    <brk id="314" min="0" max="9" man="1"/>
    <brk id="419" min="0" max="9" man="1"/>
  </rowBreaks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 codeName="Sheet28">
    <tabColor theme="5" tint="-0.249977111117893"/>
    <outlinePr summaryBelow="1" summaryRight="1"/>
    <pageSetUpPr/>
  </sheetPr>
  <dimension ref="A2:X529"/>
  <sheetViews>
    <sheetView showGridLines="0" view="pageBreakPreview" topLeftCell="A109" zoomScale="75" zoomScaleNormal="75" zoomScaleSheetLayoutView="75" workbookViewId="0">
      <selection activeCell="D123" sqref="D123:G123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240-8 Panel (3L5R)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FG-240-8P3L5R-01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บ้านคุณราเมศ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2700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5700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P128" s="278" t="inlineStr">
        <is>
          <t>-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5-6-8mm คิ้วตบกระจกแนวนอน</t>
        </is>
      </c>
      <c r="P133" s="281" t="inlineStr">
        <is>
          <t>5-6-8mm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16</v>
      </c>
      <c r="U133" s="283" t="inlineStr">
        <is>
          <t>(W-185-(113.25 × 7))/8</t>
        </is>
      </c>
      <c r="V133" s="285">
        <f>($J$126-185-(113.25*7))/8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281" t="inlineStr">
        <is>
          <t>5-6mm คิ้วตบกระจกแนวนอน</t>
        </is>
      </c>
      <c r="P134" s="281" t="inlineStr">
        <is>
          <t>5-6mm GLAZING BEAD HORIZONTAL</t>
        </is>
      </c>
      <c r="Q134" s="378" t="inlineStr">
        <is>
          <t>B24016</t>
        </is>
      </c>
      <c r="R134" s="143" t="n">
        <v>0.215</v>
      </c>
      <c r="S134" s="378" t="inlineStr">
        <is>
          <t>B24016-001</t>
        </is>
      </c>
      <c r="T134" s="143" t="n">
        <v>16</v>
      </c>
      <c r="U134" s="143" t="inlineStr">
        <is>
          <t>(W-185-(113.25 × 7))/8</t>
        </is>
      </c>
      <c r="V134" s="144">
        <f>($J$126-185-(113.25*7))/8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16</v>
      </c>
      <c r="U135" s="240" t="inlineStr">
        <is>
          <t>(W-185-(113.25 × 7))/8</t>
        </is>
      </c>
      <c r="V135" s="145">
        <f>($J$126-185-(113.25*7))/8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16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281" t="inlineStr">
        <is>
          <t>5-6-8mm คิ้วตบกระจกแนวตั้ง</t>
        </is>
      </c>
      <c r="P137" s="281" t="inlineStr">
        <is>
          <t>5-6-8mm GLAZING BEAD VERTICAL</t>
        </is>
      </c>
      <c r="Q137" s="378" t="inlineStr">
        <is>
          <t>B24016</t>
        </is>
      </c>
      <c r="R137" s="143" t="n">
        <v>0.215</v>
      </c>
      <c r="S137" s="378" t="inlineStr">
        <is>
          <t>B24016-002</t>
        </is>
      </c>
      <c r="T137" s="143" t="n">
        <v>16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16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8</v>
      </c>
      <c r="H141" s="143" t="inlineStr">
        <is>
          <t>45° (W-60-(8+1)×4)/8</t>
        </is>
      </c>
      <c r="I141" s="178">
        <f>($J$126-60-(8+1)*4)/8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8</v>
      </c>
      <c r="H142" s="143" t="inlineStr">
        <is>
          <t>45° (W-60-(8+1)×4)/8</t>
        </is>
      </c>
      <c r="I142" s="178">
        <f>($J$126-60-(8+1)*4)/8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12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16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379" t="inlineStr">
        <is>
          <t>02-033</t>
        </is>
      </c>
      <c r="R177" s="213" t="n"/>
      <c r="S177" s="380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379" t="inlineStr">
        <is>
          <t>02-045</t>
        </is>
      </c>
      <c r="R179" s="213" t="n"/>
      <c r="S179" s="380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ชุดบานพับระดับเดียวกัน</t>
        </is>
      </c>
      <c r="C180" s="140" t="inlineStr">
        <is>
          <t>Standard Hinge Handle Set</t>
        </is>
      </c>
      <c r="D180" s="139" t="inlineStr">
        <is>
          <t>05-004</t>
        </is>
      </c>
      <c r="E180" s="143" t="n"/>
      <c r="F180" s="143" t="inlineStr">
        <is>
          <t>05-004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ชุดบานพับต่างระดับมีมือจับ</t>
        </is>
      </c>
      <c r="C181" s="140" t="inlineStr">
        <is>
          <t>offset Hinge Handle Set</t>
        </is>
      </c>
      <c r="D181" s="139" t="inlineStr">
        <is>
          <t>05-005</t>
        </is>
      </c>
      <c r="E181" s="143" t="n"/>
      <c r="F181" s="143" t="inlineStr">
        <is>
          <t>05-005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ชุดล้อแขวนบานตายซ้าย</t>
        </is>
      </c>
      <c r="C182" s="140" t="inlineStr">
        <is>
          <t>Left Hand Pivot Set</t>
        </is>
      </c>
      <c r="D182" s="139" t="inlineStr">
        <is>
          <t>05-006</t>
        </is>
      </c>
      <c r="E182" s="143" t="n"/>
      <c r="F182" s="143" t="inlineStr">
        <is>
          <t>05-006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ชุดล้อแขวนบานตายขวา</t>
        </is>
      </c>
      <c r="C183" s="140" t="inlineStr">
        <is>
          <t>Right Hand Pivot Set</t>
        </is>
      </c>
      <c r="D183" s="139" t="inlineStr">
        <is>
          <t>05-007</t>
        </is>
      </c>
      <c r="E183" s="143" t="n"/>
      <c r="F183" s="143" t="inlineStr">
        <is>
          <t>05-007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3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04-015</t>
        </is>
      </c>
      <c r="E189" s="143" t="n"/>
      <c r="F189" s="143" t="inlineStr">
        <is>
          <t>04-015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3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250 มม.</t>
        </is>
      </c>
      <c r="C191" s="140" t="inlineStr">
        <is>
          <t>Surface mounted flush bolt</t>
        </is>
      </c>
      <c r="D191" s="139" t="inlineStr">
        <is>
          <t>00-020-25</t>
        </is>
      </c>
      <c r="E191" s="143" t="n"/>
      <c r="F191" s="143" t="inlineStr">
        <is>
          <t>00-020-25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กลอนสวิง 900 มม.</t>
        </is>
      </c>
      <c r="C192" s="140" t="inlineStr">
        <is>
          <t>Surface mounted flush bolt</t>
        </is>
      </c>
      <c r="D192" s="139" t="inlineStr">
        <is>
          <t>00-020-90</t>
        </is>
      </c>
      <c r="E192" s="143" t="n"/>
      <c r="F192" s="143" t="inlineStr">
        <is>
          <t>00-020-90</t>
        </is>
      </c>
      <c r="G192" s="143" t="inlineStr">
        <is>
          <t>SET</t>
        </is>
      </c>
      <c r="H192" s="143" t="n">
        <v>1</v>
      </c>
      <c r="I192" s="130" t="n"/>
      <c r="J192" s="131">
        <f>IFERROR($J$120*G192,"")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สักหลาดบังใบ</t>
        </is>
      </c>
      <c r="C193" s="140" t="inlineStr">
        <is>
          <t>MOHAIR FOR SASH STOP</t>
        </is>
      </c>
      <c r="D193" s="139" t="inlineStr">
        <is>
          <t>02-028</t>
        </is>
      </c>
      <c r="E193" s="143" t="n"/>
      <c r="F193" s="143" t="inlineStr">
        <is>
          <t>02-028</t>
        </is>
      </c>
      <c r="G193" s="143" t="inlineStr">
        <is>
          <t>M</t>
        </is>
      </c>
      <c r="H193" s="652">
        <f>((($I$149*$G$149)+($I$150*$G$150))/1000)*$J$120</f>
        <v/>
      </c>
      <c r="I193" s="653" t="n">
        <v>100</v>
      </c>
      <c r="J193" s="654">
        <f>ROUNDUP((H193)/100,0)</f>
        <v/>
      </c>
    </row>
    <row r="194" ht="18" customFormat="1" customHeight="1" s="278">
      <c r="A194" s="201">
        <f>IF(B194="","",+A193+1)</f>
        <v/>
      </c>
      <c r="B194" s="140" t="inlineStr">
        <is>
          <t>สักหลาดเสา</t>
        </is>
      </c>
      <c r="C194" s="140" t="inlineStr">
        <is>
          <t>MOHAIR FOR SASH (Ver)</t>
        </is>
      </c>
      <c r="D194" s="139" t="inlineStr">
        <is>
          <t>02-036</t>
        </is>
      </c>
      <c r="E194" s="143" t="n"/>
      <c r="F194" s="143" t="inlineStr">
        <is>
          <t>02-036</t>
        </is>
      </c>
      <c r="G194" s="143" t="inlineStr">
        <is>
          <t>M</t>
        </is>
      </c>
      <c r="H194" s="652">
        <f>((($I$144*$G$144)+($I$146*$G$146))/1000)*$J$120</f>
        <v/>
      </c>
      <c r="I194" s="653" t="n">
        <v>100</v>
      </c>
      <c r="J194" s="654">
        <f>ROUNDUP((H194)/100,0)</f>
        <v/>
      </c>
    </row>
    <row r="195" ht="18" customHeight="1" s="344">
      <c r="A195" s="201">
        <f>IF(B195="","",+A194+1)</f>
        <v/>
      </c>
      <c r="B195" s="139">
        <f>IF($D$129="Standard",$O$186,IF($D$129="Soumdproof",$O$187,))</f>
        <v/>
      </c>
      <c r="C195" s="139">
        <f>IF($D$129="Standard",$P$186,IF($D$129="Soumdproof",$P$187,))</f>
        <v/>
      </c>
      <c r="D195" s="139">
        <f>IF($D$129="Standard",$Q$186,IF($D$129="Soumdproof",$Q$187,))</f>
        <v/>
      </c>
      <c r="E195" s="143">
        <f>IF($D$129="Standard",R191,IF($D$129="Soumdproof",R192,))</f>
        <v/>
      </c>
      <c r="F195" s="143">
        <f>IF($D$129="Standard",$S$186,IF($D$129="Soumdproof",$S$187,))</f>
        <v/>
      </c>
      <c r="G195" s="143">
        <f>IF($D$129="Standard",$T$186,IF($D$129="Soumdproof",$T$187,))</f>
        <v/>
      </c>
      <c r="H195" s="652">
        <f>IF($D$129="Standard",$U$186,IF($D$129="Soumdproof",$U$187,))</f>
        <v/>
      </c>
      <c r="I195" s="653">
        <f>IF($D$129="Standard",$V$186,IF($D$129="Soumdproof",$V$187,))</f>
        <v/>
      </c>
      <c r="J195" s="654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139">
        <f>IF($D$129="Standard",$O$188,IF($D$129="Soumdproof",$O$189,))</f>
        <v/>
      </c>
      <c r="C196" s="139">
        <f>IF($D$129="Standard",$P$188,IF($D$129="Soumdproof",$P$189,))</f>
        <v/>
      </c>
      <c r="D196" s="139">
        <f>IF($D$129="Standard",$Q$188,IF($D$129="Soumdproof",$Q$189,))</f>
        <v/>
      </c>
      <c r="E196" s="143">
        <f>IF($D$129="Standard",R193,IF($D$129="Soumdproof",R194,))</f>
        <v/>
      </c>
      <c r="F196" s="143">
        <f>IF($D$129="Standard",$S$188,IF($D$129="Soumdproof",$S$189,))</f>
        <v/>
      </c>
      <c r="G196" s="143">
        <f>IF($D$129="Standard",$T$188,IF($D$129="Soumdproof",$T$189,))</f>
        <v/>
      </c>
      <c r="H196" s="652">
        <f>IF($D$129="Standard",$U$188,IF($D$129="Soumdproof",$U$189,))</f>
        <v/>
      </c>
      <c r="I196" s="653">
        <f>IF($D$129="Standard",$V$188,IF($D$129="Soumdproof",$V$189,))</f>
        <v/>
      </c>
      <c r="J196" s="654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IF($D$127=5,$O$177,IF($D$127=6,$O$178,IF($D$127=8,$O$179,IF($D$127=10,$O$177,IF($D$127=12,$O$177,IF($D$127=14,$O$179,IF($D$127=18,$O$177,IF($D$127=20,$O$178,IF($D$127=22,"")))))))))</f>
        <v/>
      </c>
      <c r="C197" s="296">
        <f>IF($D$127=5,$P$177,IF($D$127=6,$P$178,IF($D$127=8,$P$179,IF($D$127=10,$P$177,IF($D$127=12,$P$177,IF($D$127=14,$P$179,IF($D$127=18,$P$177,IF($D$127=20,$P$178,IF($D$127=22,"")))))))))</f>
        <v/>
      </c>
      <c r="D197" s="296">
        <f>IF($D$127=5,$Q$177,IF($D$127=6,$Q$178,IF($D$127=8,$Q$179,IF($D$127=10,$Q$177,IF($D$127=12,$Q$177,IF($D$127=14,$Q$179,IF($D$127=18,$Q$177,IF($D$127=20,$Q$178,IF($D$127=22,"")))))))))</f>
        <v/>
      </c>
      <c r="E197" s="296">
        <f>IF($D$127=5,R182,IF($D$127=6,R183,IF($D$127=8,R184,IF($D$127=10,R182,IF($D$127=12,R182,IF($D$127=14,R184,IF($D$127=18,R182,IF($D$127=20,R183,IF($D$127=22,"",)))))))))</f>
        <v/>
      </c>
      <c r="F197" s="242">
        <f>IF($D$127=5,$S$177,IF($D$127=6,$S$178,IF($D$127=8,$S$179,IF($D$127=10,$S$177,IF($D$127=12,$S$177,IF($D$127=14,$S$179,IF($D$127=18,$S$177,IF($D$127=20,$S$178,IF($D$127=22,"")))))))))</f>
        <v/>
      </c>
      <c r="G197" s="242">
        <f>IF($D$127=5,$T$177,IF($D$127=6,$T$178,IF($D$127=8,$T$179,IF($D$127=10,$T$177,IF($D$127=12,$T$177,IF($D$127=14,$T$179,IF($D$127=18,$T$177,IF($D$127=20,$T$178,IF($D$127=22,"")))))))))</f>
        <v/>
      </c>
      <c r="H197" s="652">
        <f>IF($D$127=5,$U$177,IF($D$127=6,$U$178,IF($D$127=8,$U$179,IF($D$127=10,$U$177*2,IF($D$127=12,$U$177,IF($D$127=14,$U$179*2,IF($D$127=18,$U$177,IF($D$127=20,$U$178,IF($D$127=22,"")))))))))</f>
        <v/>
      </c>
      <c r="I197" s="653">
        <f>IF($D$127=5,$V$177,IF($D$127=6,$V$178,IF($D$127=8,$V$179,IF($D$127=10,$V$177,IF($D$127=12,$V$177,IF($D$127=14,$V$179,IF($D$127=18,$V$177,IF($D$127=20,$V$178,IF($D$127=22,"")))))))))</f>
        <v/>
      </c>
      <c r="J197" s="654">
        <f>ROUNDUP((H197)/100,0)</f>
        <v/>
      </c>
    </row>
    <row r="198" ht="18" customFormat="1" customHeight="1" s="278">
      <c r="A198" s="201">
        <f>IF(B198="","",+A197+1)</f>
        <v/>
      </c>
      <c r="B198" s="296">
        <f>IF($D$127=5,$O$175,IF($D$127=6,$O$175,IF($D$127=8,$O$177,IF($D$127=10,"",IF($D$127=12,$O$176,IF($D$127=14,"",IF($D$127=18,$O$175,IF($D$127=20,$O$176,IF($D$127=22,"",)))))))))</f>
        <v/>
      </c>
      <c r="C198" s="296">
        <f>IF($D$127=5,$P$175,IF($D$127=6,$P$175,IF($D$127=8,$P$177,IF($D$127=10,"",IF($D$127=12,$P$176,IF($D$127=14,"",IF($D$127=18,$P$175,IF($D$127=20,$P$176,IF($D$127=22,"",)))))))))</f>
        <v/>
      </c>
      <c r="D198" s="296">
        <f>IF($D$127=5,$Q$175,IF($D$127=6,$Q$175,IF($D$127=8,$Q$177,IF($D$127=10,"",IF($D$127=12,$Q$176,IF($D$127=14,"",IF($D$127=18,$Q$175,IF($D$127=20,$Q$176,IF($D$127=22,"",)))))))))</f>
        <v/>
      </c>
      <c r="E198" s="296">
        <f>IF($D$127=5,R180,IF($D$127=6,R180,IF($D$127=8,R182,IF($D$127=10,"",IF($D$127=12,R181,IF($D$127=14,"",IF($D$127=18,R180,IF($D$127=20,R181,IF($D$127=22,"",)))))))))</f>
        <v/>
      </c>
      <c r="F198" s="242">
        <f>IF($D$127=5,$S$175,IF($D$127=6,$S$175,IF($D$127=8,$S$177,IF($D$127=10,"",IF($D$127=12,$S$176,IF($D$127=14,"",IF($D$127=18,$S$175,IF($D$127=20,$S$176,IF($D$127=22,"",)))))))))</f>
        <v/>
      </c>
      <c r="G198" s="242">
        <f>IF($D$127=5,$T$175,IF($D$127=6,$T$175,IF($D$127=8,$T$177,IF($D$127=10,"",IF($D$127=12,$T$176,IF($D$127=14,"",IF($D$127=18,$T$175,IF($D$127=20,$T$176,IF($D$127=22,"",)))))))))</f>
        <v/>
      </c>
      <c r="H198" s="652">
        <f>IF($D$127=5,$U$175,IF($D$127=6,$U$175,IF($D$127=8,$U$177,IF($D$127=10,"",IF($D$127=12,$U$176,IF($D$127=14,"",IF($D$127=18,$U$175,IF($D$127=20,$U$176,IF($D$127=22,"")))))))))</f>
        <v/>
      </c>
      <c r="I198" s="653">
        <f>IF($D$127=5,$V$175,IF($D$127=6,$V$175,IF($D$127=8,$V$177,IF($D$127=10,"",IF($D$127=12,$V$176,IF($D$127=14,"",IF($D$127=18,$V$175,IF($D$127=20,$V$176,IF($D$127=22,"",)))))))))</f>
        <v/>
      </c>
      <c r="J198" s="654">
        <f>ROUNDUP((H198)/100,0)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 t="n"/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$J$120*G200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$J$120*G201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$J$120*G202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$J$120*G203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$J$120*G204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$J$120*G205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C282" s="278" t="n"/>
      <c r="D282" s="161" t="n"/>
      <c r="E282" s="109" t="n"/>
      <c r="F282" s="109" t="n"/>
      <c r="G282" s="109" t="n"/>
      <c r="H282" s="109" t="n"/>
      <c r="J282" s="109" t="n"/>
    </row>
    <row r="283" ht="15.75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7))/8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7))/8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$J$143+$J$144+$J$145+$J$146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7))/8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7))/8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$I$147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6">
        <f>$I$148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$J$148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inlineStr">
        <is>
          <t xml:space="preserve">                          Sash Stop</t>
        </is>
      </c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328" t="inlineStr">
        <is>
          <t xml:space="preserve">                          = FAME HIGHT - 92.00</t>
        </is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542" t="inlineStr">
        <is>
          <t xml:space="preserve">                          ความสูง (วงกบ) - 92.00</t>
        </is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6">
        <f>$I$149</f>
        <v/>
      </c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657">
        <f>$J$149+$J$150</f>
        <v/>
      </c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72" t="n"/>
      <c r="C324" s="278" t="n"/>
      <c r="D324" s="161" t="n"/>
      <c r="E324" s="35" t="n"/>
      <c r="F324" s="160" t="n"/>
      <c r="G324" s="160" t="n"/>
      <c r="H324" s="160" t="n"/>
      <c r="I324" s="94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75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75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75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75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75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43" t="n"/>
      <c r="J514" s="107" t="n"/>
    </row>
    <row r="515" ht="15.9" customFormat="1" customHeight="1" s="278">
      <c r="A515" s="27" t="n"/>
      <c r="B515" s="278" t="n"/>
      <c r="C515" s="278" t="n"/>
      <c r="D515" s="161" t="n"/>
      <c r="E515" s="109" t="n"/>
      <c r="F515" s="109" t="n"/>
      <c r="G515" s="109" t="n"/>
      <c r="H515" s="66" t="n"/>
      <c r="I515" s="278" t="n"/>
      <c r="J515" s="10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02" t="inlineStr">
        <is>
          <t>ITEM</t>
        </is>
      </c>
      <c r="B520" s="103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86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7)/8)-13</t>
        </is>
      </c>
      <c r="I521" s="124">
        <f>(($J$126-185-(113.25*7))/8)-13</f>
        <v/>
      </c>
      <c r="J521" s="151">
        <f>$J$120*8</f>
        <v/>
      </c>
      <c r="M521" s="278">
        <f>ROW()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346" t="n"/>
      <c r="B523" s="295" t="n"/>
      <c r="C523" s="295" t="n"/>
      <c r="D523" s="296" t="n"/>
      <c r="E523" s="242" t="n"/>
      <c r="F523" s="251" t="n"/>
      <c r="G523" s="297" t="n"/>
      <c r="H523" s="242" t="n"/>
      <c r="I523" s="298" t="n"/>
      <c r="J523" s="299" t="n"/>
      <c r="M523" s="278">
        <f>ROW()</f>
        <v/>
      </c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IF(B524="","",+""+1)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M524" s="278">
        <f>ROW()</f>
        <v/>
      </c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M525" s="278">
        <f>ROW()</f>
        <v/>
      </c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M526" s="278">
        <f>ROW()</f>
        <v/>
      </c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M527" s="278">
        <f>ROW()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</row>
    <row r="528">
      <c r="M528" s="278">
        <f>ROW()</f>
        <v/>
      </c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M529" s="278">
        <f>ROW()</f>
        <v/>
      </c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A131:J131"/>
    <mergeCell ref="D121:G121"/>
    <mergeCell ref="H161:H162"/>
    <mergeCell ref="I154:J154"/>
    <mergeCell ref="D129:G129"/>
    <mergeCell ref="D123:G123"/>
    <mergeCell ref="I166:J167"/>
    <mergeCell ref="J123:J124"/>
    <mergeCell ref="A117:J117"/>
    <mergeCell ref="F521:G521"/>
    <mergeCell ref="I156:J156"/>
    <mergeCell ref="A173:J173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63:H168"/>
    <mergeCell ref="H126:I127"/>
    <mergeCell ref="D171:D172"/>
    <mergeCell ref="I155:J155"/>
    <mergeCell ref="I161:J161"/>
    <mergeCell ref="A6:J6"/>
    <mergeCell ref="D161:D162"/>
    <mergeCell ref="A427:J427"/>
    <mergeCell ref="C310:E310"/>
    <mergeCell ref="J120:J121"/>
    <mergeCell ref="I157:J157"/>
    <mergeCell ref="A125:B125"/>
    <mergeCell ref="A519:J519"/>
    <mergeCell ref="J126:J127"/>
    <mergeCell ref="D159:D160"/>
    <mergeCell ref="D169:D170"/>
    <mergeCell ref="I159:J16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$O$175:$O$193</formula1>
    </dataValidation>
    <dataValidation sqref="D123:G123" showDropDown="0" showInputMessage="1" showErrorMessage="1" allowBlank="1" type="list">
      <formula1>$P$118:$P$128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 codeName="Sheet40">
    <tabColor theme="5" tint="-0.249977111117893"/>
    <outlinePr summaryBelow="1" summaryRight="1"/>
    <pageSetUpPr/>
  </sheetPr>
  <dimension ref="A2:X528"/>
  <sheetViews>
    <sheetView showGridLines="0" view="pageBreakPreview" zoomScale="75" zoomScaleNormal="75" zoomScaleSheetLayoutView="75" workbookViewId="0">
      <selection activeCell="A1" sqref="A1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240-8 Panel (4L4R)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FG-240-8P4L4R-01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7.1" customFormat="1" customHeight="1" s="278">
      <c r="A119" s="109" t="n"/>
      <c r="C119" s="110" t="inlineStr">
        <is>
          <t>Project Name :</t>
        </is>
      </c>
      <c r="D119" s="637" t="inlineStr">
        <is>
          <t>AD5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SMS Black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2400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4170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16</v>
      </c>
      <c r="U133" s="283" t="inlineStr">
        <is>
          <t>(W-185-(113.25 × 7))/8</t>
        </is>
      </c>
      <c r="V133" s="285">
        <f>($J$126-185-(113.25*7))/8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16</v>
      </c>
      <c r="U134" s="143" t="inlineStr">
        <is>
          <t>(W-185-(113.25 × 7))/8</t>
        </is>
      </c>
      <c r="V134" s="144">
        <f>($J$126-185-(113.25*7))/8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16</v>
      </c>
      <c r="U135" s="240" t="inlineStr">
        <is>
          <t>(W-185-(113.25 × 7))/8</t>
        </is>
      </c>
      <c r="V135" s="145">
        <f>($J$126-185-(113.25*7))/8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16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16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16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8</v>
      </c>
      <c r="H141" s="143" t="inlineStr">
        <is>
          <t>45°แยกฝั่ง (W/2-60-(4+1)×4)/4</t>
        </is>
      </c>
      <c r="I141" s="178">
        <f>(($J$126/2)-60-(4+1)*4)/4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8</v>
      </c>
      <c r="H142" s="143" t="inlineStr">
        <is>
          <t>45°แยกฝั่ง (W/2-60-(4+1)×4)/4</t>
        </is>
      </c>
      <c r="I142" s="178">
        <f>(($J$126/2)-60-(4+1)*4)/4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12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 t="n"/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 t="n"/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30" t="n"/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5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5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4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47">
        <f>VLOOKUP(C168,$C$133:$H$153,2,0)</f>
        <v/>
      </c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516">
        <f>ROUNDUP(((F168*G168)+(F169*G169))/6400,0)</f>
        <v/>
      </c>
      <c r="I168" s="501" t="n"/>
    </row>
    <row r="169" outlineLevel="1" customFormat="1" s="278" thickBot="1">
      <c r="A169" s="213">
        <f>IF(B169="","",+A168+1)</f>
        <v/>
      </c>
      <c r="B169" s="173">
        <f>B147</f>
        <v/>
      </c>
      <c r="C169" s="173">
        <f>C147</f>
        <v/>
      </c>
      <c r="D169" s="648" t="n"/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644" t="n"/>
      <c r="I169" s="501" t="n"/>
      <c r="J169" s="501" t="n"/>
    </row>
    <row r="170" ht="24.9" customFormat="1" customHeight="1" s="278" thickBot="1">
      <c r="A170" s="642" t="inlineStr">
        <is>
          <t>PARTS LIST HARDWARE &amp; ACCESSORIES</t>
        </is>
      </c>
      <c r="B170" s="634" t="n"/>
      <c r="C170" s="634" t="n"/>
      <c r="D170" s="634" t="n"/>
      <c r="E170" s="634" t="n"/>
      <c r="F170" s="634" t="n"/>
      <c r="G170" s="634" t="n"/>
      <c r="H170" s="634" t="n"/>
      <c r="I170" s="634" t="n"/>
      <c r="J170" s="635" t="n"/>
    </row>
    <row r="171" ht="35.1" customFormat="1" customHeight="1" s="278" thickBot="1">
      <c r="A171" s="102" t="inlineStr">
        <is>
          <t>ITEM</t>
        </is>
      </c>
      <c r="B171" s="103" t="inlineStr">
        <is>
          <t>THAI</t>
        </is>
      </c>
      <c r="C171" s="103" t="inlineStr">
        <is>
          <t>DESCRIPTION</t>
        </is>
      </c>
      <c r="D171" s="103" t="inlineStr">
        <is>
          <t>PART NO.</t>
        </is>
      </c>
      <c r="E171" s="103" t="inlineStr">
        <is>
          <t>KG/m</t>
        </is>
      </c>
      <c r="F171" s="104" t="inlineStr">
        <is>
          <t>DRAWING</t>
        </is>
      </c>
      <c r="G171" s="103" t="inlineStr">
        <is>
          <t>PER</t>
        </is>
      </c>
      <c r="H171" s="104" t="inlineStr">
        <is>
          <t>QUANTITY</t>
        </is>
      </c>
      <c r="I171" s="104" t="inlineStr">
        <is>
          <t>Pack QTY</t>
        </is>
      </c>
      <c r="J171" s="115" t="inlineStr">
        <is>
          <t>TOTAL</t>
        </is>
      </c>
      <c r="N171" s="101" t="inlineStr">
        <is>
          <t>Glass size</t>
        </is>
      </c>
      <c r="O171" s="246" t="inlineStr">
        <is>
          <t>THAI</t>
        </is>
      </c>
      <c r="P171" s="246" t="inlineStr">
        <is>
          <t>DESCRIPTION</t>
        </is>
      </c>
      <c r="Q171" s="246" t="inlineStr">
        <is>
          <t>PART NO.</t>
        </is>
      </c>
      <c r="R171" s="246" t="inlineStr">
        <is>
          <t>KG/m</t>
        </is>
      </c>
      <c r="S171" s="246" t="inlineStr">
        <is>
          <t>DRAWING</t>
        </is>
      </c>
      <c r="T171" s="246" t="inlineStr">
        <is>
          <t>PER</t>
        </is>
      </c>
      <c r="U171" s="246" t="inlineStr">
        <is>
          <t>QUANTITY</t>
        </is>
      </c>
      <c r="V171" s="246" t="inlineStr">
        <is>
          <t>Pack QTY</t>
        </is>
      </c>
      <c r="W171" s="246" t="inlineStr">
        <is>
          <t>TOTAL</t>
        </is>
      </c>
    </row>
    <row r="172" ht="18" customFormat="1" customHeight="1" s="278">
      <c r="A172" s="200">
        <f>IF(B172="","",1)</f>
        <v/>
      </c>
      <c r="B172" s="140" t="inlineStr">
        <is>
          <t>หมอนรองกระจก</t>
        </is>
      </c>
      <c r="C172" s="140" t="inlineStr">
        <is>
          <t>SETTING BLOCK</t>
        </is>
      </c>
      <c r="D172" s="139" t="inlineStr">
        <is>
          <t>02-037</t>
        </is>
      </c>
      <c r="E172" s="143" t="n"/>
      <c r="F172" s="143" t="inlineStr">
        <is>
          <t>02-037</t>
        </is>
      </c>
      <c r="G172" s="143" t="inlineStr">
        <is>
          <t>PC</t>
        </is>
      </c>
      <c r="H172" s="143" t="n">
        <v>16</v>
      </c>
      <c r="I172" s="130" t="n"/>
      <c r="J172" s="131">
        <f>$J$120*H172</f>
        <v/>
      </c>
      <c r="N172" s="101" t="inlineStr">
        <is>
          <t>5,6,18</t>
        </is>
      </c>
      <c r="O172" s="280" t="inlineStr">
        <is>
          <t>5,6,18 mm ยางรองกระจก</t>
        </is>
      </c>
      <c r="P172" s="415" t="inlineStr">
        <is>
          <t>5,6,18 mm CAPTIVE WEDGE</t>
        </is>
      </c>
      <c r="Q172" s="280" t="inlineStr">
        <is>
          <t>02-022</t>
        </is>
      </c>
      <c r="R172" s="213" t="n"/>
      <c r="S172" s="213" t="inlineStr">
        <is>
          <t>02-022</t>
        </is>
      </c>
      <c r="T172" s="213" t="inlineStr">
        <is>
          <t>M</t>
        </is>
      </c>
      <c r="U172" s="650">
        <f>((($I$141*$G$141)+($I$142*$G$142)+($I$143*$G$143)+($I$144*$G$144)+($I$145*$G$145))/1000)*$J$120</f>
        <v/>
      </c>
      <c r="V172" s="650" t="n">
        <v>100</v>
      </c>
      <c r="W172" s="651">
        <f>ROUNDUP((U172)/100,0)</f>
        <v/>
      </c>
    </row>
    <row r="173" ht="18" customFormat="1" customHeight="1" s="278">
      <c r="A173" s="201">
        <f>IF(B173="","",+A172+1)</f>
        <v/>
      </c>
      <c r="B173" s="140" t="inlineStr">
        <is>
          <t>ประเก็นเฟรมบน</t>
        </is>
      </c>
      <c r="C173" s="140" t="inlineStr">
        <is>
          <t>FRAME SEAL BI-FOLD HEAD (L/R)</t>
        </is>
      </c>
      <c r="D173" s="139" t="inlineStr">
        <is>
          <t>02-015</t>
        </is>
      </c>
      <c r="E173" s="143" t="n"/>
      <c r="F173" s="143" t="inlineStr">
        <is>
          <t>02-015</t>
        </is>
      </c>
      <c r="G173" s="143" t="inlineStr">
        <is>
          <t>PC</t>
        </is>
      </c>
      <c r="H173" s="143" t="n">
        <v>2</v>
      </c>
      <c r="I173" s="130" t="n"/>
      <c r="J173" s="131">
        <f>$J$120*H173</f>
        <v/>
      </c>
      <c r="N173" s="101" t="inlineStr">
        <is>
          <t>12,20</t>
        </is>
      </c>
      <c r="O173" s="280" t="inlineStr">
        <is>
          <t>12,20 mm ยางรองกระจก</t>
        </is>
      </c>
      <c r="P173" s="415" t="inlineStr">
        <is>
          <t>12,20 mm CAPTIVE WEDGE</t>
        </is>
      </c>
      <c r="Q173" s="280" t="inlineStr">
        <is>
          <t>02-032</t>
        </is>
      </c>
      <c r="R173" s="213" t="n"/>
      <c r="S173" s="213" t="inlineStr">
        <is>
          <t>02-032</t>
        </is>
      </c>
      <c r="T173" s="213" t="inlineStr">
        <is>
          <t>M</t>
        </is>
      </c>
      <c r="U173" s="650">
        <f>((($I$141*$G$141)+($I$142*$G$142)+($I$143*$G$143)+($I$144*$G$144)+($I$145*$G$145))/1000)*$J$120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ประเก็นเฟรมล่าง</t>
        </is>
      </c>
      <c r="C174" s="140" t="inlineStr">
        <is>
          <t>FRAME SEAL BI-FOLD SILL (L/R)</t>
        </is>
      </c>
      <c r="D174" s="139" t="inlineStr">
        <is>
          <t>02-016</t>
        </is>
      </c>
      <c r="E174" s="143" t="n"/>
      <c r="F174" s="143" t="inlineStr">
        <is>
          <t>02-016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5,8,10,12,18</t>
        </is>
      </c>
      <c r="O174" s="415" t="inlineStr">
        <is>
          <t>5,8,10,12,18 mmยางอัดกระจก</t>
        </is>
      </c>
      <c r="P174" s="415" t="inlineStr">
        <is>
          <t>5,8,10,12,18 mm ROLL IN WEDGE</t>
        </is>
      </c>
      <c r="Q174" s="280" t="inlineStr">
        <is>
          <t>02-033</t>
        </is>
      </c>
      <c r="R174" s="213" t="n"/>
      <c r="S174" s="213" t="inlineStr">
        <is>
          <t>02-033</t>
        </is>
      </c>
      <c r="T174" s="213" t="inlineStr">
        <is>
          <t>M</t>
        </is>
      </c>
      <c r="U174" s="650">
        <f>((($I$141*$G$141)+($I$142*$G$142)+($I$143*$G$143)+($I$144*$G$144)+($I$145*$G$145))/1000)*$J$120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สกรู × 38</t>
        </is>
      </c>
      <c r="C175" s="140" t="inlineStr">
        <is>
          <t>#8x38 mm. SS PH SELF TAPPING SCREW</t>
        </is>
      </c>
      <c r="D175" s="139" t="n">
        <v>9</v>
      </c>
      <c r="E175" s="143" t="n"/>
      <c r="F175" s="143" t="n">
        <v>9</v>
      </c>
      <c r="G175" s="143" t="inlineStr">
        <is>
          <t>PC</t>
        </is>
      </c>
      <c r="H175" s="143" t="n">
        <v>8</v>
      </c>
      <c r="I175" s="130" t="n"/>
      <c r="J175" s="131">
        <f>$J$120*H175</f>
        <v/>
      </c>
      <c r="N175" s="101" t="inlineStr">
        <is>
          <t>6,20</t>
        </is>
      </c>
      <c r="O175" s="415" t="inlineStr">
        <is>
          <t>6,20 mm ยางอัดกระจก</t>
        </is>
      </c>
      <c r="P175" s="415" t="inlineStr">
        <is>
          <t>6,20 mm ROLL IN WEDGE</t>
        </is>
      </c>
      <c r="Q175" s="280" t="inlineStr">
        <is>
          <t>02-034</t>
        </is>
      </c>
      <c r="R175" s="213" t="n"/>
      <c r="S175" s="213" t="inlineStr">
        <is>
          <t>02-034</t>
        </is>
      </c>
      <c r="T175" s="213" t="inlineStr">
        <is>
          <t>M</t>
        </is>
      </c>
      <c r="U175" s="650">
        <f>((($I$141*$G$141)+($I$142*$G$142)+($I$143*$G$143)+($I$144*$G$144)+($I$145*$G$145))/1000)*$J$120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12</t>
        </is>
      </c>
      <c r="C176" s="140" t="inlineStr">
        <is>
          <t>#8x12 mm. CSK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110</v>
      </c>
      <c r="I176" s="130" t="n"/>
      <c r="J176" s="131">
        <f>$J$120*H176</f>
        <v/>
      </c>
      <c r="N176" s="101" t="inlineStr">
        <is>
          <t>8,14</t>
        </is>
      </c>
      <c r="O176" s="415" t="inlineStr">
        <is>
          <t>8,14 mm ยางอัดกระจก</t>
        </is>
      </c>
      <c r="P176" s="415" t="inlineStr">
        <is>
          <t>8,14 mm ROLL IN WEDGE</t>
        </is>
      </c>
      <c r="Q176" s="280" t="inlineStr">
        <is>
          <t>02-045</t>
        </is>
      </c>
      <c r="R176" s="213" t="n"/>
      <c r="S176" s="213" t="inlineStr">
        <is>
          <t>02-045</t>
        </is>
      </c>
      <c r="T176" s="213" t="inlineStr">
        <is>
          <t>M</t>
        </is>
      </c>
      <c r="U176" s="650">
        <f>((($I$141*$G$141)+($I$142*$G$142)+($I$143*$G$143)+($I$144*$G$144)+($I$145*$G$145))/1000)*$J$120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ชุดบานพับต่างระดับมีมือจับ</t>
        </is>
      </c>
      <c r="C177" s="140" t="inlineStr">
        <is>
          <t>offset Hinge Handle Set</t>
        </is>
      </c>
      <c r="D177" s="139" t="inlineStr">
        <is>
          <t>05-005</t>
        </is>
      </c>
      <c r="E177" s="143" t="n"/>
      <c r="F177" s="143" t="inlineStr">
        <is>
          <t>05-005</t>
        </is>
      </c>
      <c r="G177" s="143" t="inlineStr">
        <is>
          <t>SET</t>
        </is>
      </c>
      <c r="H177" s="143" t="n">
        <v>4</v>
      </c>
      <c r="I177" s="130" t="n"/>
      <c r="J177" s="131">
        <f>$J$120*H177</f>
        <v/>
      </c>
    </row>
    <row r="178" ht="18" customFormat="1" customHeight="1" s="278">
      <c r="A178" s="201">
        <f>IF(B178="","",+A177+1)</f>
        <v/>
      </c>
      <c r="B178" s="140" t="inlineStr">
        <is>
          <t>ชุดล้อแขวนบานตายซ้าย</t>
        </is>
      </c>
      <c r="C178" s="140" t="inlineStr">
        <is>
          <t>Left Hand Pivot Set</t>
        </is>
      </c>
      <c r="D178" s="139" t="inlineStr">
        <is>
          <t>05-006</t>
        </is>
      </c>
      <c r="E178" s="143" t="n"/>
      <c r="F178" s="143" t="inlineStr">
        <is>
          <t>05-006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ชุดล้อแขวนบานตายขวา</t>
        </is>
      </c>
      <c r="C179" s="140" t="inlineStr">
        <is>
          <t>Right Hand Pivot Set</t>
        </is>
      </c>
      <c r="D179" s="139" t="inlineStr">
        <is>
          <t>05-007</t>
        </is>
      </c>
      <c r="E179" s="143" t="n"/>
      <c r="F179" s="143" t="inlineStr">
        <is>
          <t>05-007</t>
        </is>
      </c>
      <c r="G179" s="143" t="inlineStr">
        <is>
          <t>SET</t>
        </is>
      </c>
      <c r="H179" s="143" t="n">
        <v>1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ชุดล้อแขวนบานกลาง</t>
        </is>
      </c>
      <c r="C180" s="140" t="inlineStr">
        <is>
          <t>Meetimg Set</t>
        </is>
      </c>
      <c r="D180" s="139" t="inlineStr">
        <is>
          <t>05-010</t>
        </is>
      </c>
      <c r="E180" s="143" t="n"/>
      <c r="F180" s="143" t="inlineStr">
        <is>
          <t>05-010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ชุดล้อแขวนบานกลาง</t>
        </is>
      </c>
      <c r="C181" s="140" t="inlineStr">
        <is>
          <t>Intermediate Carrier Set</t>
        </is>
      </c>
      <c r="D181" s="139" t="inlineStr">
        <is>
          <t>05-011</t>
        </is>
      </c>
      <c r="E181" s="143" t="n"/>
      <c r="F181" s="143" t="inlineStr">
        <is>
          <t>05-011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  <c r="N181" s="278" t="n"/>
      <c r="O181" s="278" t="n"/>
      <c r="P181" s="278" t="n"/>
      <c r="Q181" s="442" t="n"/>
      <c r="R181" s="442" t="n"/>
      <c r="S181" s="442" t="n"/>
      <c r="T181" s="109" t="n"/>
      <c r="U181" s="109" t="n"/>
      <c r="V181" s="109" t="n"/>
      <c r="W181" s="278" t="n"/>
    </row>
    <row r="182" ht="18" customFormat="1" customHeight="1" s="278">
      <c r="A182" s="201">
        <f>IF(B182="","",+A181+1)</f>
        <v/>
      </c>
      <c r="B182" s="140" t="inlineStr">
        <is>
          <t>ชุดสลักล็อค</t>
        </is>
      </c>
      <c r="C182" s="140" t="inlineStr">
        <is>
          <t>Twin Bolt + Rods</t>
        </is>
      </c>
      <c r="D182" s="139" t="inlineStr">
        <is>
          <t>05-014</t>
        </is>
      </c>
      <c r="E182" s="143" t="n"/>
      <c r="F182" s="143" t="inlineStr">
        <is>
          <t>05-014</t>
        </is>
      </c>
      <c r="G182" s="143" t="inlineStr">
        <is>
          <t>SET</t>
        </is>
      </c>
      <c r="H182" s="143" t="n">
        <v>4</v>
      </c>
      <c r="I182" s="144" t="n"/>
      <c r="J182" s="131">
        <f>$J$120*H182</f>
        <v/>
      </c>
      <c r="N182" s="101" t="inlineStr">
        <is>
          <t>FRAME SEAL</t>
        </is>
      </c>
      <c r="O182" s="246" t="inlineStr">
        <is>
          <t>THAI</t>
        </is>
      </c>
      <c r="P182" s="246" t="inlineStr">
        <is>
          <t>DESCRIPTION</t>
        </is>
      </c>
      <c r="Q182" s="246" t="inlineStr">
        <is>
          <t>PART NO.</t>
        </is>
      </c>
      <c r="R182" s="246" t="inlineStr">
        <is>
          <t>KG/m</t>
        </is>
      </c>
      <c r="S182" s="246" t="inlineStr">
        <is>
          <t>DRAWING</t>
        </is>
      </c>
      <c r="T182" s="246" t="inlineStr">
        <is>
          <t>PER</t>
        </is>
      </c>
      <c r="U182" s="246" t="inlineStr">
        <is>
          <t>QUANTITY</t>
        </is>
      </c>
      <c r="V182" s="246" t="inlineStr">
        <is>
          <t>Pack QTY</t>
        </is>
      </c>
      <c r="W182" s="246" t="inlineStr">
        <is>
          <t>TOTAL</t>
        </is>
      </c>
    </row>
    <row r="183" ht="18" customFormat="1" customHeight="1" s="278">
      <c r="A183" s="201">
        <f>IF(B183="","",+A182+1)</f>
        <v/>
      </c>
      <c r="B183" s="140" t="inlineStr">
        <is>
          <t>ตัวประคองสลักล็อค</t>
        </is>
      </c>
      <c r="C183" s="140" t="inlineStr">
        <is>
          <t>Guide twin Bolt Rods</t>
        </is>
      </c>
      <c r="D183" s="139" t="inlineStr">
        <is>
          <t>04-009</t>
        </is>
      </c>
      <c r="E183" s="143" t="n"/>
      <c r="F183" s="143" t="inlineStr">
        <is>
          <t>04-009</t>
        </is>
      </c>
      <c r="G183" s="143" t="inlineStr">
        <is>
          <t>PC</t>
        </is>
      </c>
      <c r="H183" s="143" t="n">
        <v>8</v>
      </c>
      <c r="I183" s="130" t="n"/>
      <c r="J183" s="131">
        <f>$J$120*H183</f>
        <v/>
      </c>
      <c r="N183" s="101" t="inlineStr">
        <is>
          <t>ธรรมดา</t>
        </is>
      </c>
      <c r="O183" s="415" t="inlineStr">
        <is>
          <t>ยางเฟรมกันน้ำ (ธรรมดา)</t>
        </is>
      </c>
      <c r="P183" s="415" t="inlineStr">
        <is>
          <t>FRAME SEAL (Standard)</t>
        </is>
      </c>
      <c r="Q183" s="280" t="inlineStr">
        <is>
          <t>02-026</t>
        </is>
      </c>
      <c r="R183" s="213" t="n"/>
      <c r="S183" s="213" t="inlineStr">
        <is>
          <t>02-026</t>
        </is>
      </c>
      <c r="T183" s="213" t="inlineStr">
        <is>
          <t>M</t>
        </is>
      </c>
      <c r="U183" s="650">
        <f>((($I$134*$G$134)+($I$136*$G$136)+($I$139*$G$139))/1000)*$J$120</f>
        <v/>
      </c>
      <c r="V183" s="650" t="n">
        <v>300</v>
      </c>
      <c r="W183" s="651">
        <f>ROUNDUP((U183)/V183,0)</f>
        <v/>
      </c>
    </row>
    <row r="184" ht="18" customFormat="1" customHeight="1" s="278">
      <c r="A184" s="201">
        <f>IF(B184="","",+A183+1)</f>
        <v/>
      </c>
      <c r="B184" s="140" t="inlineStr">
        <is>
          <t>รางเสริมเปลี่ยนล้อ</t>
        </is>
      </c>
      <c r="C184" s="140" t="inlineStr">
        <is>
          <t>35 SERIES TRACK INSERT</t>
        </is>
      </c>
      <c r="D184" s="139" t="inlineStr">
        <is>
          <t>04-004</t>
        </is>
      </c>
      <c r="E184" s="143" t="n"/>
      <c r="F184" s="143" t="inlineStr">
        <is>
          <t>04-004</t>
        </is>
      </c>
      <c r="G184" s="143" t="inlineStr">
        <is>
          <t>PC</t>
        </is>
      </c>
      <c r="H184" s="143" t="n">
        <v>1</v>
      </c>
      <c r="I184" s="130" t="n"/>
      <c r="J184" s="131">
        <f>$J$120*H184</f>
        <v/>
      </c>
      <c r="N184" s="101" t="inlineStr">
        <is>
          <t>กันเสียง</t>
        </is>
      </c>
      <c r="O184" s="415" t="inlineStr">
        <is>
          <t>ยางเฟรมกันน้ำ (กันเสียง)</t>
        </is>
      </c>
      <c r="P184" s="415" t="inlineStr">
        <is>
          <t>FRAME SEAL (Soumdproof)</t>
        </is>
      </c>
      <c r="Q184" s="280" t="inlineStr">
        <is>
          <t>02-025</t>
        </is>
      </c>
      <c r="R184" s="213" t="n"/>
      <c r="S184" s="213" t="inlineStr">
        <is>
          <t>02-025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100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ตัวรับกลอน</t>
        </is>
      </c>
      <c r="C185" s="140" t="inlineStr">
        <is>
          <t xml:space="preserve">FLUSH BOLT RECEIVER </t>
        </is>
      </c>
      <c r="D185" s="139" t="inlineStr">
        <is>
          <t>04-016</t>
        </is>
      </c>
      <c r="E185" s="143" t="n"/>
      <c r="F185" s="143" t="inlineStr">
        <is>
          <t>04-016</t>
        </is>
      </c>
      <c r="G185" s="143" t="inlineStr">
        <is>
          <t>PC</t>
        </is>
      </c>
      <c r="H185" s="143" t="n">
        <v>4</v>
      </c>
      <c r="I185" s="653" t="n"/>
      <c r="J185" s="131">
        <f>$J$120*H185</f>
        <v/>
      </c>
      <c r="N185" s="101" t="inlineStr">
        <is>
          <t>ธรรมดา</t>
        </is>
      </c>
      <c r="O185" s="415" t="inlineStr">
        <is>
          <t>ยางแซชกันน้ำ (ธรรมดา)</t>
        </is>
      </c>
      <c r="P185" s="415" t="inlineStr">
        <is>
          <t>SASH SEAL FOAM (Standard)</t>
        </is>
      </c>
      <c r="Q185" s="280" t="inlineStr">
        <is>
          <t>02-031</t>
        </is>
      </c>
      <c r="R185" s="213" t="n"/>
      <c r="S185" s="213" t="inlineStr">
        <is>
          <t>02-031</t>
        </is>
      </c>
      <c r="T185" s="213" t="inlineStr">
        <is>
          <t>M</t>
        </is>
      </c>
      <c r="U185" s="650">
        <f>((($I$141*$G$141*2)+($I$143*$G$143*2)+($I$144*$G$144*2))/1000)*$J$120</f>
        <v/>
      </c>
      <c r="V185" s="650" t="n">
        <v>350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39">
        <f>IF($D$129="Standard",$O$183,IF($D$129="Soumdproof",$O$184,))</f>
        <v/>
      </c>
      <c r="C186" s="139">
        <f>IF($D$129="Standard",$P$183,IF($D$129="Soumdproof",$P$184,))</f>
        <v/>
      </c>
      <c r="D186" s="139">
        <f>IF($D$129="Standard",$Q$183,IF($D$129="Soumdproof",$Q$184,))</f>
        <v/>
      </c>
      <c r="E186" s="143">
        <f>IF($D$129="Standard",R188,IF($D$129="Soumdproof",R189,))</f>
        <v/>
      </c>
      <c r="F186" s="143">
        <f>IF($D$129="Standard",$S$183,IF($D$129="Soumdproof",$S$184,))</f>
        <v/>
      </c>
      <c r="G186" s="143">
        <f>IF($D$129="Standard",$T$183,IF($D$129="Soumdproof",$T$184,))</f>
        <v/>
      </c>
      <c r="H186" s="652">
        <f>IF($D$129="Standard",$U$183,IF($D$129="Soumdproof",$U$184,))</f>
        <v/>
      </c>
      <c r="I186" s="653">
        <f>IF($D$129="Standard",$V$183,IF($D$129="Soumdproof",$V$184,))</f>
        <v/>
      </c>
      <c r="J186" s="654">
        <f>ROUNDUP((H186)/100,0)</f>
        <v/>
      </c>
      <c r="N186" s="101" t="inlineStr">
        <is>
          <t>กันเสียง</t>
        </is>
      </c>
      <c r="O186" s="415" t="inlineStr">
        <is>
          <t>ยางแซชกันน้ำ (กันเสียง)</t>
        </is>
      </c>
      <c r="P186" s="415" t="inlineStr">
        <is>
          <t>SASH SEAL FOAM (Soumdproof)</t>
        </is>
      </c>
      <c r="Q186" s="280" t="inlineStr">
        <is>
          <t>02-035</t>
        </is>
      </c>
      <c r="R186" s="213" t="n"/>
      <c r="S186" s="213" t="inlineStr">
        <is>
          <t>02-035</t>
        </is>
      </c>
      <c r="T186" s="213" t="inlineStr">
        <is>
          <t>M</t>
        </is>
      </c>
      <c r="U186" s="650">
        <f>((($I$141*$G$141*2)+($I$143*$G$143*2)+($I$144*$G$144*2))/1000)*$J$120</f>
        <v/>
      </c>
      <c r="V186" s="650" t="n">
        <v>100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39">
        <f>IF($D$129="Standard",$O$185,IF($D$129="Soumdproof",$O$186,))</f>
        <v/>
      </c>
      <c r="C187" s="139">
        <f>IF($D$129="Standard",$P$185,IF($D$129="Soumdproof",$P$186,))</f>
        <v/>
      </c>
      <c r="D187" s="139">
        <f>IF($D$129="Standard",$Q$185,IF($D$129="Soumdproof",$Q$186,))</f>
        <v/>
      </c>
      <c r="E187" s="143">
        <f>IF($D$129="Standard",R190,IF($D$129="Soumdproof",R191,))</f>
        <v/>
      </c>
      <c r="F187" s="143">
        <f>IF($D$129="Standard",$S$185,IF($D$129="Soumdproof",$S$186,))</f>
        <v/>
      </c>
      <c r="G187" s="143">
        <f>IF($D$129="Standard",$T$185,IF($D$129="Soumdproof",$T$186,))</f>
        <v/>
      </c>
      <c r="H187" s="652">
        <f>IF($D$129="Standard",$U$185,IF($D$129="Soumdproof",$U$186,))</f>
        <v/>
      </c>
      <c r="I187" s="653">
        <f>IF($D$129="Standard",$V$185,IF($D$129="Soumdproof",$V$186,))</f>
        <v/>
      </c>
      <c r="J187" s="654">
        <f>ROUNDUP((H187)/100,0)</f>
        <v/>
      </c>
    </row>
    <row r="188" ht="18" customFormat="1" customHeight="1" s="278">
      <c r="A188" s="201">
        <f>IF(B188="","",+A187+1)</f>
        <v/>
      </c>
      <c r="B188" s="296">
        <f>IF($D$127=5,$O$174,IF($D$127=6,$O$175,IF($D$127=8,$O$176,IF($D$127=10,$O$174,IF($D$127=12,$O$174,IF($D$127=14,$O$176,IF($D$127=18,$O$174,IF($D$127=20,$O$175,IF($D$127=22,"")))))))))</f>
        <v/>
      </c>
      <c r="C188" s="296">
        <f>IF($D$127=5,$P$174,IF($D$127=6,$P$175,IF($D$127=8,$P$176,IF($D$127=10,$P$174,IF($D$127=12,$P$174,IF($D$127=14,$P$176,IF($D$127=18,$P$174,IF($D$127=20,$P$175,IF($D$127=22,"")))))))))</f>
        <v/>
      </c>
      <c r="D188" s="296">
        <f>IF($D$127=5,$Q$174,IF($D$127=6,$Q$175,IF($D$127=8,$Q$176,IF($D$127=10,$Q$174,IF($D$127=12,$Q$174,IF($D$127=14,$Q$176,IF($D$127=18,$Q$174,IF($D$127=20,$Q$175,IF($D$127=22,"")))))))))</f>
        <v/>
      </c>
      <c r="E188" s="296">
        <f>IF($D$127=5,R179,IF($D$127=6,R180,IF($D$127=8,R181,IF($D$127=10,R179,IF($D$127=12,R179,IF($D$127=14,R181,IF($D$127=18,R179,IF($D$127=20,R180,IF($D$127=22,"",)))))))))</f>
        <v/>
      </c>
      <c r="F188" s="242">
        <f>IF($D$127=5,$S$174,IF($D$127=6,$S$175,IF($D$127=8,$S$176,IF($D$127=10,$S$174,IF($D$127=12,$S$174,IF($D$127=14,$S$176,IF($D$127=18,$S$174,IF($D$127=20,$S$175,IF($D$127=22,"")))))))))</f>
        <v/>
      </c>
      <c r="G188" s="242">
        <f>IF($D$127=5,$T$174,IF($D$127=6,$T$175,IF($D$127=8,$T$176,IF($D$127=10,$T$174,IF($D$127=12,$T$174,IF($D$127=14,$T$176,IF($D$127=18,$T$174,IF($D$127=20,$T$175,IF($D$127=22,"")))))))))</f>
        <v/>
      </c>
      <c r="H188" s="652">
        <f>IF($D$127=5,$U$174,IF($D$127=6,$U$175,IF($D$127=8,$U$176,IF($D$127=10,$U$174*2,IF($D$127=12,$U$174,IF($D$127=14,$U$176*2,IF($D$127=18,$U$174,IF($D$127=20,$U$175,IF($D$127=22,"")))))))))</f>
        <v/>
      </c>
      <c r="I188" s="653">
        <f>IF($D$127=5,$V$174,IF($D$127=6,$V$175,IF($D$127=8,$V$176,IF($D$127=10,$V$174,IF($D$127=12,$V$174,IF($D$127=14,$V$176,IF($D$127=18,$V$174,IF($D$127=20,$V$175,IF($D$127=22,"")))))))))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296">
        <f>IF($D$127=5,$O$172,IF($D$127=6,$O$172,IF($D$127=8,$O$174,IF($D$127=10,"",IF($D$127=12,$O$173,IF($D$127=14,"",IF($D$127=18,$O$172,IF($D$127=20,$O$173,IF($D$127=22,"",)))))))))</f>
        <v/>
      </c>
      <c r="C189" s="296">
        <f>IF($D$127=5,$P$172,IF($D$127=6,$P$172,IF($D$127=8,$P$174,IF($D$127=10,"",IF($D$127=12,$P$173,IF($D$127=14,"",IF($D$127=18,$P$172,IF($D$127=20,$P$173,IF($D$127=22,"",)))))))))</f>
        <v/>
      </c>
      <c r="D189" s="296">
        <f>IF($D$127=5,$Q$172,IF($D$127=6,$Q$172,IF($D$127=8,$Q$174,IF($D$127=10,"",IF($D$127=12,$Q$173,IF($D$127=14,"",IF($D$127=18,$Q$172,IF($D$127=20,$Q$173,IF($D$127=22,"",)))))))))</f>
        <v/>
      </c>
      <c r="E189" s="296">
        <f>IF($D$127=5,R177,IF($D$127=6,R177,IF($D$127=8,R179,IF($D$127=10,"",IF($D$127=12,R178,IF($D$127=14,"",IF($D$127=18,R177,IF($D$127=20,R178,IF($D$127=22,"",)))))))))</f>
        <v/>
      </c>
      <c r="F189" s="242">
        <f>IF($D$127=5,$S$172,IF($D$127=6,$S$172,IF($D$127=8,$S$174,IF($D$127=10,"",IF($D$127=12,$S$173,IF($D$127=14,"",IF($D$127=18,$S$172,IF($D$127=20,$S$173,IF($D$127=22,"",)))))))))</f>
        <v/>
      </c>
      <c r="G189" s="242">
        <f>IF($D$127=5,$T$172,IF($D$127=6,$T$172,IF($D$127=8,$T$174,IF($D$127=10,"",IF($D$127=12,$T$173,IF($D$127=14,"",IF($D$127=18,$T$172,IF($D$127=20,$T$173,IF($D$127=22,"",)))))))))</f>
        <v/>
      </c>
      <c r="H189" s="652">
        <f>IF($D$127=5,$U$172,IF($D$127=6,$U$172,IF($D$127=8,$U$174,IF($D$127=10,"",IF($D$127=12,$U$173,IF($D$127=14,"",IF($D$127=18,$U$172,IF($D$127=20,$U$173,IF($D$127=22,"")))))))))</f>
        <v/>
      </c>
      <c r="I189" s="653">
        <f>IF($D$127=5,$V$172,IF($D$127=6,$V$172,IF($D$127=8,$V$174,IF($D$127=10,"",IF($D$127=12,$V$173,IF($D$127=14,"",IF($D$127=18,$V$172,IF($D$127=20,$V$173,IF($D$127=22,"",)))))))))</f>
        <v/>
      </c>
      <c r="J189" s="654">
        <f>ROUNDUP((H189)/100,0)</f>
        <v/>
      </c>
    </row>
    <row r="190" ht="18" customFormat="1" customHeight="1" s="278">
      <c r="A190" s="201">
        <f>IF(B190="","",+A189+1)</f>
        <v/>
      </c>
      <c r="B190" s="140" t="n"/>
      <c r="C190" s="140" t="n"/>
      <c r="D190" s="139" t="n"/>
      <c r="E190" s="143" t="n"/>
      <c r="F190" s="143" t="n"/>
      <c r="G190" s="143" t="n"/>
      <c r="H190" s="143" t="n"/>
      <c r="I190" s="130" t="n"/>
      <c r="J190" s="131" t="n"/>
    </row>
    <row r="191" ht="18" customFormat="1" customHeight="1" s="278">
      <c r="A191" s="201">
        <f>IF(B191="","",+A190+1)</f>
        <v/>
      </c>
      <c r="B191" s="140" t="n"/>
      <c r="C191" s="140" t="n"/>
      <c r="D191" s="139" t="n"/>
      <c r="E191" s="143" t="n"/>
      <c r="F191" s="143" t="n"/>
      <c r="G191" s="143" t="n"/>
      <c r="H191" s="143" t="n"/>
      <c r="I191" s="130" t="n"/>
      <c r="J191" s="131" t="n"/>
    </row>
    <row r="192" ht="18" customHeight="1" s="344">
      <c r="A192" s="201">
        <f>IF(B192="","",+A191+1)</f>
        <v/>
      </c>
      <c r="B192" s="140" t="n"/>
      <c r="C192" s="140" t="n"/>
      <c r="D192" s="140" t="n"/>
      <c r="E192" s="140" t="n"/>
      <c r="F192" s="140" t="n"/>
      <c r="G192" s="140" t="n"/>
      <c r="H192" s="140" t="n"/>
      <c r="I192" s="354" t="n"/>
      <c r="J192" s="354" t="n"/>
      <c r="N192" s="278" t="n"/>
      <c r="O192" s="278" t="n"/>
      <c r="P192" s="278" t="n"/>
      <c r="Q192" s="278" t="n"/>
      <c r="R192" s="278" t="n"/>
      <c r="S192" s="278" t="n"/>
      <c r="T192" s="278" t="n"/>
      <c r="U192" s="278" t="n"/>
      <c r="V192" s="278" t="n"/>
      <c r="W192" s="278" t="n"/>
      <c r="X192" s="278" t="n"/>
    </row>
    <row r="193" ht="18" customFormat="1" customHeight="1" s="278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 t="n"/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652" t="n"/>
      <c r="I194" s="653" t="n"/>
      <c r="J194" s="654" t="n"/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652" t="n"/>
      <c r="I195" s="653" t="n"/>
      <c r="J195" s="654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652" t="n"/>
      <c r="I196" s="653" t="n"/>
      <c r="J196" s="654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652" t="n"/>
      <c r="I197" s="653" t="n"/>
      <c r="J197" s="654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652" t="n"/>
      <c r="I198" s="653" t="n"/>
      <c r="J198" s="654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652" t="n"/>
      <c r="I199" s="653" t="n"/>
      <c r="J199" s="654" t="n"/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652" t="n"/>
      <c r="I200" s="653" t="n"/>
      <c r="J200" s="654" t="n"/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652" t="n"/>
      <c r="I201" s="653" t="n"/>
      <c r="J201" s="654" t="n"/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652" t="n"/>
      <c r="I202" s="653" t="n"/>
      <c r="J202" s="654" t="n"/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652" t="n"/>
      <c r="I203" s="653" t="n"/>
      <c r="J203" s="654" t="n"/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$J$120*G204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LEFT($J$111,13)&amp;"-02"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(Frame Width - 185-(113.25 × 7))/8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(ความกว้าง (วงกบ) - 185-(113.25 × 7))/8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(Frame Width - 185-(113.25 × 7))/8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(ความกว้าง (วงกบ) - 185-(113.25 × 7))/8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$I$146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$J$146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$I$147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$J$147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D307" s="161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89" t="n"/>
      <c r="D308" s="161" t="n"/>
      <c r="E308" s="109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LEFT($J$111,13)&amp;"-03"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90">
        <f>$J$2</f>
        <v/>
      </c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LEFT($J$111,13)&amp;"-04"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90">
        <f>$J$2</f>
        <v/>
      </c>
      <c r="K422" s="37" t="n"/>
      <c r="L422" s="37" t="n"/>
      <c r="M422" s="2" t="n"/>
      <c r="N422" s="2" t="n"/>
    </row>
    <row r="423" ht="24.9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1">
        <f>$J$3</f>
        <v/>
      </c>
      <c r="K423" s="37" t="n"/>
      <c r="L423" s="37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$J$4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15.6" customHeight="1" s="344">
      <c r="B443" s="64" t="n"/>
      <c r="C443" s="163" t="n"/>
      <c r="D443" s="161" t="n"/>
      <c r="E443" s="109" t="n"/>
      <c r="F443" s="161" t="n"/>
      <c r="G443" s="109" t="n"/>
      <c r="H443" s="109" t="n"/>
    </row>
    <row r="448" ht="15.9" customFormat="1" customHeight="1" s="278">
      <c r="A448" s="109" t="n"/>
      <c r="D448" s="345" t="n"/>
      <c r="I448" s="501" t="n"/>
      <c r="J448" s="501" t="n"/>
    </row>
    <row r="449" ht="15.9" customFormat="1" customHeight="1" s="278">
      <c r="A449" s="109" t="n"/>
      <c r="B449" s="278" t="n"/>
      <c r="C449" s="278" t="n"/>
      <c r="D449" s="161" t="n"/>
      <c r="E449" s="109" t="n"/>
      <c r="F449" s="161" t="n"/>
      <c r="G449" s="109" t="n"/>
      <c r="H449" s="109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44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161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3" t="n"/>
      <c r="D454" s="161" t="n"/>
      <c r="E454" s="109" t="n"/>
      <c r="F454" s="161" t="n"/>
      <c r="G454" s="109" t="n"/>
      <c r="H454" s="109" t="n"/>
      <c r="I454" s="109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278" t="n"/>
      <c r="D456" s="161" t="n"/>
      <c r="E456" s="109" t="n"/>
      <c r="F456" s="109" t="n"/>
      <c r="G456" s="109" t="n"/>
      <c r="H456" s="109" t="n"/>
      <c r="I456" s="501" t="n"/>
      <c r="J456" s="501" t="n"/>
    </row>
    <row r="457" ht="15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7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.9" customFormat="1" customHeight="1" s="23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109" t="n"/>
      <c r="J475" s="109" t="n"/>
    </row>
    <row r="476" ht="15.9" customFormat="1" customHeight="1" s="278">
      <c r="A476" s="44" t="n"/>
      <c r="B476" s="278" t="n"/>
      <c r="C476" s="278" t="n"/>
      <c r="D476" s="161" t="n"/>
      <c r="E476" s="109" t="n"/>
      <c r="F476" s="109" t="n"/>
      <c r="G476" s="109" t="n"/>
      <c r="H476" s="109" t="n"/>
      <c r="I476" s="44" t="n"/>
      <c r="J476" s="119" t="n"/>
    </row>
    <row r="477" ht="15.9" customFormat="1" customHeight="1" s="278">
      <c r="A477" s="40" t="n"/>
      <c r="B477" s="44" t="n"/>
      <c r="C477" s="44" t="n"/>
      <c r="D477" s="84" t="n"/>
      <c r="E477" s="44" t="n"/>
      <c r="F477" s="44" t="n"/>
      <c r="G477" s="44" t="n"/>
      <c r="H477" s="44" t="n"/>
      <c r="I477" s="32" t="n"/>
      <c r="J477" s="40" t="n"/>
    </row>
    <row r="478" ht="15.9" customFormat="1" customHeight="1" s="278">
      <c r="A478" s="27" t="n"/>
      <c r="B478" s="40" t="n"/>
      <c r="C478" s="44" t="n"/>
      <c r="D478" s="85" t="n"/>
      <c r="E478" s="40" t="n"/>
      <c r="F478" s="32" t="n"/>
      <c r="G478" s="40" t="n"/>
      <c r="H478" s="32" t="n"/>
      <c r="I478" s="501" t="n"/>
      <c r="J478" s="501" t="n"/>
    </row>
    <row r="479" ht="15.9" customFormat="1" customHeight="1" s="278">
      <c r="A479" s="27" t="n"/>
      <c r="B479" s="278" t="n"/>
      <c r="C479" s="93" t="n"/>
      <c r="D479" s="161" t="n"/>
      <c r="E479" s="109" t="n"/>
      <c r="F479" s="109" t="n"/>
      <c r="G479" s="109" t="n"/>
      <c r="H479" s="93" t="n"/>
      <c r="I479" s="287" t="n"/>
      <c r="J479" s="302" t="n"/>
    </row>
    <row r="480" ht="15.9" customFormat="1" customHeight="1" s="278">
      <c r="A480" s="27" t="n"/>
      <c r="B480" s="278" t="n"/>
      <c r="C480" s="163" t="n"/>
      <c r="D480" s="161" t="n"/>
      <c r="E480" s="109" t="n"/>
      <c r="F480" s="109" t="n"/>
      <c r="G480" s="109" t="n"/>
      <c r="H480" s="287" t="n"/>
      <c r="I480" s="278" t="n"/>
      <c r="J480" s="109" t="n"/>
    </row>
    <row r="481" ht="15.9" customFormat="1" customHeight="1" s="278">
      <c r="A481" s="27" t="n"/>
      <c r="B481" s="278" t="n"/>
      <c r="C481" s="161" t="n"/>
      <c r="D481" s="161" t="n"/>
      <c r="E481" s="109" t="n"/>
      <c r="F481" s="109" t="n"/>
      <c r="G481" s="109" t="n"/>
      <c r="H481" s="278" t="n"/>
      <c r="I481" s="501" t="n"/>
      <c r="J481" s="501" t="n"/>
    </row>
    <row r="482" ht="15.9" customFormat="1" customHeight="1" s="278">
      <c r="A482" s="27" t="n"/>
      <c r="B482" s="278" t="n"/>
      <c r="C482" s="278" t="n"/>
      <c r="D482" s="161" t="n"/>
      <c r="E482" s="109" t="n"/>
      <c r="F482" s="109" t="n"/>
      <c r="G482" s="109" t="n"/>
      <c r="H482" s="109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87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161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78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D493" s="161" t="n"/>
      <c r="E493" s="109" t="n"/>
      <c r="F493" s="109" t="n"/>
      <c r="G493" s="278" t="n"/>
      <c r="H493" s="278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93" t="n"/>
      <c r="I497" s="287" t="n"/>
      <c r="J497" s="302" t="n"/>
    </row>
    <row r="498" ht="15.9" customFormat="1" customHeight="1" s="278">
      <c r="A498" s="27" t="n"/>
      <c r="B498" s="278" t="n"/>
      <c r="C498" s="63" t="n"/>
      <c r="D498" s="161" t="n"/>
      <c r="E498" s="109" t="n"/>
      <c r="F498" s="109" t="n"/>
      <c r="G498" s="109" t="n"/>
      <c r="H498" s="287" t="n"/>
      <c r="I498" s="278" t="n"/>
      <c r="J498" s="109" t="n"/>
    </row>
    <row r="499" ht="15.9" customFormat="1" customHeight="1" s="278">
      <c r="A499" s="27" t="n"/>
      <c r="B499" s="278" t="n"/>
      <c r="C499" s="287" t="n"/>
      <c r="D499" s="161" t="n"/>
      <c r="E499" s="109" t="n"/>
      <c r="F499" s="109" t="n"/>
      <c r="G499" s="109" t="n"/>
      <c r="H499" s="278" t="n"/>
      <c r="I499" s="501" t="n"/>
      <c r="J499" s="501" t="n"/>
    </row>
    <row r="500" ht="15.9" customFormat="1" customHeight="1" s="278">
      <c r="A500" s="27" t="n"/>
      <c r="B500" s="278" t="n"/>
      <c r="C500" s="161" t="n"/>
      <c r="D500" s="161" t="n"/>
      <c r="E500" s="109" t="n"/>
      <c r="F500" s="109" t="n"/>
      <c r="G500" s="109" t="n"/>
      <c r="H500" s="93" t="n"/>
      <c r="I500" s="287" t="n"/>
      <c r="J500" s="302" t="n"/>
    </row>
    <row r="501" ht="15.9" customFormat="1" customHeight="1" s="278">
      <c r="A501" s="27" t="n"/>
      <c r="B501" s="278" t="n"/>
      <c r="C501" s="278" t="n"/>
      <c r="D501" s="161" t="n"/>
      <c r="E501" s="109" t="n"/>
      <c r="F501" s="109" t="n"/>
      <c r="G501" s="109" t="n"/>
      <c r="H501" s="287" t="n"/>
      <c r="I501" s="278" t="n"/>
      <c r="J501" s="109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78" t="n"/>
      <c r="I502" s="501" t="n"/>
      <c r="J502" s="501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109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43" t="n"/>
      <c r="J512" s="107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7)/8)-13</t>
        </is>
      </c>
      <c r="I520" s="124">
        <f>(($J$126-185-(113.25*7))/8)-13</f>
        <v/>
      </c>
      <c r="J520" s="151">
        <f>$J$120*8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4">
    <mergeCell ref="I162:J165"/>
    <mergeCell ref="I158:J158"/>
    <mergeCell ref="D127:G127"/>
    <mergeCell ref="I168:J168"/>
    <mergeCell ref="H163:H167"/>
    <mergeCell ref="D121:G121"/>
    <mergeCell ref="A131:J131"/>
    <mergeCell ref="H161:H162"/>
    <mergeCell ref="H168:H169"/>
    <mergeCell ref="I154:J154"/>
    <mergeCell ref="D129:G129"/>
    <mergeCell ref="F329:G329"/>
    <mergeCell ref="D123:G123"/>
    <mergeCell ref="A170:J170"/>
    <mergeCell ref="A117:J117"/>
    <mergeCell ref="J123:J124"/>
    <mergeCell ref="I166:J167"/>
    <mergeCell ref="I156:J156"/>
    <mergeCell ref="A518:J518"/>
    <mergeCell ref="H159:H160"/>
    <mergeCell ref="H120:I121"/>
    <mergeCell ref="A319:J319"/>
    <mergeCell ref="F330:G330"/>
    <mergeCell ref="D119:G119"/>
    <mergeCell ref="H126:I127"/>
    <mergeCell ref="A6:J6"/>
    <mergeCell ref="I155:J155"/>
    <mergeCell ref="I161:J161"/>
    <mergeCell ref="D161:D162"/>
    <mergeCell ref="D168:D169"/>
    <mergeCell ref="A212:J212"/>
    <mergeCell ref="F333:G333"/>
    <mergeCell ref="J120:J121"/>
    <mergeCell ref="I157:J157"/>
    <mergeCell ref="A426:J426"/>
    <mergeCell ref="H123:I124"/>
    <mergeCell ref="A125:B125"/>
    <mergeCell ref="J126:J127"/>
    <mergeCell ref="D159:D160"/>
    <mergeCell ref="F520:G520"/>
    <mergeCell ref="I159:J160"/>
    <mergeCell ref="D125:G125"/>
    <mergeCell ref="C309:E309"/>
    <mergeCell ref="D163:D167"/>
  </mergeCells>
  <dataValidations disablePrompts="1" count="4">
    <dataValidation sqref="D129:G129" showDropDown="0" showInputMessage="1" showErrorMessage="1" allowBlank="1" type="list">
      <formula1>$O$119</formula1>
    </dataValidation>
    <dataValidation sqref="D127:G127" showDropDown="0" showInputMessage="1" showErrorMessage="1" allowBlank="1" type="list">
      <formula1>$N$119:$N$127</formula1>
    </dataValidation>
    <dataValidation sqref="C205" showDropDown="0" showInputMessage="1" showErrorMessage="1" allowBlank="1" type="list">
      <formula1>$O$172:$O$190</formula1>
    </dataValidation>
    <dataValidation sqref="D123:G123" showDropDown="0" showInputMessage="1" showErrorMessage="1" allowBlank="1" type="list">
      <formula1>$P$118:$P$128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4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 codeName="Sheet29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H123" sqref="H123:I124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1.109375" bestFit="1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11.33203125" customWidth="1" style="344" min="17" max="17"/>
    <col hidden="1" outlineLevel="1" width="13.6640625" customWidth="1" style="344" min="18" max="18"/>
    <col hidden="1" outlineLevel="1" width="12" customWidth="1" style="344" min="19" max="19"/>
    <col hidden="1" outlineLevel="1" width="15.109375" customWidth="1" style="344" min="20" max="20"/>
    <col hidden="1" outlineLevel="1" width="19.88671875" customWidth="1" style="344" min="21" max="21"/>
    <col hidden="1" outlineLevel="1" width="10.5546875" customWidth="1" style="344" min="22" max="22"/>
    <col hidden="1" outlineLevel="1" width="10.88671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240-8 Panel (5L3R)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FG-240-8P5L3R-01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บ้านคุณพีรดา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2600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Black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4800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16</v>
      </c>
      <c r="U133" s="283" t="inlineStr">
        <is>
          <t>(W-185-(113.25 × 7))/8</t>
        </is>
      </c>
      <c r="V133" s="285">
        <f>($J$126-185-(113.25*7))/8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16</v>
      </c>
      <c r="U134" s="143" t="inlineStr">
        <is>
          <t>(W-185-(113.25 × 7))/8</t>
        </is>
      </c>
      <c r="V134" s="144">
        <f>($J$126-185-(113.25*7))/8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16</v>
      </c>
      <c r="U135" s="240" t="inlineStr">
        <is>
          <t>(W-185-(113.25 × 7))/8</t>
        </is>
      </c>
      <c r="V135" s="145">
        <f>($J$126-185-(113.25*7))/8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16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16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16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8</v>
      </c>
      <c r="H141" s="143" t="inlineStr">
        <is>
          <t>45° (W-60-(8+1)×4)/8</t>
        </is>
      </c>
      <c r="I141" s="178">
        <f>($J$126-60-(8+1)*4)/8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8</v>
      </c>
      <c r="H142" s="143" t="inlineStr">
        <is>
          <t>45° (W-60-(8+1)×4)/8</t>
        </is>
      </c>
      <c r="I142" s="178">
        <f>($J$126-60-(8+1)*4)/8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12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>
      <c r="A151" s="143">
        <f>IF(B151="","",+A150+1)</f>
        <v/>
      </c>
      <c r="B151" s="140" t="n"/>
      <c r="C151" s="140" t="n"/>
      <c r="D151" s="139" t="n"/>
      <c r="E151" s="143" t="n"/>
      <c r="F151" s="139" t="n"/>
      <c r="G151" s="143" t="n"/>
      <c r="H151" s="143" t="n"/>
      <c r="I151" s="130" t="n"/>
      <c r="J151" s="131">
        <f>$J$120*G151</f>
        <v/>
      </c>
      <c r="N151" s="287" t="n"/>
    </row>
    <row r="152" ht="18" customFormat="1" customHeight="1" s="278">
      <c r="A152" s="143">
        <f>IF(B152="","",+A151+1)</f>
        <v/>
      </c>
      <c r="B152" s="140" t="n"/>
      <c r="C152" s="140" t="n"/>
      <c r="D152" s="139" t="n"/>
      <c r="E152" s="143" t="n"/>
      <c r="F152" s="139" t="n"/>
      <c r="G152" s="143" t="n"/>
      <c r="H152" s="143" t="n"/>
      <c r="I152" s="130" t="n"/>
      <c r="J152" s="131">
        <f>$J$120*G152</f>
        <v/>
      </c>
      <c r="N152" s="287" t="n"/>
    </row>
    <row r="153" ht="18" customFormat="1" customHeight="1" s="278" thickBot="1">
      <c r="A153" s="143">
        <f>IF(B153="","",+A152+1)</f>
        <v/>
      </c>
      <c r="B153" s="207" t="n"/>
      <c r="C153" s="207" t="n"/>
      <c r="D153" s="208" t="n"/>
      <c r="E153" s="209" t="n"/>
      <c r="F153" s="208" t="n"/>
      <c r="G153" s="209" t="n"/>
      <c r="H153" s="209" t="n"/>
      <c r="I153" s="171" t="n"/>
      <c r="J153" s="172">
        <f>$J$120*G153</f>
        <v/>
      </c>
    </row>
    <row r="154" outlineLevel="1" ht="27" customFormat="1" customHeight="1" s="278" thickBot="1">
      <c r="A154" s="169" t="inlineStr">
        <is>
          <t>ITEM</t>
        </is>
      </c>
      <c r="B154" s="169" t="inlineStr">
        <is>
          <t>THAI</t>
        </is>
      </c>
      <c r="C154" s="169" t="inlineStr">
        <is>
          <t>DESCRIPTION</t>
        </is>
      </c>
      <c r="D154" s="169" t="inlineStr">
        <is>
          <t>DIE NO.</t>
        </is>
      </c>
      <c r="E154" s="169" t="inlineStr">
        <is>
          <t>KG/m</t>
        </is>
      </c>
      <c r="F154" s="177" t="inlineStr">
        <is>
          <t>TOTAL
LENGTH/SET(mm)</t>
        </is>
      </c>
      <c r="G154" s="169" t="inlineStr">
        <is>
          <t>LENGTH/SET(m)</t>
        </is>
      </c>
      <c r="H154" s="170" t="inlineStr">
        <is>
          <t>TAKE OFF/6.4M</t>
        </is>
      </c>
      <c r="I154" s="540" t="n"/>
    </row>
    <row r="155" outlineLevel="1" ht="15" customFormat="1" customHeight="1" s="278">
      <c r="A155" s="21">
        <f>IF(B155="","",1)</f>
        <v/>
      </c>
      <c r="B155" s="173">
        <f>B133</f>
        <v/>
      </c>
      <c r="C155" s="173">
        <f>C133</f>
        <v/>
      </c>
      <c r="D155" s="577">
        <f>VLOOKUP(C155,$C$133:$H$153,2,0)</f>
        <v/>
      </c>
      <c r="E155" s="175">
        <f>VLOOKUP(C155,$C$133:$H$153,3,0)</f>
        <v/>
      </c>
      <c r="F155" s="353">
        <f>VLOOKUP(C155,$C$133:$J$153,7,0)</f>
        <v/>
      </c>
      <c r="G155" s="175">
        <f>VLOOKUP(C155,$C$133:$J$153,8,0)</f>
        <v/>
      </c>
      <c r="H155" s="191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B134</f>
        <v/>
      </c>
      <c r="C156" s="173">
        <f>C134</f>
        <v/>
      </c>
      <c r="D156" s="577">
        <f>VLOOKUP(C156,$C$133:$H$153,2,0)</f>
        <v/>
      </c>
      <c r="E156" s="175">
        <f>VLOOKUP(C156,$C$133:$H$153,3,0)</f>
        <v/>
      </c>
      <c r="F156" s="353">
        <f>VLOOKUP(C156,$C$133:$I$153,7,0)</f>
        <v/>
      </c>
      <c r="G156" s="175">
        <f>VLOOKUP(C156,$C$133:$J$153,8,0)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B135</f>
        <v/>
      </c>
      <c r="C157" s="173">
        <f>C135</f>
        <v/>
      </c>
      <c r="D157" s="577">
        <f>VLOOKUP(C157,$C$133:$H$153,2,0)</f>
        <v/>
      </c>
      <c r="E157" s="175">
        <f>VLOOKUP(C157,$C$133:$H$153,3,0)</f>
        <v/>
      </c>
      <c r="F157" s="353">
        <f>VLOOKUP(C157,$C$133:$I$153,7,0)</f>
        <v/>
      </c>
      <c r="G157" s="175">
        <f>VLOOKUP(C157,$C$133:$J$153,8,0)</f>
        <v/>
      </c>
      <c r="H157" s="192">
        <f>ROUNDUP((F157*G157)/6400,0)</f>
        <v/>
      </c>
      <c r="I157" s="501" t="n"/>
    </row>
    <row r="158" outlineLevel="1" ht="15" customFormat="1" customHeight="1" s="278">
      <c r="A158" s="213">
        <f>IF(B158="","",+A157+1)</f>
        <v/>
      </c>
      <c r="B158" s="173">
        <f>B136</f>
        <v/>
      </c>
      <c r="C158" s="173">
        <f>C136</f>
        <v/>
      </c>
      <c r="D158" s="577">
        <f>VLOOKUP(C158,$C$133:$H$153,2,0)</f>
        <v/>
      </c>
      <c r="E158" s="175">
        <f>VLOOKUP(C158,$C$133:$H$153,3,0)</f>
        <v/>
      </c>
      <c r="F158" s="353">
        <f>VLOOKUP(C158,$C$133:$I$153,7,0)</f>
        <v/>
      </c>
      <c r="G158" s="175">
        <f>VLOOKUP(C158,$C$133:$J$153,8,0)</f>
        <v/>
      </c>
      <c r="H158" s="192">
        <f>ROUNDUP((F158*G158)/6400,0)</f>
        <v/>
      </c>
      <c r="I158" s="501" t="n"/>
    </row>
    <row r="159" outlineLevel="1" ht="15" customFormat="1" customHeight="1" s="278">
      <c r="A159" s="213">
        <f>IF(B159="","",+A158+1)</f>
        <v/>
      </c>
      <c r="B159" s="173">
        <f>B137</f>
        <v/>
      </c>
      <c r="C159" s="173">
        <f>C137</f>
        <v/>
      </c>
      <c r="D159" s="643">
        <f>VLOOKUP(C159,$C$133:$H$153,2,0)</f>
        <v/>
      </c>
      <c r="E159" s="175">
        <f>VLOOKUP(C159,$C$133:$H$153,3,0)</f>
        <v/>
      </c>
      <c r="F159" s="353">
        <f>VLOOKUP(C159,$C$133:$I$153,7,0)</f>
        <v/>
      </c>
      <c r="G159" s="175">
        <f>VLOOKUP(C159,$C$133:$J$153,8,0)</f>
        <v/>
      </c>
      <c r="H159" s="516">
        <f>ROUNDUP(((F159*G159)+(F160*G160))/6400,0)</f>
        <v/>
      </c>
      <c r="I159" s="506" t="n"/>
    </row>
    <row r="160" outlineLevel="1" ht="15" customFormat="1" customHeight="1" s="278">
      <c r="A160" s="213">
        <f>IF(B160="","",+A159+1)</f>
        <v/>
      </c>
      <c r="B160" s="173">
        <f>B138</f>
        <v/>
      </c>
      <c r="C160" s="173">
        <f>C138</f>
        <v/>
      </c>
      <c r="D160" s="625" t="n"/>
      <c r="E160" s="175">
        <f>VLOOKUP(C160,$C$133:$H$153,3,0)</f>
        <v/>
      </c>
      <c r="F160" s="353">
        <f>VLOOKUP(C160,$C$133:$I$153,7,0)</f>
        <v/>
      </c>
      <c r="G160" s="175">
        <f>VLOOKUP(C160,$C$133:$J$153,8,0)</f>
        <v/>
      </c>
      <c r="H160" s="644" t="n"/>
    </row>
    <row r="161" outlineLevel="1" ht="15" customFormat="1" customHeight="1" s="278">
      <c r="A161" s="213">
        <f>IF(B161="","",+A160+1)</f>
        <v/>
      </c>
      <c r="B161" s="173">
        <f>B139</f>
        <v/>
      </c>
      <c r="C161" s="173">
        <f>C139</f>
        <v/>
      </c>
      <c r="D161" s="643">
        <f>VLOOKUP(C161,$C$133:$H$153,2,0)</f>
        <v/>
      </c>
      <c r="E161" s="175">
        <f>VLOOKUP(C161,$C$133:$H$153,3,0)</f>
        <v/>
      </c>
      <c r="F161" s="353">
        <f>VLOOKUP(C161,$C$133:$I$153,7,0)</f>
        <v/>
      </c>
      <c r="G161" s="175">
        <f>VLOOKUP(C161,$C$133:$J$153,8,0)</f>
        <v/>
      </c>
      <c r="H161" s="516">
        <f>ROUNDUP(((F161*G161)+(F162*G162))/6400,0)</f>
        <v/>
      </c>
      <c r="I161" s="501" t="n"/>
    </row>
    <row r="162" outlineLevel="1" ht="15" customFormat="1" customHeight="1" s="278">
      <c r="A162" s="213">
        <f>IF(B162="","",+A161+1)</f>
        <v/>
      </c>
      <c r="B162" s="173">
        <f>B140</f>
        <v/>
      </c>
      <c r="C162" s="173">
        <f>C140</f>
        <v/>
      </c>
      <c r="D162" s="625" t="n"/>
      <c r="E162" s="175">
        <f>VLOOKUP(C162,$C$133:$H$153,3,0)</f>
        <v/>
      </c>
      <c r="F162" s="353">
        <f>VLOOKUP(C162,$C$133:$I$153,7,0)</f>
        <v/>
      </c>
      <c r="G162" s="175">
        <f>VLOOKUP(C162,$C$133:$J$153,8,0)</f>
        <v/>
      </c>
      <c r="H162" s="644" t="n"/>
      <c r="I162" s="506" t="n"/>
    </row>
    <row r="163" outlineLevel="1" ht="13.8" customFormat="1" customHeight="1" s="278">
      <c r="A163" s="213">
        <f>IF(B163="","",+A162+1)</f>
        <v/>
      </c>
      <c r="B163" s="173">
        <f>B141</f>
        <v/>
      </c>
      <c r="C163" s="173">
        <f>C141</f>
        <v/>
      </c>
      <c r="D163" s="643">
        <f>VLOOKUP(C163,$C$133:$H$153,2,0)</f>
        <v/>
      </c>
      <c r="E163" s="175">
        <f>VLOOKUP(C163,$C$133:$H$153,3,0)</f>
        <v/>
      </c>
      <c r="F163" s="353">
        <f>VLOOKUP(C163,$C$133:$I$153,7,0)</f>
        <v/>
      </c>
      <c r="G163" s="175">
        <f>VLOOKUP(C163,$C$133:$J$153,8,0)</f>
        <v/>
      </c>
      <c r="H163" s="516">
        <f>ROUNDUP(((F163*G163)+(F164*G164)+(F165*G165)+(F166*G166)+(F167*G167)+(F168*G168))/6400,0)</f>
        <v/>
      </c>
    </row>
    <row r="164" outlineLevel="1" ht="13.8" customFormat="1" customHeight="1" s="278">
      <c r="A164" s="213">
        <f>IF(B164="","",+A163+1)</f>
        <v/>
      </c>
      <c r="B164" s="173">
        <f>B142</f>
        <v/>
      </c>
      <c r="C164" s="173">
        <f>C142</f>
        <v/>
      </c>
      <c r="D164" s="624" t="n"/>
      <c r="E164" s="175">
        <f>VLOOKUP(C164,$C$133:$H$153,3,0)</f>
        <v/>
      </c>
      <c r="F164" s="353">
        <f>VLOOKUP(C164,$C$133:$I$153,7,0)</f>
        <v/>
      </c>
      <c r="G164" s="175">
        <f>VLOOKUP(C164,$C$133:$J$153,8,0)</f>
        <v/>
      </c>
      <c r="H164" s="646" t="n"/>
    </row>
    <row r="165" outlineLevel="1" ht="13.8" customFormat="1" customHeight="1" s="278">
      <c r="A165" s="213">
        <f>IF(B165="","",+A164+1)</f>
        <v/>
      </c>
      <c r="B165" s="173">
        <f>B143</f>
        <v/>
      </c>
      <c r="C165" s="173">
        <f>C143</f>
        <v/>
      </c>
      <c r="D165" s="624" t="n"/>
      <c r="E165" s="175">
        <f>VLOOKUP(C165,$C$133:$H$153,3,0)</f>
        <v/>
      </c>
      <c r="F165" s="353">
        <f>VLOOKUP(C165,$C$133:$I$153,7,0)</f>
        <v/>
      </c>
      <c r="G165" s="175">
        <f>VLOOKUP(C165,$C$133:$J$153,8,0)</f>
        <v/>
      </c>
      <c r="H165" s="646" t="n"/>
    </row>
    <row r="166" outlineLevel="1" ht="13.8" customFormat="1" customHeight="1" s="278">
      <c r="A166" s="213">
        <f>IF(B166="","",+A165+1)</f>
        <v/>
      </c>
      <c r="B166" s="173">
        <f>B144</f>
        <v/>
      </c>
      <c r="C166" s="173">
        <f>C144</f>
        <v/>
      </c>
      <c r="D166" s="624" t="n"/>
      <c r="E166" s="175">
        <f>VLOOKUP(C166,$C$133:$H$153,3,0)</f>
        <v/>
      </c>
      <c r="F166" s="353">
        <f>VLOOKUP(C166,$C$133:$I$153,7,0)</f>
        <v/>
      </c>
      <c r="G166" s="175">
        <f>VLOOKUP(C166,$C$133:$J$153,8,0)</f>
        <v/>
      </c>
      <c r="H166" s="646" t="n"/>
      <c r="I166" s="506" t="n"/>
    </row>
    <row r="167" outlineLevel="1" ht="13.8" customFormat="1" customHeight="1" s="278">
      <c r="A167" s="213">
        <f>IF(B167="","",+A166+1)</f>
        <v/>
      </c>
      <c r="B167" s="173">
        <f>B145</f>
        <v/>
      </c>
      <c r="C167" s="173">
        <f>C145</f>
        <v/>
      </c>
      <c r="D167" s="624" t="n"/>
      <c r="E167" s="175">
        <f>VLOOKUP(C167,$C$133:$H$153,3,0)</f>
        <v/>
      </c>
      <c r="F167" s="353">
        <f>VLOOKUP(C167,$C$133:$I$153,7,0)</f>
        <v/>
      </c>
      <c r="G167" s="175">
        <f>VLOOKUP(C167,$C$133:$J$153,8,0)</f>
        <v/>
      </c>
      <c r="H167" s="646" t="n"/>
    </row>
    <row r="168" outlineLevel="1" ht="13.8" customFormat="1" customHeight="1" s="278">
      <c r="A168" s="213">
        <f>IF(B168="","",+A167+1)</f>
        <v/>
      </c>
      <c r="B168" s="173">
        <f>B146</f>
        <v/>
      </c>
      <c r="C168" s="173">
        <f>C146</f>
        <v/>
      </c>
      <c r="D168" s="625" t="n"/>
      <c r="E168" s="175">
        <f>VLOOKUP(C168,$C$133:$H$153,3,0)</f>
        <v/>
      </c>
      <c r="F168" s="353">
        <f>VLOOKUP(C168,$C$133:$I$153,7,0)</f>
        <v/>
      </c>
      <c r="G168" s="175">
        <f>VLOOKUP(C168,$C$133:$J$153,8,0)</f>
        <v/>
      </c>
      <c r="H168" s="644" t="n"/>
      <c r="I168" s="501" t="n"/>
    </row>
    <row r="169" outlineLevel="1" ht="13.8" customFormat="1" customHeight="1" s="278">
      <c r="A169" s="213">
        <f>IF(B169="","",+A168+1)</f>
        <v/>
      </c>
      <c r="B169" s="173">
        <f>B147</f>
        <v/>
      </c>
      <c r="C169" s="173">
        <f>C147</f>
        <v/>
      </c>
      <c r="D169" s="643">
        <f>VLOOKUP(C169,$C$133:$H$153,2,0)</f>
        <v/>
      </c>
      <c r="E169" s="175">
        <f>VLOOKUP(C169,$C$133:$H$153,3,0)</f>
        <v/>
      </c>
      <c r="F169" s="353">
        <f>VLOOKUP(C169,$C$133:$I$153,7,0)</f>
        <v/>
      </c>
      <c r="G169" s="175">
        <f>VLOOKUP(C169,$C$133:$J$153,8,0)</f>
        <v/>
      </c>
      <c r="H169" s="516">
        <f>ROUNDUP(((F169*G169)+(F170*G170))/6400,0)</f>
        <v/>
      </c>
      <c r="I169" s="501" t="n"/>
      <c r="J169" s="501" t="n"/>
    </row>
    <row r="170" outlineLevel="1" ht="13.8" customFormat="1" customHeight="1" s="278">
      <c r="A170" s="213">
        <f>IF(B170="","",+A169+1)</f>
        <v/>
      </c>
      <c r="B170" s="173">
        <f>B148</f>
        <v/>
      </c>
      <c r="C170" s="173">
        <f>C148</f>
        <v/>
      </c>
      <c r="D170" s="625" t="n"/>
      <c r="E170" s="175">
        <f>VLOOKUP(C170,$C$133:$H$153,3,0)</f>
        <v/>
      </c>
      <c r="F170" s="353">
        <f>VLOOKUP(C170,$C$133:$I$153,7,0)</f>
        <v/>
      </c>
      <c r="G170" s="175">
        <f>VLOOKUP(C170,$C$133:$J$153,8,0)</f>
        <v/>
      </c>
      <c r="H170" s="644" t="n"/>
      <c r="I170" s="501" t="n"/>
      <c r="J170" s="501" t="n"/>
    </row>
    <row r="171" outlineLevel="1" ht="13.8" customFormat="1" customHeight="1" s="278">
      <c r="A171" s="213">
        <f>IF(B171="","",+A170+1)</f>
        <v/>
      </c>
      <c r="B171" s="173">
        <f>B149</f>
        <v/>
      </c>
      <c r="C171" s="173">
        <f>C149</f>
        <v/>
      </c>
      <c r="D171" s="647">
        <f>VLOOKUP(C171,$C$133:$H$153,2,0)</f>
        <v/>
      </c>
      <c r="E171" s="175">
        <f>VLOOKUP(C171,$C$133:$H$153,3,0)</f>
        <v/>
      </c>
      <c r="F171" s="353">
        <f>VLOOKUP(C171,$C$133:$I$153,7,0)</f>
        <v/>
      </c>
      <c r="G171" s="175">
        <f>VLOOKUP(C171,$C$133:$J$153,8,0)</f>
        <v/>
      </c>
      <c r="H171" s="516">
        <f>ROUNDUP(((F171*G171)+(F172*G172))/6400,0)</f>
        <v/>
      </c>
      <c r="I171" s="501" t="n"/>
      <c r="J171" s="501" t="n"/>
    </row>
    <row r="172" outlineLevel="1" customFormat="1" s="278" thickBot="1">
      <c r="A172" s="213">
        <f>IF(B172="","",+A171+1)</f>
        <v/>
      </c>
      <c r="B172" s="173">
        <f>B150</f>
        <v/>
      </c>
      <c r="C172" s="173">
        <f>C150</f>
        <v/>
      </c>
      <c r="D172" s="648" t="n"/>
      <c r="E172" s="175">
        <f>VLOOKUP(C172,$C$133:$H$153,3,0)</f>
        <v/>
      </c>
      <c r="F172" s="353">
        <f>VLOOKUP(C172,$C$133:$I$153,7,0)</f>
        <v/>
      </c>
      <c r="G172" s="175">
        <f>VLOOKUP(C172,$C$133:$J$153,8,0)</f>
        <v/>
      </c>
      <c r="H172" s="644" t="n"/>
      <c r="I172" s="501" t="n"/>
      <c r="J172" s="501" t="n"/>
    </row>
    <row r="173" ht="24.9" customFormat="1" customHeight="1" s="278" thickBot="1">
      <c r="A173" s="642" t="inlineStr">
        <is>
          <t>PARTS LIST HARDWARE &amp; ACCESSORIES</t>
        </is>
      </c>
      <c r="B173" s="634" t="n"/>
      <c r="C173" s="634" t="n"/>
      <c r="D173" s="634" t="n"/>
      <c r="E173" s="634" t="n"/>
      <c r="F173" s="634" t="n"/>
      <c r="G173" s="634" t="n"/>
      <c r="H173" s="634" t="n"/>
      <c r="I173" s="634" t="n"/>
      <c r="J173" s="635" t="n"/>
    </row>
    <row r="174" ht="35.1" customFormat="1" customHeight="1" s="278" thickBot="1">
      <c r="A174" s="102" t="inlineStr">
        <is>
          <t>ITEM</t>
        </is>
      </c>
      <c r="B174" s="103" t="inlineStr">
        <is>
          <t>THAI</t>
        </is>
      </c>
      <c r="C174" s="103" t="inlineStr">
        <is>
          <t>DESCRIPTION</t>
        </is>
      </c>
      <c r="D174" s="103" t="inlineStr">
        <is>
          <t>PART NO.</t>
        </is>
      </c>
      <c r="E174" s="103" t="inlineStr">
        <is>
          <t>KG/m</t>
        </is>
      </c>
      <c r="F174" s="104" t="inlineStr">
        <is>
          <t>DRAWING</t>
        </is>
      </c>
      <c r="G174" s="103" t="inlineStr">
        <is>
          <t>PER</t>
        </is>
      </c>
      <c r="H174" s="104" t="inlineStr">
        <is>
          <t>QUANTITY</t>
        </is>
      </c>
      <c r="I174" s="104" t="inlineStr">
        <is>
          <t>Pack QTY</t>
        </is>
      </c>
      <c r="J174" s="115" t="inlineStr">
        <is>
          <t>TOTAL</t>
        </is>
      </c>
      <c r="N174" s="101" t="inlineStr">
        <is>
          <t>Glass size</t>
        </is>
      </c>
      <c r="O174" s="246" t="inlineStr">
        <is>
          <t>THAI</t>
        </is>
      </c>
      <c r="P174" s="246" t="inlineStr">
        <is>
          <t>DESCRIPTION</t>
        </is>
      </c>
      <c r="Q174" s="246" t="inlineStr">
        <is>
          <t>PART NO.</t>
        </is>
      </c>
      <c r="R174" s="246" t="inlineStr">
        <is>
          <t>KG/m</t>
        </is>
      </c>
      <c r="S174" s="246" t="inlineStr">
        <is>
          <t>DRAWING</t>
        </is>
      </c>
      <c r="T174" s="246" t="inlineStr">
        <is>
          <t>PER</t>
        </is>
      </c>
      <c r="U174" s="246" t="inlineStr">
        <is>
          <t>QUANTITY</t>
        </is>
      </c>
      <c r="V174" s="246" t="inlineStr">
        <is>
          <t>Pack QTY</t>
        </is>
      </c>
      <c r="W174" s="246" t="inlineStr">
        <is>
          <t>TOTAL</t>
        </is>
      </c>
    </row>
    <row r="175" ht="18" customFormat="1" customHeight="1" s="278">
      <c r="A175" s="200">
        <f>IF(B175="","",1)</f>
        <v/>
      </c>
      <c r="B175" s="140" t="inlineStr">
        <is>
          <t>หมอนรองกระจก</t>
        </is>
      </c>
      <c r="C175" s="140" t="inlineStr">
        <is>
          <t>SETTING BLOCK</t>
        </is>
      </c>
      <c r="D175" s="139" t="inlineStr">
        <is>
          <t>02-037</t>
        </is>
      </c>
      <c r="E175" s="143" t="n"/>
      <c r="F175" s="143" t="inlineStr">
        <is>
          <t>02-037</t>
        </is>
      </c>
      <c r="G175" s="143" t="inlineStr">
        <is>
          <t>PC</t>
        </is>
      </c>
      <c r="H175" s="143" t="n">
        <v>16</v>
      </c>
      <c r="I175" s="130" t="n"/>
      <c r="J175" s="131">
        <f>$J$120*H175</f>
        <v/>
      </c>
      <c r="N175" s="101" t="inlineStr">
        <is>
          <t>5,6,18</t>
        </is>
      </c>
      <c r="O175" s="280" t="inlineStr">
        <is>
          <t>5,6,18 mm ยางรองกระจก</t>
        </is>
      </c>
      <c r="P175" s="415" t="inlineStr">
        <is>
          <t>5,6,18 mm CAPTIVE WEDGE</t>
        </is>
      </c>
      <c r="Q175" s="280" t="inlineStr">
        <is>
          <t>02-022</t>
        </is>
      </c>
      <c r="R175" s="213" t="n"/>
      <c r="S175" s="213" t="inlineStr">
        <is>
          <t>02-022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ประเก็นเฟรมบน</t>
        </is>
      </c>
      <c r="C176" s="140" t="inlineStr">
        <is>
          <t>FRAME SEAL BI-FOLD HEAD (L/R)</t>
        </is>
      </c>
      <c r="D176" s="139" t="inlineStr">
        <is>
          <t>02-015</t>
        </is>
      </c>
      <c r="E176" s="143" t="n"/>
      <c r="F176" s="143" t="inlineStr">
        <is>
          <t>02-015</t>
        </is>
      </c>
      <c r="G176" s="143" t="inlineStr">
        <is>
          <t>PC</t>
        </is>
      </c>
      <c r="H176" s="143" t="n">
        <v>2</v>
      </c>
      <c r="I176" s="130" t="n"/>
      <c r="J176" s="131">
        <f>$J$120*H176</f>
        <v/>
      </c>
      <c r="N176" s="101" t="inlineStr">
        <is>
          <t>12,20</t>
        </is>
      </c>
      <c r="O176" s="280" t="inlineStr">
        <is>
          <t>12,20 mm ยางรองกระจก</t>
        </is>
      </c>
      <c r="P176" s="415" t="inlineStr">
        <is>
          <t>12,20 mm CAPTIVE WEDGE</t>
        </is>
      </c>
      <c r="Q176" s="280" t="inlineStr">
        <is>
          <t>02-032</t>
        </is>
      </c>
      <c r="R176" s="213" t="n"/>
      <c r="S176" s="213" t="inlineStr">
        <is>
          <t>02-032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ประเก็นเฟรมล่าง</t>
        </is>
      </c>
      <c r="C177" s="140" t="inlineStr">
        <is>
          <t>FRAME SEAL BI-FOLD SILL (L/R)</t>
        </is>
      </c>
      <c r="D177" s="139" t="inlineStr">
        <is>
          <t>02-016</t>
        </is>
      </c>
      <c r="E177" s="143" t="n"/>
      <c r="F177" s="143" t="inlineStr">
        <is>
          <t>02-016</t>
        </is>
      </c>
      <c r="G177" s="143" t="inlineStr">
        <is>
          <t>PC</t>
        </is>
      </c>
      <c r="H177" s="143" t="n">
        <v>2</v>
      </c>
      <c r="I177" s="130" t="n"/>
      <c r="J177" s="131">
        <f>$J$120*H177</f>
        <v/>
      </c>
      <c r="N177" s="101" t="inlineStr">
        <is>
          <t>5,8,10,12,18</t>
        </is>
      </c>
      <c r="O177" s="415" t="inlineStr">
        <is>
          <t>5,8,10,12,18 mmยางอัดกระจก</t>
        </is>
      </c>
      <c r="P177" s="415" t="inlineStr">
        <is>
          <t>5,8,10,12,18 mm ROLL IN WEDGE</t>
        </is>
      </c>
      <c r="Q177" s="280" t="inlineStr">
        <is>
          <t>02-033</t>
        </is>
      </c>
      <c r="R177" s="213" t="n"/>
      <c r="S177" s="213" t="inlineStr">
        <is>
          <t>02-033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สกรู × 38</t>
        </is>
      </c>
      <c r="C178" s="140" t="inlineStr">
        <is>
          <t>#8x38 mm. SS PH SELF TAPPING SCREW</t>
        </is>
      </c>
      <c r="D178" s="139" t="n">
        <v>9</v>
      </c>
      <c r="E178" s="143" t="n"/>
      <c r="F178" s="143" t="n">
        <v>9</v>
      </c>
      <c r="G178" s="143" t="inlineStr">
        <is>
          <t>PC</t>
        </is>
      </c>
      <c r="H178" s="143" t="n">
        <v>8</v>
      </c>
      <c r="I178" s="130" t="n"/>
      <c r="J178" s="131">
        <f>$J$120*H178</f>
        <v/>
      </c>
      <c r="N178" s="101" t="inlineStr">
        <is>
          <t>6,20</t>
        </is>
      </c>
      <c r="O178" s="415" t="inlineStr">
        <is>
          <t>6,20 mm ยางอัดกระจก</t>
        </is>
      </c>
      <c r="P178" s="415" t="inlineStr">
        <is>
          <t>6,20 mm ROLL IN WEDGE</t>
        </is>
      </c>
      <c r="Q178" s="280" t="inlineStr">
        <is>
          <t>02-034</t>
        </is>
      </c>
      <c r="R178" s="213" t="n"/>
      <c r="S178" s="213" t="inlineStr">
        <is>
          <t>02-034</t>
        </is>
      </c>
      <c r="T178" s="213" t="inlineStr">
        <is>
          <t>M</t>
        </is>
      </c>
      <c r="U178" s="650">
        <f>((($I$141*$G$141)+($I$142*$G$142)+($I$143*$G$143)+($I$144*$G$144)+($I$145*$G$145)+($I$146*$G$146))/1000)*$J$120</f>
        <v/>
      </c>
      <c r="V178" s="650" t="n">
        <v>100</v>
      </c>
      <c r="W178" s="651">
        <f>ROUNDUP((U178)/100,0)</f>
        <v/>
      </c>
    </row>
    <row r="179" ht="18" customFormat="1" customHeight="1" s="278">
      <c r="A179" s="201">
        <f>IF(B179="","",+A178+1)</f>
        <v/>
      </c>
      <c r="B179" s="140" t="inlineStr">
        <is>
          <t>สกรู × 12</t>
        </is>
      </c>
      <c r="C179" s="140" t="inlineStr">
        <is>
          <t>#8x12 mm. CSK SELF TAPPING SCREW</t>
        </is>
      </c>
      <c r="D179" s="139" t="n">
        <v>9</v>
      </c>
      <c r="E179" s="143" t="n"/>
      <c r="F179" s="143" t="n">
        <v>9</v>
      </c>
      <c r="G179" s="143" t="inlineStr">
        <is>
          <t>PC</t>
        </is>
      </c>
      <c r="H179" s="143" t="n">
        <v>110</v>
      </c>
      <c r="I179" s="130" t="n"/>
      <c r="J179" s="131">
        <f>$J$120*H179</f>
        <v/>
      </c>
      <c r="N179" s="101" t="inlineStr">
        <is>
          <t>8,14</t>
        </is>
      </c>
      <c r="O179" s="415" t="inlineStr">
        <is>
          <t>8,14 mm ยางอัดกระจก</t>
        </is>
      </c>
      <c r="P179" s="415" t="inlineStr">
        <is>
          <t>8,14 mm ROLL IN WEDGE</t>
        </is>
      </c>
      <c r="Q179" s="280" t="inlineStr">
        <is>
          <t>02-045</t>
        </is>
      </c>
      <c r="R179" s="213" t="n"/>
      <c r="S179" s="213" t="inlineStr">
        <is>
          <t>02-045</t>
        </is>
      </c>
      <c r="T179" s="213" t="inlineStr">
        <is>
          <t>M</t>
        </is>
      </c>
      <c r="U179" s="650">
        <f>((($I$141*$G$141)+($I$142*$G$142)+($I$143*$G$143)+($I$144*$G$144)+($I$145*$G$145)+($I$146*$G$146))/1000)*$J$120</f>
        <v/>
      </c>
      <c r="V179" s="650" t="n">
        <v>100</v>
      </c>
      <c r="W179" s="651">
        <f>ROUNDUP((U179)/100,0)</f>
        <v/>
      </c>
    </row>
    <row r="180" ht="18" customFormat="1" customHeight="1" s="278">
      <c r="A180" s="201">
        <f>IF(B180="","",+A179+1)</f>
        <v/>
      </c>
      <c r="B180" s="140" t="inlineStr">
        <is>
          <t>ชุดบานพับระดับเดียวกัน</t>
        </is>
      </c>
      <c r="C180" s="140" t="inlineStr">
        <is>
          <t>Standard Hinge Handle Set</t>
        </is>
      </c>
      <c r="D180" s="139" t="inlineStr">
        <is>
          <t>05-004</t>
        </is>
      </c>
      <c r="E180" s="143" t="n"/>
      <c r="F180" s="143" t="inlineStr">
        <is>
          <t>05-004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ชุดบานพับต่างระดับมีมือจับ</t>
        </is>
      </c>
      <c r="C181" s="140" t="inlineStr">
        <is>
          <t>offset Hinge Handle Set</t>
        </is>
      </c>
      <c r="D181" s="139" t="inlineStr">
        <is>
          <t>05-005</t>
        </is>
      </c>
      <c r="E181" s="143" t="n"/>
      <c r="F181" s="143" t="inlineStr">
        <is>
          <t>05-005</t>
        </is>
      </c>
      <c r="G181" s="143" t="inlineStr">
        <is>
          <t>SET</t>
        </is>
      </c>
      <c r="H181" s="143" t="n">
        <v>2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ชุดล้อแขวนบานตายซ้าย</t>
        </is>
      </c>
      <c r="C182" s="140" t="inlineStr">
        <is>
          <t>Left Hand Pivot Set</t>
        </is>
      </c>
      <c r="D182" s="139" t="inlineStr">
        <is>
          <t>05-006</t>
        </is>
      </c>
      <c r="E182" s="143" t="n"/>
      <c r="F182" s="143" t="inlineStr">
        <is>
          <t>05-006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</row>
    <row r="183" ht="18" customFormat="1" customHeight="1" s="278">
      <c r="A183" s="201">
        <f>IF(B183="","",+A182+1)</f>
        <v/>
      </c>
      <c r="B183" s="140" t="inlineStr">
        <is>
          <t>ชุดล้อแขวนบานตายขวา</t>
        </is>
      </c>
      <c r="C183" s="140" t="inlineStr">
        <is>
          <t>Right Hand Pivot Set</t>
        </is>
      </c>
      <c r="D183" s="139" t="inlineStr">
        <is>
          <t>05-007</t>
        </is>
      </c>
      <c r="E183" s="143" t="n"/>
      <c r="F183" s="143" t="inlineStr">
        <is>
          <t>05-007</t>
        </is>
      </c>
      <c r="G183" s="143" t="inlineStr">
        <is>
          <t>SET</t>
        </is>
      </c>
      <c r="H183" s="143" t="n">
        <v>1</v>
      </c>
      <c r="I183" s="130" t="n"/>
      <c r="J183" s="131">
        <f>$J$120*H183</f>
        <v/>
      </c>
    </row>
    <row r="184" ht="18" customFormat="1" customHeight="1" s="278">
      <c r="A184" s="201">
        <f>IF(B184="","",+A183+1)</f>
        <v/>
      </c>
      <c r="B184" s="140" t="inlineStr">
        <is>
          <t>ชุดล้อแขวนบานกลาง</t>
        </is>
      </c>
      <c r="C184" s="140" t="inlineStr">
        <is>
          <t>Intermediate Carrier Set</t>
        </is>
      </c>
      <c r="D184" s="139" t="inlineStr">
        <is>
          <t>05-011</t>
        </is>
      </c>
      <c r="E184" s="143" t="n"/>
      <c r="F184" s="143" t="inlineStr">
        <is>
          <t>05-011</t>
        </is>
      </c>
      <c r="G184" s="143" t="inlineStr">
        <is>
          <t>SET</t>
        </is>
      </c>
      <c r="H184" s="143" t="n">
        <v>3</v>
      </c>
      <c r="I184" s="130" t="n"/>
      <c r="J184" s="131">
        <f>$J$120*H184</f>
        <v/>
      </c>
      <c r="N184" s="278" t="n"/>
      <c r="O184" s="278" t="n"/>
      <c r="P184" s="278" t="n"/>
      <c r="Q184" s="442" t="n"/>
      <c r="R184" s="442" t="n"/>
      <c r="S184" s="442" t="n"/>
      <c r="T184" s="109" t="n"/>
      <c r="U184" s="109" t="n"/>
      <c r="V184" s="109" t="n"/>
      <c r="W184" s="278" t="n"/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FRAME SEAL</t>
        </is>
      </c>
      <c r="O185" s="246" t="inlineStr">
        <is>
          <t>THAI</t>
        </is>
      </c>
      <c r="P185" s="246" t="inlineStr">
        <is>
          <t>DESCRIPTION</t>
        </is>
      </c>
      <c r="Q185" s="246" t="inlineStr">
        <is>
          <t>PART NO.</t>
        </is>
      </c>
      <c r="R185" s="246" t="inlineStr">
        <is>
          <t>KG/m</t>
        </is>
      </c>
      <c r="S185" s="246" t="inlineStr">
        <is>
          <t>DRAWING</t>
        </is>
      </c>
      <c r="T185" s="246" t="inlineStr">
        <is>
          <t>PER</t>
        </is>
      </c>
      <c r="U185" s="246" t="inlineStr">
        <is>
          <t>QUANTITY</t>
        </is>
      </c>
      <c r="V185" s="246" t="inlineStr">
        <is>
          <t>Pack QTY</t>
        </is>
      </c>
      <c r="W185" s="246" t="inlineStr">
        <is>
          <t>TOTAL</t>
        </is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ยางเฟรมกันน้ำ (ธรรมดา)</t>
        </is>
      </c>
      <c r="P186" s="415" t="inlineStr">
        <is>
          <t>FRAME SEAL (Standard)</t>
        </is>
      </c>
      <c r="Q186" s="280" t="inlineStr">
        <is>
          <t>02-026</t>
        </is>
      </c>
      <c r="R186" s="213" t="n"/>
      <c r="S186" s="213" t="inlineStr">
        <is>
          <t>02-026</t>
        </is>
      </c>
      <c r="T186" s="213" t="inlineStr">
        <is>
          <t>M</t>
        </is>
      </c>
      <c r="U186" s="650">
        <f>((($I$134*$G$134)+($I$136*$G$136)+($I$139*$G$139))/1000)*$J$120</f>
        <v/>
      </c>
      <c r="V186" s="650" t="n">
        <v>300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ยางเฟรมกันน้ำ (กันเสียง)</t>
        </is>
      </c>
      <c r="P187" s="415" t="inlineStr">
        <is>
          <t>FRAME SEAL (Soumdproof)</t>
        </is>
      </c>
      <c r="Q187" s="280" t="inlineStr">
        <is>
          <t>02-025</t>
        </is>
      </c>
      <c r="R187" s="213" t="n"/>
      <c r="S187" s="213" t="inlineStr">
        <is>
          <t>02-025</t>
        </is>
      </c>
      <c r="T187" s="213" t="inlineStr">
        <is>
          <t>M</t>
        </is>
      </c>
      <c r="U187" s="650">
        <f>((($I$134*$G$134)+($I$136*$G$136)+($I$139*$G$139))/1000)*$J$120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  <c r="N188" s="101" t="inlineStr">
        <is>
          <t>ธรรมดา</t>
        </is>
      </c>
      <c r="O188" s="415" t="inlineStr">
        <is>
          <t>ยางแซชกันน้ำ (ธรรมดา)</t>
        </is>
      </c>
      <c r="P188" s="415" t="inlineStr">
        <is>
          <t>SASH SEAL FOAM (Standard)</t>
        </is>
      </c>
      <c r="Q188" s="280" t="inlineStr">
        <is>
          <t>02-031</t>
        </is>
      </c>
      <c r="R188" s="213" t="n"/>
      <c r="S188" s="213" t="inlineStr">
        <is>
          <t>02-031</t>
        </is>
      </c>
      <c r="T188" s="213" t="inlineStr">
        <is>
          <t>M</t>
        </is>
      </c>
      <c r="U188" s="650">
        <f>((($I$141*$G$141*2)+($I$143*$G$143*2)+($I$144*$G$144*2))/1000)*$J$120</f>
        <v/>
      </c>
      <c r="V188" s="650" t="n">
        <v>350</v>
      </c>
      <c r="W188" s="651">
        <f>ROUNDUP((U188)/V188,0)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04-015</t>
        </is>
      </c>
      <c r="E189" s="143" t="n"/>
      <c r="F189" s="143" t="inlineStr">
        <is>
          <t>04-015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  <c r="N189" s="101" t="inlineStr">
        <is>
          <t>กันเสียง</t>
        </is>
      </c>
      <c r="O189" s="415" t="inlineStr">
        <is>
          <t>ยางแซชกันน้ำ (กันเสียง)</t>
        </is>
      </c>
      <c r="P189" s="415" t="inlineStr">
        <is>
          <t>SASH SEAL FOAM (Soumdproof)</t>
        </is>
      </c>
      <c r="Q189" s="280" t="inlineStr">
        <is>
          <t>02-035</t>
        </is>
      </c>
      <c r="R189" s="213" t="n"/>
      <c r="S189" s="213" t="inlineStr">
        <is>
          <t>02-035</t>
        </is>
      </c>
      <c r="T189" s="213" t="inlineStr">
        <is>
          <t>M</t>
        </is>
      </c>
      <c r="U189" s="650">
        <f>((($I$141*$G$141*2)+($I$143*$G$143*2)+($I$144*$G$144*2))/1000)*$J$120</f>
        <v/>
      </c>
      <c r="V189" s="650" t="n">
        <v>100</v>
      </c>
      <c r="W189" s="651">
        <f>ROUNDUP((U189)/V189,0)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3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250 มม.</t>
        </is>
      </c>
      <c r="C191" s="140" t="inlineStr">
        <is>
          <t>Surface mounted flush bolt</t>
        </is>
      </c>
      <c r="D191" s="139" t="inlineStr">
        <is>
          <t>00-020-25</t>
        </is>
      </c>
      <c r="E191" s="143" t="n"/>
      <c r="F191" s="143" t="inlineStr">
        <is>
          <t>00-020-25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กลอนสวิง 900 มม.</t>
        </is>
      </c>
      <c r="C192" s="140" t="inlineStr">
        <is>
          <t>Surface mounted flush bolt</t>
        </is>
      </c>
      <c r="D192" s="139" t="inlineStr">
        <is>
          <t>00-020-90</t>
        </is>
      </c>
      <c r="E192" s="143" t="n"/>
      <c r="F192" s="143" t="inlineStr">
        <is>
          <t>00-020-90</t>
        </is>
      </c>
      <c r="G192" s="143" t="inlineStr">
        <is>
          <t>SET</t>
        </is>
      </c>
      <c r="H192" s="143" t="n">
        <v>1</v>
      </c>
      <c r="I192" s="130" t="n"/>
      <c r="J192" s="131">
        <f>$J$120*H192</f>
        <v/>
      </c>
    </row>
    <row r="193" ht="18" customFormat="1" customHeight="1" s="278">
      <c r="A193" s="201">
        <f>IF(B193="","",+A192+1)</f>
        <v/>
      </c>
      <c r="B193" s="140" t="inlineStr">
        <is>
          <t>สักหลาดบังใบ</t>
        </is>
      </c>
      <c r="C193" s="140" t="inlineStr">
        <is>
          <t>MOHAIR FOR SASH STOP</t>
        </is>
      </c>
      <c r="D193" s="139" t="inlineStr">
        <is>
          <t>02-028</t>
        </is>
      </c>
      <c r="E193" s="143" t="n"/>
      <c r="F193" s="143" t="inlineStr">
        <is>
          <t>02-028</t>
        </is>
      </c>
      <c r="G193" s="143" t="inlineStr">
        <is>
          <t>M</t>
        </is>
      </c>
      <c r="H193" s="652">
        <f>((($I$149*$G$149)+($I$150*$G$150))/1000)*$J$120</f>
        <v/>
      </c>
      <c r="I193" s="653" t="n">
        <v>100</v>
      </c>
      <c r="J193" s="655">
        <f>ROUNDUP((H193)/100,0)</f>
        <v/>
      </c>
    </row>
    <row r="194" ht="18" customFormat="1" customHeight="1" s="278">
      <c r="A194" s="201">
        <f>IF(B194="","",+A193+1)</f>
        <v/>
      </c>
      <c r="B194" s="140" t="inlineStr">
        <is>
          <t>สักหลาดเสา</t>
        </is>
      </c>
      <c r="C194" s="140" t="inlineStr">
        <is>
          <t>MOHAIR FOR SASH (Ver)</t>
        </is>
      </c>
      <c r="D194" s="139" t="inlineStr">
        <is>
          <t>02-036</t>
        </is>
      </c>
      <c r="E194" s="143" t="n"/>
      <c r="F194" s="143" t="inlineStr">
        <is>
          <t>02-036</t>
        </is>
      </c>
      <c r="G194" s="143" t="inlineStr">
        <is>
          <t>M</t>
        </is>
      </c>
      <c r="H194" s="652">
        <f>((($I$146*$G$146)+($I$144*$G$144))/1000)*$J$120</f>
        <v/>
      </c>
      <c r="I194" s="653" t="n">
        <v>100</v>
      </c>
      <c r="J194" s="655">
        <f>ROUNDUP((H194)/100,0)</f>
        <v/>
      </c>
    </row>
    <row r="195" ht="18" customHeight="1" s="344">
      <c r="A195" s="201">
        <f>IF(B195="","",+A194+1)</f>
        <v/>
      </c>
      <c r="B195" s="139">
        <f>IF($D$129="Standard",$O$186,IF($D$129="Soumdproof",$O$187,))</f>
        <v/>
      </c>
      <c r="C195" s="139">
        <f>IF($D$129="Standard",$P$186,IF($D$129="Soumdproof",$P$187,))</f>
        <v/>
      </c>
      <c r="D195" s="139">
        <f>IF($D$129="Standard",$Q$186,IF($D$129="Soumdproof",$Q$187,))</f>
        <v/>
      </c>
      <c r="E195" s="143">
        <f>IF($D$129="Standard",R191,IF($D$129="Soumdproof",R192,))</f>
        <v/>
      </c>
      <c r="F195" s="143">
        <f>IF($D$129="Standard",$S$186,IF($D$129="Soumdproof",$S$187,))</f>
        <v/>
      </c>
      <c r="G195" s="143">
        <f>IF($D$129="Standard",$T$186,IF($D$129="Soumdproof",$T$187,))</f>
        <v/>
      </c>
      <c r="H195" s="652">
        <f>IF($D$129="Standard",$U$186,IF($D$129="Soumdproof",$U$187,))</f>
        <v/>
      </c>
      <c r="I195" s="653">
        <f>IF($D$129="Standard",$V$186,IF($D$129="Soumdproof",$V$187,))</f>
        <v/>
      </c>
      <c r="J195" s="655">
        <f>ROUNDUP((H195)/100,0)</f>
        <v/>
      </c>
      <c r="N195" s="278" t="n"/>
      <c r="O195" s="278" t="n"/>
      <c r="P195" s="278" t="n"/>
      <c r="Q195" s="278" t="n"/>
      <c r="R195" s="278" t="n"/>
      <c r="S195" s="278" t="n"/>
      <c r="T195" s="278" t="n"/>
      <c r="U195" s="278" t="n"/>
      <c r="V195" s="278" t="n"/>
      <c r="W195" s="278" t="n"/>
      <c r="X195" s="278" t="n"/>
    </row>
    <row r="196" ht="18" customFormat="1" customHeight="1" s="278">
      <c r="A196" s="201">
        <f>IF(B196="","",+A195+1)</f>
        <v/>
      </c>
      <c r="B196" s="139">
        <f>IF($D$129="Standard",$O$188,IF($D$129="Soumdproof",$O$189,))</f>
        <v/>
      </c>
      <c r="C196" s="139">
        <f>IF($D$129="Standard",$P$188,IF($D$129="Soumdproof",$P$189,))</f>
        <v/>
      </c>
      <c r="D196" s="139">
        <f>IF($D$129="Standard",$Q$188,IF($D$129="Soumdproof",$Q$189,))</f>
        <v/>
      </c>
      <c r="E196" s="143">
        <f>IF($D$129="Standard",R193,IF($D$129="Soumdproof",R194,))</f>
        <v/>
      </c>
      <c r="F196" s="143">
        <f>IF($D$129="Standard",$S$188,IF($D$129="Soumdproof",$S$189,))</f>
        <v/>
      </c>
      <c r="G196" s="143">
        <f>IF($D$129="Standard",$T$188,IF($D$129="Soumdproof",$T$189,))</f>
        <v/>
      </c>
      <c r="H196" s="652">
        <f>IF($D$129="Standard",$U$188,IF($D$129="Soumdproof",$U$189,))</f>
        <v/>
      </c>
      <c r="I196" s="653">
        <f>IF($D$129="Standard",$V$188,IF($D$129="Soumdproof",$V$189,))</f>
        <v/>
      </c>
      <c r="J196" s="655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IF($D$127=5,$O$177,IF($D$127=6,$O$178,IF($D$127=8,$O$179,IF($D$127=10,$O$177,IF($D$127=12,$O$177,IF($D$127=14,$O$179,IF($D$127=18,$O$177,IF($D$127=20,$O$178,IF($D$127=22,"")))))))))</f>
        <v/>
      </c>
      <c r="C197" s="296">
        <f>IF($D$127=5,$P$177,IF($D$127=6,$P$178,IF($D$127=8,$P$179,IF($D$127=10,$P$177,IF($D$127=12,$P$177,IF($D$127=14,$P$179,IF($D$127=18,$P$177,IF($D$127=20,$P$178,IF($D$127=22,"")))))))))</f>
        <v/>
      </c>
      <c r="D197" s="296">
        <f>IF($D$127=5,$Q$177,IF($D$127=6,$Q$178,IF($D$127=8,$Q$179,IF($D$127=10,$Q$177,IF($D$127=12,$Q$177,IF($D$127=14,$Q$179,IF($D$127=18,$Q$177,IF($D$127=20,$Q$178,IF($D$127=22,"")))))))))</f>
        <v/>
      </c>
      <c r="E197" s="296">
        <f>IF($D$127=5,R182,IF($D$127=6,R183,IF($D$127=8,R184,IF($D$127=10,R182,IF($D$127=12,R182,IF($D$127=14,R184,IF($D$127=18,R182,IF($D$127=20,R183,IF($D$127=22,"",)))))))))</f>
        <v/>
      </c>
      <c r="F197" s="242">
        <f>IF($D$127=5,$S$177,IF($D$127=6,$S$178,IF($D$127=8,$S$179,IF($D$127=10,$S$177,IF($D$127=12,$S$177,IF($D$127=14,$S$179,IF($D$127=18,$S$177,IF($D$127=20,$S$178,IF($D$127=22,"")))))))))</f>
        <v/>
      </c>
      <c r="G197" s="242">
        <f>IF($D$127=5,$T$177,IF($D$127=6,$T$178,IF($D$127=8,$T$179,IF($D$127=10,$T$177,IF($D$127=12,$T$177,IF($D$127=14,$T$179,IF($D$127=18,$T$177,IF($D$127=20,$T$178,IF($D$127=22,"")))))))))</f>
        <v/>
      </c>
      <c r="H197" s="652">
        <f>IF($D$127=5,$U$177,IF($D$127=6,$U$178,IF($D$127=8,$U$179,IF($D$127=10,$U$177*2,IF($D$127=12,$U$177,IF($D$127=14,$U$179*2,IF($D$127=18,$U$177,IF($D$127=20,$U$178,IF($D$127=22,"")))))))))</f>
        <v/>
      </c>
      <c r="I197" s="653">
        <f>IF($D$127=5,$V$177,IF($D$127=6,$V$178,IF($D$127=8,$V$179,IF($D$127=10,$V$177,IF($D$127=12,$V$177,IF($D$127=14,$V$179,IF($D$127=18,$V$177,IF($D$127=20,$V$178,IF($D$127=22,"")))))))))</f>
        <v/>
      </c>
      <c r="J197" s="655">
        <f>ROUNDUP((H197)/100,0)</f>
        <v/>
      </c>
    </row>
    <row r="198" ht="18" customFormat="1" customHeight="1" s="278">
      <c r="A198" s="201">
        <f>IF(B198="","",+A197+1)</f>
        <v/>
      </c>
      <c r="B198" s="296">
        <f>IF($D$127=5,$O$175,IF($D$127=6,$O$175,IF($D$127=8,$O$177,IF($D$127=10,"",IF($D$127=12,$O$176,IF($D$127=14,"",IF($D$127=18,$O$175,IF($D$127=20,$O$176,IF($D$127=22,"",)))))))))</f>
        <v/>
      </c>
      <c r="C198" s="296">
        <f>IF($D$127=5,$P$175,IF($D$127=6,$P$175,IF($D$127=8,$P$177,IF($D$127=10,"",IF($D$127=12,$P$176,IF($D$127=14,"",IF($D$127=18,$P$175,IF($D$127=20,$P$176,IF($D$127=22,"",)))))))))</f>
        <v/>
      </c>
      <c r="D198" s="296">
        <f>IF($D$127=5,$Q$175,IF($D$127=6,$Q$175,IF($D$127=8,$Q$177,IF($D$127=10,"",IF($D$127=12,$Q$176,IF($D$127=14,"",IF($D$127=18,$Q$175,IF($D$127=20,$Q$176,IF($D$127=22,"",)))))))))</f>
        <v/>
      </c>
      <c r="E198" s="296">
        <f>IF($D$127=5,R180,IF($D$127=6,R180,IF($D$127=8,R182,IF($D$127=10,"",IF($D$127=12,R181,IF($D$127=14,"",IF($D$127=18,R180,IF($D$127=20,R181,IF($D$127=22,"",)))))))))</f>
        <v/>
      </c>
      <c r="F198" s="242">
        <f>IF($D$127=5,$S$175,IF($D$127=6,$S$175,IF($D$127=8,$S$177,IF($D$127=10,"",IF($D$127=12,$S$176,IF($D$127=14,"",IF($D$127=18,$S$175,IF($D$127=20,$S$176,IF($D$127=22,"",)))))))))</f>
        <v/>
      </c>
      <c r="G198" s="242">
        <f>IF($D$127=5,$T$175,IF($D$127=6,$T$175,IF($D$127=8,$T$177,IF($D$127=10,"",IF($D$127=12,$T$176,IF($D$127=14,"",IF($D$127=18,$T$175,IF($D$127=20,$T$176,IF($D$127=22,"",)))))))))</f>
        <v/>
      </c>
      <c r="H198" s="652">
        <f>IF($D$127=5,$U$175,IF($D$127=6,$U$175,IF($D$127=8,$U$177,IF($D$127=10,"",IF($D$127=12,$U$176,IF($D$127=14,"",IF($D$127=18,$U$175,IF($D$127=20,$U$176,IF($D$127=22,"")))))))))</f>
        <v/>
      </c>
      <c r="I198" s="653">
        <f>IF($D$127=5,$V$175,IF($D$127=6,$V$175,IF($D$127=8,$V$177,IF($D$127=10,"",IF($D$127=12,$V$176,IF($D$127=14,"",IF($D$127=18,$V$175,IF($D$127=20,$V$176,IF($D$127=22,"",)))))))))</f>
        <v/>
      </c>
      <c r="J198" s="655">
        <f>ROUNDUP((H198)/100,0)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 t="n"/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7))/8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7))/8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7))/8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7))/8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A316" s="109" t="n"/>
      <c r="B316" s="406" t="n"/>
      <c r="C316" s="406" t="n"/>
      <c r="D316" s="83" t="n"/>
      <c r="E316" s="27" t="n"/>
      <c r="F316" s="27" t="n"/>
      <c r="G316" s="27" t="n"/>
      <c r="H316" s="27" t="n"/>
      <c r="I316" s="179" t="n"/>
      <c r="J316" s="90">
        <f>$J$2</f>
        <v/>
      </c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A423" s="109" t="n"/>
      <c r="B423" s="278" t="n"/>
      <c r="C423" s="278" t="n"/>
      <c r="D423" s="161" t="n"/>
      <c r="E423" s="109" t="n"/>
      <c r="F423" s="109" t="n"/>
      <c r="G423" s="109" t="n"/>
      <c r="H423" s="109" t="n"/>
      <c r="I423" s="109" t="n"/>
      <c r="J423" s="90">
        <f>$J$2</f>
        <v/>
      </c>
      <c r="K423" s="37" t="n"/>
      <c r="L423" s="37" t="n"/>
      <c r="M423" s="2" t="n"/>
      <c r="N423" s="2" t="n"/>
    </row>
    <row r="424" ht="24.9" customHeight="1" s="344">
      <c r="A424" s="109" t="n"/>
      <c r="B424" s="278" t="n"/>
      <c r="C424" s="278" t="n"/>
      <c r="D424" s="161" t="n"/>
      <c r="E424" s="109" t="n"/>
      <c r="F424" s="109" t="n"/>
      <c r="G424" s="109" t="n"/>
      <c r="H424" s="109" t="n"/>
      <c r="I424" s="109" t="n"/>
      <c r="J424" s="91">
        <f>$J$3</f>
        <v/>
      </c>
      <c r="K424" s="37" t="n"/>
      <c r="L424" s="37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$J$4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44" t="n"/>
      <c r="B512" s="44" t="n"/>
      <c r="C512" s="44" t="n"/>
      <c r="D512" s="84" t="n"/>
      <c r="E512" s="44" t="n"/>
      <c r="F512" s="44" t="n"/>
      <c r="G512" s="44" t="n"/>
      <c r="H512" s="44" t="n"/>
      <c r="I512" s="44" t="n"/>
      <c r="J512" s="119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02" t="inlineStr">
        <is>
          <t>ITEM</t>
        </is>
      </c>
      <c r="B519" s="103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86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7)/8)-13</t>
        </is>
      </c>
      <c r="I520" s="124">
        <f>(($J$126-185-(113.25*7))/8)-13</f>
        <v/>
      </c>
      <c r="J520" s="151">
        <f>$J$120*8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346" t="n"/>
      <c r="B521" s="295" t="n"/>
      <c r="C521" s="295" t="n"/>
      <c r="D521" s="296" t="n"/>
      <c r="E521" s="242" t="n"/>
      <c r="F521" s="251" t="n"/>
      <c r="G521" s="297" t="n"/>
      <c r="H521" s="242" t="n"/>
      <c r="I521" s="298" t="n"/>
      <c r="J521" s="299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346" t="n"/>
      <c r="B522" s="295" t="n"/>
      <c r="C522" s="295" t="n"/>
      <c r="D522" s="296" t="n"/>
      <c r="E522" s="242" t="n"/>
      <c r="F522" s="251" t="n"/>
      <c r="G522" s="297" t="n"/>
      <c r="H522" s="242" t="n"/>
      <c r="I522" s="298" t="n"/>
      <c r="J522" s="299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IF(B523="","",+""+1)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2:J165"/>
    <mergeCell ref="I158:J158"/>
    <mergeCell ref="H171:H172"/>
    <mergeCell ref="D127:G127"/>
    <mergeCell ref="I168:J168"/>
    <mergeCell ref="A131:J131"/>
    <mergeCell ref="D121:G121"/>
    <mergeCell ref="H161:H162"/>
    <mergeCell ref="I154:J154"/>
    <mergeCell ref="D129:G129"/>
    <mergeCell ref="D123:G123"/>
    <mergeCell ref="I166:J167"/>
    <mergeCell ref="J123:J124"/>
    <mergeCell ref="A117:J117"/>
    <mergeCell ref="I156:J156"/>
    <mergeCell ref="A173:J173"/>
    <mergeCell ref="A518:J518"/>
    <mergeCell ref="A320:J320"/>
    <mergeCell ref="H159:H160"/>
    <mergeCell ref="F331:G331"/>
    <mergeCell ref="H169:H170"/>
    <mergeCell ref="H120:I121"/>
    <mergeCell ref="F334:G334"/>
    <mergeCell ref="D163:D168"/>
    <mergeCell ref="D119:G119"/>
    <mergeCell ref="F330:G330"/>
    <mergeCell ref="H163:H168"/>
    <mergeCell ref="H126:I127"/>
    <mergeCell ref="C308:E308"/>
    <mergeCell ref="D171:D172"/>
    <mergeCell ref="I155:J155"/>
    <mergeCell ref="I161:J161"/>
    <mergeCell ref="A6:J6"/>
    <mergeCell ref="D161:D162"/>
    <mergeCell ref="A427:J427"/>
    <mergeCell ref="J120:J121"/>
    <mergeCell ref="I157:J157"/>
    <mergeCell ref="A125:B125"/>
    <mergeCell ref="J126:J127"/>
    <mergeCell ref="D159:D160"/>
    <mergeCell ref="D169:D170"/>
    <mergeCell ref="F520:G520"/>
    <mergeCell ref="I159:J16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$O$175:$O$193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 codeName="Sheet30">
    <tabColor theme="5" tint="-0.249977111117893"/>
    <outlinePr summaryBelow="1" summaryRight="1"/>
    <pageSetUpPr/>
  </sheetPr>
  <dimension ref="A2:X528"/>
  <sheetViews>
    <sheetView showGridLines="0" view="pageBreakPreview" topLeftCell="A117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9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3.664062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5546875" customWidth="1" style="344" min="22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240-9 Panel (3L6R)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FG-240-9P3L6R-01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2000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Soumdproof</t>
        </is>
      </c>
      <c r="E129" s="638" t="n"/>
      <c r="F129" s="638" t="n"/>
      <c r="G129" s="639" t="n"/>
      <c r="H129" s="109" t="n"/>
      <c r="I129" s="109" t="n"/>
      <c r="J129" s="109" t="n"/>
      <c r="P129" s="97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  <c r="P131" s="97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18</v>
      </c>
      <c r="U133" s="283" t="inlineStr">
        <is>
          <t>(W-185-(113.25 × 8))/9</t>
        </is>
      </c>
      <c r="V133" s="285">
        <f>($J$126-185-(113.25*8))/9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18</v>
      </c>
      <c r="U134" s="143" t="inlineStr">
        <is>
          <t>(W-185-(113.25 × 8))/9</t>
        </is>
      </c>
      <c r="V134" s="144">
        <f>($J$126-185-(113.25*8))/9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18</v>
      </c>
      <c r="U135" s="240" t="inlineStr">
        <is>
          <t>(W-185-(113.25 × 8))/9</t>
        </is>
      </c>
      <c r="V135" s="145">
        <f>($J$126-185-(113.25*8))/9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18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18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18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9</v>
      </c>
      <c r="H141" s="683" t="inlineStr">
        <is>
          <t>45° (W-60-(9+1)×4)/9</t>
        </is>
      </c>
      <c r="I141" s="178">
        <f>($J$126-60-(9+1)*4)/9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9</v>
      </c>
      <c r="H142" s="683" t="inlineStr">
        <is>
          <t>45° (W-60-(9+1)×4)/9</t>
        </is>
      </c>
      <c r="I142" s="178">
        <f>($J$126-60-(9+1)*4)/9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>SASH (Ver) LOCK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1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IF(B151="","",+""+1)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18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ชุดล้อแขวนบานสุดท้าย</t>
        </is>
      </c>
      <c r="C182" s="140" t="inlineStr">
        <is>
          <t>Left Hand End Carriert Set</t>
        </is>
      </c>
      <c r="D182" s="139" t="inlineStr">
        <is>
          <t>05-008</t>
        </is>
      </c>
      <c r="E182" s="143" t="n"/>
      <c r="F182" s="143" t="inlineStr">
        <is>
          <t>05-008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4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8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4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((($I$149*$G$149)+($I$150*$G$150))/1000)*$J$120</f>
        <v/>
      </c>
      <c r="I189" s="653" t="n">
        <v>100</v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(((I145*G145)+($I$146*$G$146))/1000)*$J$120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IF($D$129="Standard",$O$184,IF($D$129="Soumdproof",$O$185,))</f>
        <v/>
      </c>
      <c r="C191" s="139">
        <f>IF($D$129="Standard",$P$184,IF($D$129="Soumdproof",$P$185,))</f>
        <v/>
      </c>
      <c r="D191" s="139">
        <f>IF($D$129="Standard",$Q$184,IF($D$129="Soumdproof",$Q$185,))</f>
        <v/>
      </c>
      <c r="E191" s="143">
        <f>IF($D$129="Standard",R189,IF($D$129="Soumdproof",R190,))</f>
        <v/>
      </c>
      <c r="F191" s="143">
        <f>IF($D$129="Standard",$S$184,IF($D$129="Soumdproof",$S$185,))</f>
        <v/>
      </c>
      <c r="G191" s="143">
        <f>IF($D$129="Standard",$T$184,IF($D$129="Soumdproof",$T$185,))</f>
        <v/>
      </c>
      <c r="H191" s="652">
        <f>IF($D$129="Standard",$U$184,IF($D$129="Soumdproof",$U$185,))</f>
        <v/>
      </c>
      <c r="I191" s="653">
        <f>IF($D$129="Standard",$V$184,IF($D$129="Soumdproof",$V$185,))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IF($D$129="Standard",R191,IF($D$129="Soumdproof",R192,))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296">
        <f>IF($D$127=5,$O$175,IF($D$127=6,$O$176,IF($D$127=8,$O$177,IF($D$127=10,$O$175,IF($D$127=12,$O$175,IF($D$127=14,$O$177,IF($D$127=18,$O$175,IF($D$127=20,$O$176,IF($D$127=22,"")))))))))</f>
        <v/>
      </c>
      <c r="C193" s="296">
        <f>IF($D$127=5,$P$175,IF($D$127=6,$P$176,IF($D$127=8,$P$177,IF($D$127=10,$P$175,IF($D$127=12,$P$175,IF($D$127=14,$P$177,IF($D$127=18,$P$175,IF($D$127=20,$P$176,IF($D$127=22,"")))))))))</f>
        <v/>
      </c>
      <c r="D193" s="296">
        <f>IF($D$127=5,$Q$175,IF($D$127=6,$Q$176,IF($D$127=8,$Q$177,IF($D$127=10,$Q$175,IF($D$127=12,$Q$175,IF($D$127=14,$Q$177,IF($D$127=18,$Q$175,IF($D$127=20,$Q$176,IF($D$127=22,"")))))))))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IF($D$127=5,$S$175,IF($D$127=6,$S$176,IF($D$127=8,$S$177,IF($D$127=10,$S$175,IF($D$127=12,$S$175,IF($D$127=14,$S$177,IF($D$127=18,$S$175,IF($D$127=20,$S$176,IF($D$127=22,"")))))))))</f>
        <v/>
      </c>
      <c r="G193" s="242">
        <f>IF($D$127=5,$T$175,IF($D$127=6,$T$176,IF($D$127=8,$T$177,IF($D$127=10,$T$175,IF($D$127=12,$T$175,IF($D$127=14,$T$177,IF($D$127=18,$T$175,IF($D$127=20,$T$176,IF($D$127=22,"")))))))))</f>
        <v/>
      </c>
      <c r="H193" s="652">
        <f>IF($D$127=5,$U$175,IF($D$127=6,$U$176,IF($D$127=8,$U$177,IF($D$127=10,$U$175*2,IF($D$127=12,$U$175,IF($D$127=14,$U$177*2,IF($D$127=18,$U$175,IF($D$127=20,$U$176,IF($D$127=22,"")))))))))</f>
        <v/>
      </c>
      <c r="I193" s="653">
        <f>IF($D$127=5,$V$175,IF($D$127=6,$V$176,IF($D$127=8,$V$177,IF($D$127=10,$V$175,IF($D$127=12,$V$175,IF($D$127=14,$V$177,IF($D$127=18,$V$175,IF($D$127=20,$V$176,IF($D$127=22,"")))))))))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296">
        <f>IF($D$127=5,$O$173,IF($D$127=6,$O$173,IF($D$127=8,$O$175,IF($D$127=10,"",IF($D$127=12,$O$174,IF($D$127=14,"",IF($D$127=18,$O$173,IF($D$127=20,$O$174,IF($D$127=22,"",)))))))))</f>
        <v/>
      </c>
      <c r="C194" s="296">
        <f>IF($D$127=5,$P$173,IF($D$127=6,$P$173,IF($D$127=8,$P$175,IF($D$127=10,"",IF($D$127=12,$P$174,IF($D$127=14,"",IF($D$127=18,$P$173,IF($D$127=20,$P$174,IF($D$127=22,"",)))))))))</f>
        <v/>
      </c>
      <c r="D194" s="296">
        <f>IF($D$127=5,$Q$173,IF($D$127=6,$Q$173,IF($D$127=8,$Q$175,IF($D$127=10,"",IF($D$127=12,$Q$174,IF($D$127=14,"",IF($D$127=18,$Q$173,IF($D$127=20,$Q$174,IF($D$127=22,"",)))))))))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IF($D$127=5,$S$173,IF($D$127=6,$S$173,IF($D$127=8,$S$175,IF($D$127=10,"",IF($D$127=12,$S$174,IF($D$127=14,"",IF($D$127=18,$S$173,IF($D$127=20,$S$174,IF($D$127=22,"",)))))))))</f>
        <v/>
      </c>
      <c r="G194" s="242">
        <f>IF($D$127=5,$T$173,IF($D$127=6,$T$173,IF($D$127=8,$T$175,IF($D$127=10,"",IF($D$127=12,$T$174,IF($D$127=14,"",IF($D$127=18,$T$173,IF($D$127=20,$T$174,IF($D$127=22,"",)))))))))</f>
        <v/>
      </c>
      <c r="H194" s="652">
        <f>IF($D$127=5,$U$173,IF($D$127=6,$U$173,IF($D$127=8,$U$175,IF($D$127=10,"",IF($D$127=12,$U$174,IF($D$127=14,"",IF($D$127=18,$U$173,IF($D$127=20,$U$174,IF($D$127=22,"")))))))))</f>
        <v/>
      </c>
      <c r="I194" s="653">
        <f>IF($D$127=5,$V$173,IF($D$127=6,$V$173,IF($D$127=8,$V$175,IF($D$127=10,"",IF($D$127=12,$V$174,IF($D$127=14,"",IF($D$127=18,$V$173,IF($D$127=20,$V$174,IF($D$127=22,"",)))))))))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 t="n"/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D272" s="328" t="n"/>
      <c r="E272" s="328" t="n"/>
      <c r="F272" s="109" t="n"/>
      <c r="G272" s="109" t="n"/>
      <c r="H272" s="109" t="n"/>
      <c r="J272" s="109" t="n"/>
    </row>
    <row r="273" ht="15.9" customFormat="1" customHeight="1" s="278">
      <c r="A273" s="27" t="n"/>
      <c r="B273" s="278" t="n"/>
      <c r="D273" s="328" t="n"/>
      <c r="E273" s="328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278" t="n"/>
      <c r="D274" s="161" t="n"/>
      <c r="E274" s="109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89" t="inlineStr">
        <is>
          <t xml:space="preserve">                          Door Stop Jamb</t>
        </is>
      </c>
      <c r="D275" s="162" t="n"/>
      <c r="E275" s="501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328" t="inlineStr">
        <is>
          <t xml:space="preserve">                          = FAME HIGHT - 96</t>
        </is>
      </c>
      <c r="D276" s="328" t="n"/>
      <c r="E276" s="328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542" t="inlineStr">
        <is>
          <t xml:space="preserve">                          ความสูง (วงกบ) - 96</t>
        </is>
      </c>
      <c r="D277" s="542" t="n"/>
      <c r="E277" s="542" t="n"/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6">
        <f>$I$139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657">
        <f>$J$139+$J$140</f>
        <v/>
      </c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C281" s="278" t="n"/>
      <c r="D281" s="161" t="n"/>
      <c r="E281" s="109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I283" s="162" t="n"/>
      <c r="J283" s="501" t="n"/>
    </row>
    <row r="284" ht="15.9" customFormat="1" customHeight="1" s="278">
      <c r="A284" s="27" t="n"/>
      <c r="B284" s="278" t="n"/>
      <c r="C284" s="89" t="inlineStr">
        <is>
          <t xml:space="preserve">                          Sash</t>
        </is>
      </c>
      <c r="F284" s="109" t="n"/>
      <c r="G284" s="109" t="n"/>
      <c r="H284" s="109" t="n"/>
      <c r="I284" s="109" t="n"/>
      <c r="J284" s="501" t="n"/>
    </row>
    <row r="285" ht="15.9" customFormat="1" customHeight="1" s="278">
      <c r="A285" s="27" t="n"/>
      <c r="B285" s="278" t="n"/>
      <c r="C285" s="94" t="inlineStr">
        <is>
          <t xml:space="preserve">                          = ((Frame Width - 185-(113.25 × 8))/9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542" t="inlineStr">
        <is>
          <t xml:space="preserve">                          ((ความกว้าง (วงกบ) - 185-(113.25 × 8))/9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328" t="inlineStr">
        <is>
          <t xml:space="preserve">                          = FAME HIGHT - 92.00</t>
        </is>
      </c>
      <c r="D287" s="328" t="n"/>
      <c r="E287" s="328" t="n"/>
      <c r="F287" s="109" t="n"/>
      <c r="G287" s="109" t="n"/>
      <c r="I287" s="501" t="n"/>
      <c r="J287" s="501" t="n"/>
    </row>
    <row r="288" ht="15.9" customFormat="1" customHeight="1" s="23">
      <c r="A288" s="27" t="n"/>
      <c r="B288" s="278" t="n"/>
      <c r="C288" s="542" t="inlineStr">
        <is>
          <t xml:space="preserve">                          ความสูง (วงกบ) - 92.00</t>
        </is>
      </c>
      <c r="D288" s="542" t="n"/>
      <c r="E288" s="542" t="n"/>
      <c r="F288" s="109" t="n"/>
      <c r="G288" s="109" t="n"/>
      <c r="H288" s="278" t="n"/>
      <c r="I288" s="109" t="n"/>
      <c r="J288" s="109" t="n"/>
    </row>
    <row r="289" ht="15.9" customFormat="1" customHeight="1" s="278">
      <c r="A289" s="27" t="n"/>
      <c r="B289" s="278" t="n"/>
      <c r="C289" s="656">
        <f>$I$141</f>
        <v/>
      </c>
      <c r="F289" s="109" t="n"/>
      <c r="G289" s="109" t="n"/>
      <c r="I289" s="44" t="n"/>
      <c r="J289" s="119" t="n"/>
    </row>
    <row r="290" ht="15.9" customFormat="1" customHeight="1" s="278">
      <c r="A290" s="27" t="n"/>
      <c r="B290" s="278" t="n"/>
      <c r="C290" s="657">
        <f>$J$141+$J$142</f>
        <v/>
      </c>
      <c r="D290" s="161" t="n"/>
      <c r="E290" s="109" t="n"/>
      <c r="F290" s="109" t="n"/>
      <c r="G290" s="109" t="n"/>
      <c r="H290" s="161" t="n"/>
      <c r="I290" s="32" t="n"/>
      <c r="J290" s="40" t="n"/>
    </row>
    <row r="291" ht="15.9" customFormat="1" customHeight="1" s="278">
      <c r="A291" s="27" t="n"/>
      <c r="B291" s="278" t="n"/>
      <c r="C291" s="656">
        <f>$I$143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657">
        <f>$J$143+$J$144+$J$145+$J$146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C294" s="278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23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89" t="inlineStr">
        <is>
          <t xml:space="preserve">                          Glazing Bead</t>
        </is>
      </c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94" t="inlineStr">
        <is>
          <t xml:space="preserve">                          = ((Frame Width - 185-(113.25 × 8))/9</t>
        </is>
      </c>
      <c r="D297" s="161" t="n"/>
      <c r="E297" s="109" t="n"/>
      <c r="F297" s="109" t="n"/>
      <c r="G297" s="44" t="n"/>
      <c r="H297" s="44" t="n"/>
      <c r="I297" s="109" t="n"/>
      <c r="J297" s="501" t="n"/>
    </row>
    <row r="298" ht="15.9" customFormat="1" customHeight="1" s="278">
      <c r="A298" s="27" t="n"/>
      <c r="B298" s="278" t="n"/>
      <c r="C298" s="542" t="inlineStr">
        <is>
          <t xml:space="preserve">                          ((ความกว้าง (วงกบ) - 185-(113.25 × 8))/9</t>
        </is>
      </c>
      <c r="D298" s="328" t="n"/>
      <c r="E298" s="328" t="n"/>
      <c r="F298" s="109" t="n"/>
      <c r="G298" s="40" t="n"/>
      <c r="H298" s="32" t="n"/>
      <c r="I298" s="109" t="n"/>
      <c r="J298" s="501" t="n"/>
    </row>
    <row r="299" ht="15.9" customFormat="1" customHeight="1" s="278">
      <c r="A299" s="101" t="n"/>
      <c r="B299" s="278" t="n"/>
      <c r="C299" s="328" t="inlineStr">
        <is>
          <t xml:space="preserve">                          = FAME HIGHT - 242.00</t>
        </is>
      </c>
      <c r="D299" s="542" t="n"/>
      <c r="E299" s="542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44" t="n"/>
      <c r="B300" s="44" t="n"/>
      <c r="C300" s="542" t="inlineStr">
        <is>
          <t xml:space="preserve">                          ความสูง (วงกบ) - 242.00</t>
        </is>
      </c>
      <c r="D300" s="86" t="n"/>
      <c r="E300" s="79" t="n"/>
      <c r="F300" s="44" t="n"/>
      <c r="G300" s="109" t="n"/>
      <c r="H300" s="109" t="n"/>
      <c r="I300" s="109" t="n"/>
      <c r="J300" s="501" t="n"/>
    </row>
    <row r="301" ht="15.9" customFormat="1" customHeight="1" s="278">
      <c r="A301" s="40" t="n"/>
      <c r="B301" s="40" t="n"/>
      <c r="C301" s="656">
        <f>$I$147</f>
        <v/>
      </c>
      <c r="D301" s="87" t="n"/>
      <c r="E301" s="80" t="n"/>
      <c r="F301" s="32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6">
        <f>$I$148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C304" s="657">
        <f>$J$148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75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43" t="n"/>
      <c r="J510" s="107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43" t="n"/>
      <c r="J511" s="107" t="n"/>
    </row>
    <row r="512" ht="15.9" customFormat="1" customHeight="1" s="278">
      <c r="A512" s="44" t="n"/>
      <c r="B512" s="44" t="n"/>
      <c r="C512" s="44" t="n"/>
      <c r="D512" s="84" t="n"/>
      <c r="E512" s="44" t="n"/>
      <c r="F512" s="44" t="n"/>
      <c r="G512" s="44" t="n"/>
      <c r="H512" s="44" t="n"/>
      <c r="I512" s="44" t="n"/>
      <c r="J512" s="119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8)/9)-13</t>
        </is>
      </c>
      <c r="I520" s="124">
        <f>(($J$126-185-(113.25*8))/9)-13</f>
        <v/>
      </c>
      <c r="J520" s="299">
        <f>$J$120*9</f>
        <v/>
      </c>
      <c r="M520" s="278">
        <f>ROW()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M521" s="278">
        <f>ROW()</f>
        <v/>
      </c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M522" s="278">
        <f>ROW()</f>
        <v/>
      </c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M523" s="278">
        <f>ROW()</f>
        <v/>
      </c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M524" s="278">
        <f>ROW()</f>
        <v/>
      </c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M525" s="278">
        <f>ROW()</f>
        <v/>
      </c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M526" s="278">
        <f>ROW()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>
        <f>ROW()</f>
        <v/>
      </c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M528" s="278">
        <f>ROW()</f>
        <v/>
      </c>
      <c r="N528" s="415" t="inlineStr">
        <is>
          <t>กระจก 22 mm (สูง) (กว้าง)</t>
        </is>
      </c>
      <c r="O528" s="415" t="inlineStr">
        <is>
          <t>GLASS thk.22 mm (H) (W)</t>
        </is>
      </c>
      <c r="P528" s="278" t="n"/>
      <c r="Q528" s="278" t="n"/>
      <c r="R528" s="278" t="n"/>
      <c r="S528" s="278" t="n"/>
      <c r="T528" s="278" t="n"/>
      <c r="U528" s="278" t="n"/>
      <c r="V528" s="278" t="n"/>
    </row>
  </sheetData>
  <mergeCells count="46">
    <mergeCell ref="I160:J163"/>
    <mergeCell ref="D127:G127"/>
    <mergeCell ref="D121:G121"/>
    <mergeCell ref="A131:J13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H157:H158"/>
    <mergeCell ref="I156:J156"/>
    <mergeCell ref="A518:J518"/>
    <mergeCell ref="A320:J320"/>
    <mergeCell ref="H159:H160"/>
    <mergeCell ref="F331:G331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I155:J155"/>
    <mergeCell ref="A6:J6"/>
    <mergeCell ref="A427:J427"/>
    <mergeCell ref="D161:D166"/>
    <mergeCell ref="D167:D168"/>
    <mergeCell ref="J120:J121"/>
    <mergeCell ref="I166:J166"/>
    <mergeCell ref="I164:J165"/>
    <mergeCell ref="A125:B12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 codeName="Sheet31">
    <tabColor theme="5" tint="-0.249977111117893"/>
    <outlinePr summaryBelow="1" summaryRight="1"/>
    <pageSetUpPr/>
  </sheetPr>
  <dimension ref="A2:Y529"/>
  <sheetViews>
    <sheetView showGridLines="0" view="pageBreakPreview" topLeftCell="A112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7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6.6640625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2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240-9 Panel (4L5R)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FG-240-9P4L5R-01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84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Soumdproof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18</v>
      </c>
      <c r="U133" s="283" t="inlineStr">
        <is>
          <t>(W-185-(113.25 × 8))/9</t>
        </is>
      </c>
      <c r="V133" s="285">
        <f>($J$126-185-(113.25*8))/9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18</v>
      </c>
      <c r="U134" s="143" t="inlineStr">
        <is>
          <t>(W-185-(113.25 × 8))/9</t>
        </is>
      </c>
      <c r="V134" s="144">
        <f>($J$126-185-(113.25*8))/9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18</v>
      </c>
      <c r="U135" s="240" t="inlineStr">
        <is>
          <t>(W-185-(113.25 × 8))/9</t>
        </is>
      </c>
      <c r="V135" s="145">
        <f>($J$126-185-(113.25*8))/9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18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18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18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9</v>
      </c>
      <c r="H141" s="683" t="inlineStr">
        <is>
          <t>45° (W-60-(9+1)×4)/9</t>
        </is>
      </c>
      <c r="I141" s="178">
        <f>($J$126-60-(9+1)*4)/9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9</v>
      </c>
      <c r="H142" s="143" t="inlineStr">
        <is>
          <t>45° (W-60-(9+1)×4)/9</t>
        </is>
      </c>
      <c r="I142" s="178">
        <f>($J$126-60-(9+1)*4)/9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18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Right Hand End Carrier Set</t>
        </is>
      </c>
      <c r="D182" s="139" t="inlineStr">
        <is>
          <t>05-009</t>
        </is>
      </c>
      <c r="E182" s="143" t="n"/>
      <c r="F182" s="143" t="inlineStr">
        <is>
          <t>05-009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บานพับต่างระดับมีมือจับ(ขวา)</t>
        </is>
      </c>
      <c r="C184" s="140" t="inlineStr">
        <is>
          <t>Offset Hinge Only With Handle (R)</t>
        </is>
      </c>
      <c r="D184" s="139" t="inlineStr">
        <is>
          <t>05-012</t>
        </is>
      </c>
      <c r="E184" s="143" t="n"/>
      <c r="F184" s="143" t="inlineStr">
        <is>
          <t>05-012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บานพับต่างระดับมีมือจับ(ซ้าย)</t>
        </is>
      </c>
      <c r="C185" s="140" t="inlineStr">
        <is>
          <t>Offset Hinge Only With Handle (L)</t>
        </is>
      </c>
      <c r="D185" s="139" t="inlineStr">
        <is>
          <t>05-013</t>
        </is>
      </c>
      <c r="E185" s="143" t="n"/>
      <c r="F185" s="143" t="inlineStr">
        <is>
          <t>05-013</t>
        </is>
      </c>
      <c r="G185" s="143" t="inlineStr">
        <is>
          <t>SET</t>
        </is>
      </c>
      <c r="H185" s="143" t="n">
        <v>3</v>
      </c>
      <c r="I185" s="144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ชุดสลักล็อค</t>
        </is>
      </c>
      <c r="C186" s="140" t="inlineStr">
        <is>
          <t>Twin Bolt + Rods</t>
        </is>
      </c>
      <c r="D186" s="139" t="inlineStr">
        <is>
          <t>05-014</t>
        </is>
      </c>
      <c r="E186" s="143" t="n"/>
      <c r="F186" s="143" t="inlineStr">
        <is>
          <t>05-014</t>
        </is>
      </c>
      <c r="G186" s="143" t="inlineStr">
        <is>
          <t>SET</t>
        </is>
      </c>
      <c r="H186" s="143" t="n">
        <v>4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((($I$141*$G$141*2)+($I$143*$G$143*2)+($I$144*$G$144*2)+($I$145*$G$145))/1000)*$J$120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ชุดมือจับล็อค</t>
        </is>
      </c>
      <c r="C187" s="140" t="inlineStr">
        <is>
          <t>Stainless steel mortise lock,handle,cylinder</t>
        </is>
      </c>
      <c r="D187" s="139" t="inlineStr">
        <is>
          <t>00-024 or 00-027</t>
        </is>
      </c>
      <c r="E187" s="143" t="n"/>
      <c r="F187" s="143" t="inlineStr">
        <is>
          <t>00-024 or 00-027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((($I$141*$G$141*2)+($I$143*$G$143*2)+($I$144*$G$144*2)+($I$145*$G$145))/1000)*$J$120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ตัวประคองสลักล็อค</t>
        </is>
      </c>
      <c r="C188" s="140" t="inlineStr">
        <is>
          <t>Guide twin Bolt Rods</t>
        </is>
      </c>
      <c r="D188" s="139" t="inlineStr">
        <is>
          <t>04-009</t>
        </is>
      </c>
      <c r="E188" s="143" t="n"/>
      <c r="F188" s="143" t="inlineStr">
        <is>
          <t>04-009</t>
        </is>
      </c>
      <c r="G188" s="143" t="inlineStr">
        <is>
          <t>PC</t>
        </is>
      </c>
      <c r="H188" s="143" t="n">
        <v>8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รางเสริมเปลี่ยนล้อ</t>
        </is>
      </c>
      <c r="C189" s="140" t="inlineStr">
        <is>
          <t>35 SERIES TRACK INSERT</t>
        </is>
      </c>
      <c r="D189" s="139" t="inlineStr">
        <is>
          <t>04-004</t>
        </is>
      </c>
      <c r="E189" s="143" t="n"/>
      <c r="F189" s="143" t="inlineStr">
        <is>
          <t>04-004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4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((($I$146*$G$146*2))/1000)*$J$120</f>
        <v/>
      </c>
      <c r="I192" s="653" t="n">
        <v>100</v>
      </c>
      <c r="J192" s="655">
        <f>ROUNDUP((H192)/100,0)</f>
        <v/>
      </c>
    </row>
    <row r="193" ht="18" customHeight="1" s="344">
      <c r="A193" s="201">
        <f>IF(B193="","",+A192+1)</f>
        <v/>
      </c>
      <c r="B193" s="139">
        <f>IF($D$129="Standard",$O$184,IF($D$129="Soumdproof",$O$185,))</f>
        <v/>
      </c>
      <c r="C193" s="139">
        <f>IF($D$129="Standard",$P$184,IF($D$129="Soumdproof",$P$185,))</f>
        <v/>
      </c>
      <c r="D193" s="139">
        <f>IF($D$129="Standard",$Q$184,IF($D$129="Soumdproof",$Q$185,))</f>
        <v/>
      </c>
      <c r="E193" s="143">
        <f>IF($D$129="Standard",R189,IF($D$129="Soumdproof",R190,))</f>
        <v/>
      </c>
      <c r="F193" s="143">
        <f>IF($D$129="Standard",$S$184,IF($D$129="Soumdproof",$S$185,))</f>
        <v/>
      </c>
      <c r="G193" s="143">
        <f>IF($D$129="Standard",$T$184,IF($D$129="Soumdproof",$T$185,))</f>
        <v/>
      </c>
      <c r="H193" s="652">
        <f>IF($D$129="Standard",$U$184,IF($D$129="Soumdproof",$U$185,))</f>
        <v/>
      </c>
      <c r="I193" s="653">
        <f>IF($D$129="Standard",$V$184,IF($D$129="Soumdproof",$V$185,))</f>
        <v/>
      </c>
      <c r="J193" s="654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</row>
    <row r="194" ht="18" customFormat="1" customHeight="1" s="278">
      <c r="A194" s="201">
        <f>IF(B194="","",+A193+1)</f>
        <v/>
      </c>
      <c r="B194" s="139">
        <f>IF($D$129="Standard",$O$186,IF($D$129="Soumdproof",$O$187,))</f>
        <v/>
      </c>
      <c r="C194" s="139">
        <f>IF($D$129="Standard",$P$186,IF($D$129="Soumdproof",$P$187,))</f>
        <v/>
      </c>
      <c r="D194" s="139">
        <f>IF($D$129="Standard",$Q$186,IF($D$129="Soumdproof",$Q$187,))</f>
        <v/>
      </c>
      <c r="E194" s="143">
        <f>IF($D$129="Standard",R191,IF($D$129="Soumdproof",R192,))</f>
        <v/>
      </c>
      <c r="F194" s="143">
        <f>IF($D$129="Standard",$S$186,IF($D$129="Soumdproof",$S$187,))</f>
        <v/>
      </c>
      <c r="G194" s="143">
        <f>IF($D$129="Standard",$T$186,IF($D$129="Soumdproof",$T$187,))</f>
        <v/>
      </c>
      <c r="H194" s="652">
        <f>IF($D$129="Standard",$U$186,IF($D$129="Soumdproof",$U$187,))</f>
        <v/>
      </c>
      <c r="I194" s="653">
        <f>IF($D$129="Standard",$V$186,IF($D$129="Soumdproof",$V$187,))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IF($D$127=5,$O$175,IF($D$127=6,$O$176,IF($D$127=8,$O$177,IF($D$127=10,$O$175,IF($D$127=12,$O$175,IF($D$127=14,$O$177,IF($D$127=18,$O$175,IF($D$127=20,$O$176,IF($D$127=22,"")))))))))</f>
        <v/>
      </c>
      <c r="C195" s="296">
        <f>IF($D$127=5,$P$175,IF($D$127=6,$P$176,IF($D$127=8,$P$177,IF($D$127=10,$P$175,IF($D$127=12,$P$175,IF($D$127=14,$P$177,IF($D$127=18,$P$175,IF($D$127=20,$P$176,IF($D$127=22,"")))))))))</f>
        <v/>
      </c>
      <c r="D195" s="296">
        <f>IF($D$127=5,$Q$175,IF($D$127=6,$Q$176,IF($D$127=8,$Q$177,IF($D$127=10,$Q$175,IF($D$127=12,$Q$175,IF($D$127=14,$Q$177,IF($D$127=18,$Q$175,IF($D$127=20,$Q$176,IF($D$127=22,"")))))))))</f>
        <v/>
      </c>
      <c r="E195" s="296">
        <f>IF($D$127=5,R180,IF($D$127=6,R181,IF($D$127=8,R182,IF($D$127=10,R180,IF($D$127=12,R180,IF($D$127=14,R182,IF($D$127=18,R180,IF($D$127=20,R181,IF($D$127=22,"",)))))))))</f>
        <v/>
      </c>
      <c r="F195" s="242">
        <f>IF($D$127=5,$S$175,IF($D$127=6,$S$176,IF($D$127=8,$S$177,IF($D$127=10,$S$175,IF($D$127=12,$S$175,IF($D$127=14,$S$177,IF($D$127=18,$S$175,IF($D$127=20,$S$176,IF($D$127=22,"")))))))))</f>
        <v/>
      </c>
      <c r="G195" s="242">
        <f>IF($D$127=5,$T$175,IF($D$127=6,$T$176,IF($D$127=8,$T$177,IF($D$127=10,$T$175,IF($D$127=12,$T$175,IF($D$127=14,$T$177,IF($D$127=18,$T$175,IF($D$127=20,$T$176,IF($D$127=22,"")))))))))</f>
        <v/>
      </c>
      <c r="H195" s="652">
        <f>IF($D$127=5,$U$175,IF($D$127=6,$U$176,IF($D$127=8,$U$177,IF($D$127=10,$U$175*2,IF($D$127=12,$U$175,IF($D$127=14,$U$177*2,IF($D$127=18,$U$175,IF($D$127=20,$U$176,IF($D$127=22,"")))))))))</f>
        <v/>
      </c>
      <c r="I195" s="653">
        <f>IF($D$127=5,$V$175,IF($D$127=6,$V$176,IF($D$127=8,$V$177,IF($D$127=10,$V$175,IF($D$127=12,$V$175,IF($D$127=14,$V$177,IF($D$127=18,$V$175,IF($D$127=20,$V$176,IF($D$127=22,"")))))))))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296">
        <f>IF($D$127=5,$O$173,IF($D$127=6,$O$173,IF($D$127=8,$O$175,IF($D$127=10,"",IF($D$127=12,$O$174,IF($D$127=14,"",IF($D$127=18,$O$173,IF($D$127=20,$O$174,IF($D$127=22,"",)))))))))</f>
        <v/>
      </c>
      <c r="C196" s="296">
        <f>IF($D$127=5,$P$173,IF($D$127=6,$P$173,IF($D$127=8,$P$175,IF($D$127=10,"",IF($D$127=12,$P$174,IF($D$127=14,"",IF($D$127=18,$P$173,IF($D$127=20,$P$174,IF($D$127=22,"",)))))))))</f>
        <v/>
      </c>
      <c r="D196" s="296">
        <f>IF($D$127=5,$Q$173,IF($D$127=6,$Q$173,IF($D$127=8,$Q$175,IF($D$127=10,"",IF($D$127=12,$Q$174,IF($D$127=14,"",IF($D$127=18,$Q$173,IF($D$127=20,$Q$174,IF($D$127=22,"",)))))))))</f>
        <v/>
      </c>
      <c r="E196" s="296">
        <f>IF($D$127=5,R178,IF($D$127=6,R178,IF($D$127=8,R180,IF($D$127=10,"",IF($D$127=12,R179,IF($D$127=14,"",IF($D$127=18,R178,IF($D$127=20,R179,IF($D$127=22,"",)))))))))</f>
        <v/>
      </c>
      <c r="F196" s="242">
        <f>IF($D$127=5,$S$173,IF($D$127=6,$S$173,IF($D$127=8,$S$175,IF($D$127=10,"",IF($D$127=12,$S$174,IF($D$127=14,"",IF($D$127=18,$S$173,IF($D$127=20,$S$174,IF($D$127=22,"",)))))))))</f>
        <v/>
      </c>
      <c r="G196" s="242">
        <f>IF($D$127=5,$T$173,IF($D$127=6,$T$173,IF($D$127=8,$T$175,IF($D$127=10,"",IF($D$127=12,$T$174,IF($D$127=14,"",IF($D$127=18,$T$173,IF($D$127=20,$T$174,IF($D$127=22,"",)))))))))</f>
        <v/>
      </c>
      <c r="H196" s="652">
        <f>IF($D$127=5,$U$173,IF($D$127=6,$U$173,IF($D$127=8,$U$175,IF($D$127=10,"",IF($D$127=12,$U$174,IF($D$127=14,"",IF($D$127=18,$U$173,IF($D$127=20,$U$174,IF($D$127=22,"")))))))))</f>
        <v/>
      </c>
      <c r="I196" s="653">
        <f>IF($D$127=5,$V$173,IF($D$127=6,$V$173,IF($D$127=8,$V$175,IF($D$127=10,"",IF($D$127=12,$V$174,IF($D$127=14,"",IF($D$127=18,$V$173,IF($D$127=20,$V$174,IF($D$127=22,"",)))))))))</f>
        <v/>
      </c>
      <c r="J196" s="655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278" t="n"/>
      <c r="C206" s="278" t="n"/>
      <c r="D206" s="161" t="n"/>
      <c r="E206" s="109" t="n"/>
      <c r="F206" s="109" t="n"/>
      <c r="G206" s="109" t="n"/>
      <c r="H206" s="109" t="n"/>
      <c r="I206" s="501" t="n"/>
      <c r="J206" s="318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4" t="n"/>
      <c r="H251" s="109" t="n"/>
      <c r="J251" s="109" t="n"/>
    </row>
    <row r="252" ht="15.9" customFormat="1" customHeight="1" s="278">
      <c r="A252" s="109" t="n"/>
      <c r="B252" s="278" t="n"/>
      <c r="C252" s="278" t="n"/>
      <c r="D252" s="161" t="n"/>
      <c r="E252" s="109" t="n"/>
      <c r="F252" s="109" t="n"/>
      <c r="G252" s="40" t="n"/>
      <c r="H252" s="109" t="n"/>
      <c r="I252" s="501" t="n"/>
      <c r="J252" s="501" t="n"/>
    </row>
    <row r="253" ht="15.9" customFormat="1" customHeight="1" s="278">
      <c r="A253" s="109" t="n"/>
      <c r="B253" s="278" t="n"/>
      <c r="D253" s="161" t="n"/>
      <c r="E253" s="109" t="n"/>
      <c r="F253" s="109" t="n"/>
      <c r="G253" s="109" t="n"/>
      <c r="H253" s="109" t="n"/>
      <c r="I253" s="501" t="n"/>
      <c r="J253" s="501" t="n"/>
    </row>
    <row r="254" ht="15.9" customFormat="1" customHeight="1" s="278">
      <c r="A254" s="44" t="n"/>
      <c r="B254" s="44" t="n"/>
      <c r="D254" s="84" t="n"/>
      <c r="E254" s="44" t="n"/>
      <c r="F254" s="44" t="n"/>
      <c r="G254" s="109" t="n"/>
      <c r="H254" s="109" t="n"/>
      <c r="I254" s="501" t="n"/>
      <c r="J254" s="501" t="n"/>
    </row>
    <row r="255" ht="15.9" customFormat="1" customHeight="1" s="278">
      <c r="A255" s="40" t="n"/>
      <c r="B255" s="40" t="n"/>
      <c r="C255" s="89" t="inlineStr">
        <is>
          <t xml:space="preserve">                          Door Stop Sill</t>
        </is>
      </c>
      <c r="D255" s="85" t="n"/>
      <c r="E255" s="40" t="n"/>
      <c r="F255" s="32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328" t="inlineStr">
        <is>
          <t xml:space="preserve">                          = Frame Width -60.00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542" t="inlineStr">
        <is>
          <t xml:space="preserve">                          ความกว้าง(วงกบ) - 60.00</t>
        </is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6">
        <f>$I$136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657">
        <f>$J$136</f>
        <v/>
      </c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78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87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161" t="n"/>
      <c r="D264" s="161" t="n"/>
      <c r="E264" s="109" t="n"/>
      <c r="F264" s="109" t="n"/>
      <c r="G264" s="109" t="n"/>
      <c r="I264" s="501" t="n"/>
      <c r="J264" s="501" t="n"/>
    </row>
    <row r="265" ht="15.9" customFormat="1" customHeight="1" s="278">
      <c r="A265" s="27" t="n"/>
      <c r="B265" s="278" t="n"/>
      <c r="C265" s="278" t="n"/>
      <c r="D265" s="161" t="n"/>
      <c r="E265" s="109" t="n"/>
      <c r="F265" s="109" t="n"/>
      <c r="G265" s="109" t="n"/>
      <c r="I265" s="501" t="n"/>
      <c r="J265" s="501" t="n"/>
    </row>
    <row r="266" ht="15.9" customFormat="1" customHeight="1" s="278">
      <c r="A266" s="27" t="n"/>
      <c r="B266" s="278" t="n"/>
      <c r="C266" s="89" t="inlineStr">
        <is>
          <t xml:space="preserve">                          JAMB</t>
        </is>
      </c>
      <c r="D266" s="161" t="n"/>
      <c r="E266" s="109" t="n"/>
      <c r="F266" s="109" t="n"/>
      <c r="G266" s="109" t="n"/>
      <c r="H266" s="109" t="n"/>
      <c r="I266" s="501" t="n"/>
      <c r="J266" s="501" t="n"/>
    </row>
    <row r="267" ht="15.9" customFormat="1" customHeight="1" s="278">
      <c r="A267" s="27" t="n"/>
      <c r="B267" s="278" t="n"/>
      <c r="C267" s="328" t="inlineStr">
        <is>
          <t xml:space="preserve">                                  = FAME HIGHT</t>
        </is>
      </c>
      <c r="D267" s="328" t="n"/>
      <c r="E267" s="328" t="n"/>
      <c r="F267" s="109" t="n"/>
      <c r="G267" s="109" t="n"/>
      <c r="H267" s="109" t="n"/>
      <c r="I267" s="501" t="n"/>
      <c r="J267" s="501" t="n"/>
    </row>
    <row r="268" ht="15.9" customFormat="1" customHeight="1" s="278">
      <c r="A268" s="27" t="n"/>
      <c r="B268" s="278" t="n"/>
      <c r="C268" s="542" t="inlineStr">
        <is>
          <t xml:space="preserve">                          ความสูง (วงกบ)</t>
        </is>
      </c>
      <c r="D268" s="542" t="n"/>
      <c r="E268" s="542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C269" s="656">
        <f>$I$137</f>
        <v/>
      </c>
      <c r="D269" s="161" t="n"/>
      <c r="E269" s="109" t="n"/>
      <c r="F269" s="109" t="n"/>
      <c r="G269" s="278" t="n"/>
      <c r="H269" s="278" t="n"/>
      <c r="J269" s="109" t="n"/>
    </row>
    <row r="270" ht="15.9" customFormat="1" customHeight="1" s="278">
      <c r="A270" s="27" t="n"/>
      <c r="B270" s="278" t="n"/>
      <c r="C270" s="657">
        <f>$J$137+$J$138</f>
        <v/>
      </c>
      <c r="D270" s="161" t="n"/>
      <c r="E270" s="109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89" t="n"/>
      <c r="E271" s="89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89" t="n"/>
      <c r="E272" s="89" t="n"/>
      <c r="F272" s="109" t="n"/>
      <c r="G272" s="109" t="n"/>
      <c r="H272" s="109" t="n"/>
      <c r="J272" s="109" t="n"/>
    </row>
    <row r="273" ht="15.9" customFormat="1" customHeight="1" s="278">
      <c r="A273" s="27" t="n"/>
      <c r="D273" s="328" t="n"/>
      <c r="E273" s="328" t="n"/>
      <c r="F273" s="109" t="n"/>
      <c r="G273" s="109" t="n"/>
      <c r="H273" s="109" t="n"/>
      <c r="J273" s="109" t="n"/>
    </row>
    <row r="274" ht="15.9" customFormat="1" customHeight="1" s="278">
      <c r="A274" s="27" t="n"/>
      <c r="D274" s="328" t="n"/>
      <c r="E274" s="328" t="n"/>
      <c r="F274" s="109" t="n"/>
      <c r="G274" s="109" t="n"/>
      <c r="H274" s="109" t="n"/>
      <c r="J274" s="109" t="n"/>
    </row>
    <row r="275" ht="15.9" customFormat="1" customHeight="1" s="278">
      <c r="A275" s="27" t="n"/>
      <c r="B275" s="278" t="n"/>
      <c r="D275" s="328" t="n"/>
      <c r="E275" s="328" t="n"/>
      <c r="F275" s="109" t="n"/>
      <c r="G275" s="109" t="n"/>
      <c r="I275" s="501" t="n"/>
      <c r="J275" s="501" t="n"/>
    </row>
    <row r="276" ht="15.9" customFormat="1" customHeight="1" s="278">
      <c r="A276" s="27" t="n"/>
      <c r="B276" s="278" t="n"/>
      <c r="C276" s="278" t="n"/>
      <c r="D276" s="161" t="n"/>
      <c r="E276" s="109" t="n"/>
      <c r="F276" s="109" t="n"/>
      <c r="G276" s="109" t="n"/>
      <c r="I276" s="501" t="n"/>
      <c r="J276" s="501" t="n"/>
    </row>
    <row r="277" ht="15.9" customFormat="1" customHeight="1" s="278">
      <c r="A277" s="27" t="n"/>
      <c r="B277" s="278" t="n"/>
      <c r="C277" s="89" t="inlineStr">
        <is>
          <t xml:space="preserve">                          Door Stop Jamb</t>
        </is>
      </c>
      <c r="D277" s="162" t="n"/>
      <c r="E277" s="501" t="n"/>
      <c r="F277" s="109" t="n"/>
      <c r="G277" s="109" t="n"/>
      <c r="I277" s="501" t="n"/>
      <c r="J277" s="501" t="n"/>
    </row>
    <row r="278" ht="15.9" customFormat="1" customHeight="1" s="278">
      <c r="A278" s="27" t="n"/>
      <c r="B278" s="278" t="n"/>
      <c r="C278" s="328" t="inlineStr">
        <is>
          <t xml:space="preserve">                          = FAME HIGHT - 96</t>
        </is>
      </c>
      <c r="D278" s="328" t="n"/>
      <c r="E278" s="328" t="n"/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C279" s="542" t="inlineStr">
        <is>
          <t xml:space="preserve">                          ความสูง (วงกบ) - 96</t>
        </is>
      </c>
      <c r="D279" s="542" t="n"/>
      <c r="E279" s="542" t="n"/>
      <c r="F279" s="109" t="n"/>
      <c r="G279" s="109" t="n"/>
      <c r="I279" s="109" t="n"/>
      <c r="J279" s="501" t="n"/>
    </row>
    <row r="280" ht="15.9" customFormat="1" customHeight="1" s="278">
      <c r="A280" s="27" t="n"/>
      <c r="B280" s="278" t="n"/>
      <c r="C280" s="656">
        <f>$I$139</f>
        <v/>
      </c>
      <c r="F280" s="109" t="n"/>
      <c r="G280" s="109" t="n"/>
      <c r="I280" s="109" t="n"/>
      <c r="J280" s="501" t="n"/>
    </row>
    <row r="281" ht="15.9" customFormat="1" customHeight="1" s="278">
      <c r="A281" s="27" t="n"/>
      <c r="B281" s="278" t="n"/>
      <c r="C281" s="657">
        <f>$J$139+$J$140</f>
        <v/>
      </c>
      <c r="F281" s="109" t="n"/>
      <c r="G281" s="109" t="n"/>
      <c r="I281" s="109" t="n"/>
      <c r="J281" s="501" t="n"/>
    </row>
    <row r="282" ht="15.9" customFormat="1" customHeight="1" s="278">
      <c r="A282" s="27" t="n"/>
      <c r="B282" s="278" t="n"/>
      <c r="F282" s="109" t="n"/>
      <c r="G282" s="109" t="n"/>
      <c r="H282" s="109" t="n"/>
      <c r="J282" s="109" t="n"/>
    </row>
    <row r="283" ht="15.9" customFormat="1" customHeight="1" s="278">
      <c r="A283" s="27" t="n"/>
      <c r="B283" s="278" t="n"/>
      <c r="F283" s="109" t="n"/>
      <c r="G283" s="109" t="n"/>
      <c r="H283" s="109" t="n"/>
      <c r="J283" s="109" t="n"/>
    </row>
    <row r="284" ht="15.9" customFormat="1" customHeight="1" s="278">
      <c r="A284" s="27" t="n"/>
      <c r="B284" s="278" t="n"/>
      <c r="F284" s="109" t="n"/>
      <c r="G284" s="109" t="n"/>
      <c r="H284" s="109" t="n"/>
      <c r="I284" s="162" t="n"/>
      <c r="J284" s="501" t="n"/>
    </row>
    <row r="285" ht="15.9" customFormat="1" customHeight="1" s="278">
      <c r="A285" s="27" t="n"/>
      <c r="B285" s="278" t="n"/>
      <c r="C285" s="89" t="inlineStr">
        <is>
          <t xml:space="preserve">                          Sash</t>
        </is>
      </c>
      <c r="F285" s="109" t="n"/>
      <c r="G285" s="109" t="n"/>
      <c r="H285" s="109" t="n"/>
      <c r="I285" s="109" t="n"/>
      <c r="J285" s="501" t="n"/>
    </row>
    <row r="286" ht="15.9" customFormat="1" customHeight="1" s="278">
      <c r="A286" s="27" t="n"/>
      <c r="B286" s="278" t="n"/>
      <c r="C286" s="94" t="inlineStr">
        <is>
          <t xml:space="preserve">                          = ((Frame Width - 185-(113.25 × 8))/9</t>
        </is>
      </c>
      <c r="D286" s="161" t="n"/>
      <c r="E286" s="109" t="n"/>
      <c r="F286" s="109" t="n"/>
      <c r="G286" s="109" t="n"/>
      <c r="H286" s="109" t="n"/>
      <c r="I286" s="501" t="n"/>
      <c r="J286" s="501" t="n"/>
    </row>
    <row r="287" ht="15.9" customFormat="1" customHeight="1" s="278">
      <c r="A287" s="27" t="n"/>
      <c r="B287" s="278" t="n"/>
      <c r="C287" s="542" t="inlineStr">
        <is>
          <t xml:space="preserve">                          ((ความกว้าง (วงกบ) - 185-(113.25 × 8))/9</t>
        </is>
      </c>
      <c r="D287" s="161" t="n"/>
      <c r="E287" s="109" t="n"/>
      <c r="F287" s="109" t="n"/>
      <c r="G287" s="109" t="n"/>
      <c r="H287" s="109" t="n"/>
      <c r="I287" s="501" t="n"/>
      <c r="J287" s="501" t="n"/>
    </row>
    <row r="288" ht="15.9" customFormat="1" customHeight="1" s="278">
      <c r="A288" s="27" t="n"/>
      <c r="B288" s="278" t="n"/>
      <c r="C288" s="328" t="inlineStr">
        <is>
          <t xml:space="preserve">                          = FAME HIGHT - 92.00</t>
        </is>
      </c>
      <c r="D288" s="328" t="n"/>
      <c r="E288" s="328" t="n"/>
      <c r="F288" s="109" t="n"/>
      <c r="G288" s="109" t="n"/>
      <c r="I288" s="501" t="n"/>
      <c r="J288" s="501" t="n"/>
    </row>
    <row r="289" ht="15.9" customFormat="1" customHeight="1" s="23">
      <c r="A289" s="27" t="n"/>
      <c r="B289" s="278" t="n"/>
      <c r="C289" s="542" t="inlineStr">
        <is>
          <t xml:space="preserve">                          ความสูง (วงกบ) - 92.00</t>
        </is>
      </c>
      <c r="D289" s="542" t="n"/>
      <c r="E289" s="542" t="n"/>
      <c r="F289" s="109" t="n"/>
      <c r="G289" s="109" t="n"/>
      <c r="H289" s="278" t="n"/>
      <c r="I289" s="109" t="n"/>
      <c r="J289" s="109" t="n"/>
    </row>
    <row r="290" ht="15.9" customFormat="1" customHeight="1" s="278">
      <c r="A290" s="27" t="n"/>
      <c r="B290" s="278" t="n"/>
      <c r="C290" s="656">
        <f>$I$141</f>
        <v/>
      </c>
      <c r="F290" s="109" t="n"/>
      <c r="G290" s="109" t="n"/>
      <c r="I290" s="44" t="n"/>
      <c r="J290" s="119" t="n"/>
    </row>
    <row r="291" ht="15.9" customFormat="1" customHeight="1" s="278">
      <c r="A291" s="27" t="n"/>
      <c r="B291" s="278" t="n"/>
      <c r="C291" s="657">
        <f>$J$141+$J$142</f>
        <v/>
      </c>
      <c r="D291" s="161" t="n"/>
      <c r="E291" s="109" t="n"/>
      <c r="F291" s="109" t="n"/>
      <c r="G291" s="109" t="n"/>
      <c r="H291" s="161" t="n"/>
      <c r="I291" s="32" t="n"/>
      <c r="J291" s="40" t="n"/>
    </row>
    <row r="292" ht="15.9" customFormat="1" customHeight="1" s="278">
      <c r="A292" s="27" t="n"/>
      <c r="B292" s="278" t="n"/>
      <c r="C292" s="656">
        <f>$I$143</f>
        <v/>
      </c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657">
        <f>$J$143+$J$144+$J$145+$J$146</f>
        <v/>
      </c>
      <c r="D293" s="161" t="n"/>
      <c r="E293" s="109" t="n"/>
      <c r="F293" s="109" t="n"/>
      <c r="G293" s="109" t="n"/>
      <c r="H293" s="109" t="n"/>
      <c r="I293" s="501" t="n"/>
      <c r="J293" s="501" t="n"/>
    </row>
    <row r="294" ht="15.9" customFormat="1" customHeight="1" s="278">
      <c r="A294" s="27" t="n"/>
      <c r="B294" s="278" t="n"/>
      <c r="D294" s="161" t="n"/>
      <c r="E294" s="109" t="n"/>
      <c r="F294" s="109" t="n"/>
      <c r="G294" s="109" t="n"/>
      <c r="H294" s="109" t="n"/>
      <c r="I294" s="501" t="n"/>
      <c r="J294" s="501" t="n"/>
    </row>
    <row r="295" ht="15.9" customFormat="1" customHeight="1" s="278">
      <c r="A295" s="27" t="n"/>
      <c r="B295" s="278" t="n"/>
      <c r="C295" s="278" t="n"/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23" t="n"/>
      <c r="D296" s="161" t="n"/>
      <c r="E296" s="109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27" t="n"/>
      <c r="B297" s="278" t="n"/>
      <c r="C297" s="89" t="inlineStr">
        <is>
          <t xml:space="preserve">                          Glazing Bead</t>
        </is>
      </c>
      <c r="D297" s="161" t="n"/>
      <c r="E297" s="109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27" t="n"/>
      <c r="B298" s="278" t="n"/>
      <c r="C298" s="94" t="inlineStr">
        <is>
          <t xml:space="preserve">                          = ((Frame Width - 185-(113.25 × 8))/9</t>
        </is>
      </c>
      <c r="D298" s="161" t="n"/>
      <c r="E298" s="109" t="n"/>
      <c r="F298" s="109" t="n"/>
      <c r="G298" s="44" t="n"/>
      <c r="H298" s="44" t="n"/>
      <c r="I298" s="109" t="n"/>
      <c r="J298" s="501" t="n"/>
    </row>
    <row r="299" ht="15.9" customFormat="1" customHeight="1" s="278">
      <c r="A299" s="27" t="n"/>
      <c r="B299" s="278" t="n"/>
      <c r="C299" s="542" t="inlineStr">
        <is>
          <t xml:space="preserve">                          ((ความกว้าง (วงกบ) - 185-(113.25 × 8))/9</t>
        </is>
      </c>
      <c r="D299" s="328" t="n"/>
      <c r="E299" s="328" t="n"/>
      <c r="F299" s="109" t="n"/>
      <c r="G299" s="40" t="n"/>
      <c r="H299" s="32" t="n"/>
      <c r="I299" s="109" t="n"/>
      <c r="J299" s="501" t="n"/>
    </row>
    <row r="300" ht="15.9" customFormat="1" customHeight="1" s="278">
      <c r="A300" s="101" t="n"/>
      <c r="B300" s="278" t="n"/>
      <c r="C300" s="328" t="inlineStr">
        <is>
          <t xml:space="preserve">                          = FAME HIGHT - 242.00</t>
        </is>
      </c>
      <c r="D300" s="542" t="n"/>
      <c r="E300" s="542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44" t="n"/>
      <c r="B301" s="44" t="n"/>
      <c r="C301" s="542" t="inlineStr">
        <is>
          <t xml:space="preserve">                          ความสูง (วงกบ) - 242.00</t>
        </is>
      </c>
      <c r="D301" s="86" t="n"/>
      <c r="E301" s="79" t="n"/>
      <c r="F301" s="44" t="n"/>
      <c r="G301" s="109" t="n"/>
      <c r="H301" s="109" t="n"/>
      <c r="I301" s="109" t="n"/>
      <c r="J301" s="501" t="n"/>
    </row>
    <row r="302" ht="15.9" customFormat="1" customHeight="1" s="278">
      <c r="A302" s="40" t="n"/>
      <c r="B302" s="40" t="n"/>
      <c r="C302" s="656">
        <f>$I$147</f>
        <v/>
      </c>
      <c r="D302" s="87" t="n"/>
      <c r="E302" s="80" t="n"/>
      <c r="F302" s="32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$J$147</f>
        <v/>
      </c>
      <c r="D303" s="161" t="n"/>
      <c r="F303" s="109" t="n"/>
      <c r="G303" s="109" t="n"/>
      <c r="H303" s="109" t="n"/>
      <c r="I303" s="109" t="n"/>
      <c r="J303" s="501" t="n"/>
    </row>
    <row r="304" ht="15.75" customFormat="1" customHeight="1" s="278">
      <c r="A304" s="109" t="n"/>
      <c r="B304" s="278" t="n"/>
      <c r="C304" s="656">
        <f>$I$148</f>
        <v/>
      </c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657">
        <f>$J$148</f>
        <v/>
      </c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D306" s="161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89" t="inlineStr">
        <is>
          <t xml:space="preserve">                          Sash Stop</t>
        </is>
      </c>
      <c r="D307" s="161" t="n"/>
      <c r="E307" s="109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328" t="inlineStr">
        <is>
          <t xml:space="preserve">                          = FAME HIGHT - 92.00</t>
        </is>
      </c>
      <c r="D308" s="328" t="n"/>
      <c r="E308" s="328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542" t="inlineStr">
        <is>
          <t xml:space="preserve">                          ความสูง (วงกบ) - 92.00</t>
        </is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6">
        <f>$I$149</f>
        <v/>
      </c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657">
        <f>$J$149+$J$150</f>
        <v/>
      </c>
      <c r="D311" s="328" t="n"/>
      <c r="E311" s="328" t="n"/>
      <c r="F311" s="109" t="n"/>
      <c r="G311" s="109" t="n"/>
      <c r="H311" s="109" t="n"/>
      <c r="I311" s="109" t="n"/>
      <c r="J311" s="501" t="n"/>
    </row>
    <row r="312" ht="15.75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75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15.9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278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278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501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109" t="n"/>
      <c r="J513" s="501" t="n"/>
    </row>
    <row r="514" ht="15.9" customFormat="1" customHeight="1" s="278">
      <c r="A514" s="27" t="n"/>
      <c r="B514" s="278" t="n"/>
      <c r="C514" s="278" t="n"/>
      <c r="D514" s="161" t="n"/>
      <c r="E514" s="109" t="n"/>
      <c r="F514" s="109" t="n"/>
      <c r="G514" s="109" t="n"/>
      <c r="H514" s="109" t="n"/>
      <c r="I514" s="109" t="n"/>
      <c r="J514" s="501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A516" s="44" t="n"/>
      <c r="B516" s="44" t="n"/>
      <c r="C516" s="44" t="n"/>
      <c r="D516" s="84" t="n"/>
      <c r="E516" s="44" t="n"/>
      <c r="F516" s="44" t="n"/>
      <c r="G516" s="44" t="n"/>
      <c r="H516" s="44" t="n"/>
      <c r="I516" s="44" t="n"/>
      <c r="J516" s="119" t="n"/>
    </row>
    <row r="517" ht="15.9" customFormat="1" customHeight="1" s="278">
      <c r="B517" s="44" t="n"/>
      <c r="C517" s="44" t="n"/>
      <c r="D517" s="84" t="n"/>
      <c r="E517" s="44" t="n"/>
      <c r="F517" s="44" t="n"/>
      <c r="G517" s="44" t="n"/>
      <c r="H517" s="44" t="n"/>
    </row>
    <row r="518" ht="15.9" customFormat="1" customHeight="1" s="278" thickBot="1"/>
    <row r="519" ht="24.9" customFormat="1" customHeight="1" s="278" thickBot="1">
      <c r="A519" s="633" t="inlineStr">
        <is>
          <t>GLASS</t>
        </is>
      </c>
      <c r="B519" s="634" t="n"/>
      <c r="C519" s="634" t="n"/>
      <c r="D519" s="634" t="n"/>
      <c r="E519" s="634" t="n"/>
      <c r="F519" s="634" t="n"/>
      <c r="G519" s="634" t="n"/>
      <c r="H519" s="634" t="n"/>
      <c r="I519" s="634" t="n"/>
      <c r="J519" s="635" t="n"/>
    </row>
    <row r="520" ht="35.1" customFormat="1" customHeight="1" s="278" thickBot="1">
      <c r="A520" s="146" t="inlineStr">
        <is>
          <t>ITEM</t>
        </is>
      </c>
      <c r="B520" s="147" t="inlineStr">
        <is>
          <t>DESCRIPTION</t>
        </is>
      </c>
      <c r="C520" s="103" t="inlineStr">
        <is>
          <t>DESCRIPTION</t>
        </is>
      </c>
      <c r="D520" s="104" t="inlineStr">
        <is>
          <t>HEIGHT</t>
        </is>
      </c>
      <c r="E520" s="103" t="inlineStr">
        <is>
          <t>KG/m</t>
        </is>
      </c>
      <c r="F520" s="579" t="inlineStr">
        <is>
          <t>FORMULA</t>
        </is>
      </c>
      <c r="G520" s="305" t="n"/>
      <c r="H520" s="104" t="inlineStr">
        <is>
          <t>FORMULA</t>
        </is>
      </c>
      <c r="I520" s="104" t="inlineStr">
        <is>
          <t>WIDTH</t>
        </is>
      </c>
      <c r="J520" s="115" t="inlineStr">
        <is>
          <t>QTY</t>
        </is>
      </c>
      <c r="N520" s="249" t="inlineStr">
        <is>
          <t>DESCRIPTION</t>
        </is>
      </c>
      <c r="O520" s="249" t="inlineStr">
        <is>
          <t>DESCRIPTION</t>
        </is>
      </c>
    </row>
    <row r="521" ht="15.9" customFormat="1" customHeight="1" s="278">
      <c r="A521" s="150">
        <f>IF(C521="","",1)</f>
        <v/>
      </c>
      <c r="B521" s="138">
        <f>IF($D$127=5,N521,IF($D$127=6,N522,IF($D$127=8,N523,IF($D$127=10,N524,IF($D$127=12,N525,IF($D$127=14,N526,IF($D$127=18,N527,IF($D$127=20,N528,IF($D$127=22,N529,)))))))))</f>
        <v/>
      </c>
      <c r="C521" s="138">
        <f>IF($D$127=5,O521,IF($D$127=6,O522,IF($D$127=8,O523,IF($D$127=10,O524,IF($D$127=12,O525,IF($D$127=14,O526,IF($D$127=18,O527,IF($D$127=20,O528,IF($D$127=22,O529,)))))))))</f>
        <v/>
      </c>
      <c r="D521" s="124">
        <f>$J$123-215</f>
        <v/>
      </c>
      <c r="E521" s="186" t="inlineStr">
        <is>
          <t>-</t>
        </is>
      </c>
      <c r="F521" s="658" t="inlineStr">
        <is>
          <t>Height - 215</t>
        </is>
      </c>
      <c r="G521" s="659" t="n"/>
      <c r="H521" s="186" t="inlineStr">
        <is>
          <t>((W-185-(113.25 × 8)/9)-13</t>
        </is>
      </c>
      <c r="I521" s="124">
        <f>(($J$126-185-(113.25*8))/9)-13</f>
        <v/>
      </c>
      <c r="J521" s="299">
        <f>$J$120*9</f>
        <v/>
      </c>
      <c r="N521" s="415" t="inlineStr">
        <is>
          <t>กระจก 5 mm (สูง) (กว้าง)</t>
        </is>
      </c>
      <c r="O521" s="415" t="inlineStr">
        <is>
          <t>GLASS thk.5 mm (H) (W)</t>
        </is>
      </c>
    </row>
    <row r="522" ht="15.9" customFormat="1" customHeight="1" s="278">
      <c r="A522" s="152" t="n"/>
      <c r="B522" s="140" t="n"/>
      <c r="C522" s="140" t="n"/>
      <c r="D522" s="139" t="inlineStr">
        <is>
          <t xml:space="preserve"> </t>
        </is>
      </c>
      <c r="E522" s="143" t="n"/>
      <c r="F522" s="155" t="n"/>
      <c r="G522" s="156" t="n"/>
      <c r="H522" s="140" t="n"/>
      <c r="I522" s="130" t="n"/>
      <c r="J522" s="153" t="n"/>
      <c r="N522" s="415" t="inlineStr">
        <is>
          <t>กระจก 6 mm (สูง) (กว้าง)</t>
        </is>
      </c>
      <c r="O522" s="415" t="inlineStr">
        <is>
          <t>GLASS thk.6 mm (H) (W)</t>
        </is>
      </c>
    </row>
    <row r="523" ht="15.9" customFormat="1" customHeight="1" s="278">
      <c r="A523" s="152" t="n"/>
      <c r="B523" s="140" t="n"/>
      <c r="C523" s="140" t="n"/>
      <c r="D523" s="139" t="n"/>
      <c r="E523" s="143" t="n"/>
      <c r="F523" s="155" t="n"/>
      <c r="G523" s="156" t="n"/>
      <c r="H523" s="143" t="n"/>
      <c r="I523" s="130" t="n"/>
      <c r="J523" s="153" t="n"/>
      <c r="N523" s="415" t="inlineStr">
        <is>
          <t>กระจก 8 mm (สูง) (กว้าง)</t>
        </is>
      </c>
      <c r="O523" s="415" t="inlineStr">
        <is>
          <t>GLASS thk.8 mm (H) (W)</t>
        </is>
      </c>
    </row>
    <row r="524" ht="15.9" customFormat="1" customHeight="1" s="278">
      <c r="A524" s="143">
        <f>IF(B524="","",+A522+1)</f>
        <v/>
      </c>
      <c r="B524" s="140" t="n"/>
      <c r="C524" s="140" t="n"/>
      <c r="D524" s="139" t="n"/>
      <c r="E524" s="143" t="n"/>
      <c r="F524" s="155" t="n"/>
      <c r="G524" s="572" t="n"/>
      <c r="H524" s="143" t="n"/>
      <c r="I524" s="144" t="n"/>
      <c r="J524" s="130" t="n"/>
      <c r="N524" s="415" t="inlineStr">
        <is>
          <t>กระจก 10 mm (สูง) (กว้าง)</t>
        </is>
      </c>
      <c r="O524" s="415" t="inlineStr">
        <is>
          <t>GLASS thk.10 mm (H) (W)</t>
        </is>
      </c>
    </row>
    <row r="525" ht="15.9" customFormat="1" customHeight="1" s="278">
      <c r="A525" s="240">
        <f>IF(B525="","",+A524+1)</f>
        <v/>
      </c>
      <c r="B525" s="142" t="n"/>
      <c r="C525" s="142" t="n"/>
      <c r="D525" s="141" t="n"/>
      <c r="E525" s="240" t="n"/>
      <c r="F525" s="158" t="n"/>
      <c r="G525" s="159" t="n"/>
      <c r="H525" s="240" t="n"/>
      <c r="I525" s="145" t="n"/>
      <c r="J525" s="136" t="n"/>
      <c r="N525" s="415" t="inlineStr">
        <is>
          <t>กระจก 12 mm (สูง) (กว้าง)</t>
        </is>
      </c>
      <c r="O525" s="415" t="inlineStr">
        <is>
          <t>GLASS thk.12 mm (H) (W)</t>
        </is>
      </c>
    </row>
    <row r="526" ht="15.9" customFormat="1" customHeight="1" s="278">
      <c r="A526" s="109" t="n"/>
      <c r="B526" s="278" t="n"/>
      <c r="C526" s="278" t="n"/>
      <c r="D526" s="161" t="n"/>
      <c r="E526" s="109" t="n"/>
      <c r="F526" s="109" t="n"/>
      <c r="G526" s="109" t="n"/>
      <c r="H526" s="109" t="n"/>
      <c r="I526" s="109" t="n"/>
      <c r="J526" s="501" t="n"/>
      <c r="N526" s="415" t="inlineStr">
        <is>
          <t>กระจก 14 mm (สูง) (กว้าง)</t>
        </is>
      </c>
      <c r="O526" s="415" t="inlineStr">
        <is>
          <t>GLASS thk.14 mm (H) (W)</t>
        </is>
      </c>
    </row>
    <row r="527">
      <c r="J527" s="99">
        <f>LEFT($J$111,13)&amp;"-05"</f>
        <v/>
      </c>
      <c r="N527" s="415" t="inlineStr">
        <is>
          <t>กระจก 18 mm (สูง) (กว้าง)</t>
        </is>
      </c>
      <c r="O527" s="415" t="inlineStr">
        <is>
          <t>GLASS thk.18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N528" s="415" t="inlineStr">
        <is>
          <t>กระจก 20 mm (สูง) (กว้าง)</t>
        </is>
      </c>
      <c r="O528" s="415" t="inlineStr">
        <is>
          <t>GLASS thk.20 mm (H) (W)</t>
        </is>
      </c>
    </row>
    <row r="529">
      <c r="N529" s="415" t="inlineStr">
        <is>
          <t>กระจก 22 mm (สูง) (กว้าง)</t>
        </is>
      </c>
      <c r="O529" s="415" t="inlineStr">
        <is>
          <t>GLASS thk.22 mm (H) (W)</t>
        </is>
      </c>
    </row>
  </sheetData>
  <mergeCells count="46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F521:G521"/>
    <mergeCell ref="I156:J156"/>
    <mergeCell ref="H157:H158"/>
    <mergeCell ref="F331:G331"/>
    <mergeCell ref="H159:H160"/>
    <mergeCell ref="A320:J32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A6:J6"/>
    <mergeCell ref="I155:J155"/>
    <mergeCell ref="A427:J427"/>
    <mergeCell ref="D161:D166"/>
    <mergeCell ref="D167:D168"/>
    <mergeCell ref="J120:J121"/>
    <mergeCell ref="I166:J166"/>
    <mergeCell ref="H123:I124"/>
    <mergeCell ref="I164:J165"/>
    <mergeCell ref="A125:B125"/>
    <mergeCell ref="A519:J519"/>
    <mergeCell ref="D157:D158"/>
    <mergeCell ref="I153:J153"/>
    <mergeCell ref="J126:J127"/>
    <mergeCell ref="D159:D160"/>
    <mergeCell ref="D169:D170"/>
    <mergeCell ref="D125:G125"/>
    <mergeCell ref="C309:E309"/>
    <mergeCell ref="A213:J213"/>
  </mergeCells>
  <dataValidations count="3"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 codeName="Sheet32">
    <tabColor theme="5" tint="-0.249977111117893"/>
    <outlinePr summaryBelow="1" summaryRight="1"/>
    <pageSetUpPr/>
  </sheetPr>
  <dimension ref="A2:Y527"/>
  <sheetViews>
    <sheetView showGridLines="0" view="pageBreakPreview" topLeftCell="A130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8.6640625" customWidth="1" style="344" min="3" max="3"/>
    <col width="13.44140625" customWidth="1" style="345" min="4" max="4"/>
    <col hidden="1" outlineLevel="1" width="7.44140625" customWidth="1" style="344" min="5" max="5"/>
    <col collapsed="1" width="19.6640625" customWidth="1" style="344" min="6" max="6"/>
    <col width="7.5546875" customWidth="1" style="344" min="7" max="7"/>
    <col width="26.6640625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2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240-9 Panel (5L4R)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FG-240-9P5L4R-01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5000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18</v>
      </c>
      <c r="U133" s="283" t="inlineStr">
        <is>
          <t>(W-185-(113.25 × 8))/9</t>
        </is>
      </c>
      <c r="V133" s="285">
        <f>($J$126-185-(113.25*8))/9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18</v>
      </c>
      <c r="U134" s="143" t="inlineStr">
        <is>
          <t>(W-185-(113.25 × 8))/9</t>
        </is>
      </c>
      <c r="V134" s="144">
        <f>($J$126-185-(113.25*8))/9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18</v>
      </c>
      <c r="U135" s="240" t="inlineStr">
        <is>
          <t>(W-185-(113.25 × 8))/9</t>
        </is>
      </c>
      <c r="V135" s="145">
        <f>($J$126-185-(113.25*8))/9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18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18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18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9</v>
      </c>
      <c r="H141" s="683" t="inlineStr">
        <is>
          <t>45° (W-60-(9+1)×4)/9</t>
        </is>
      </c>
      <c r="I141" s="178">
        <f>($J$126-60-(9+1)*4)/9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9</v>
      </c>
      <c r="H142" s="143" t="inlineStr">
        <is>
          <t>45° (W-60-(9+1)×4)/9</t>
        </is>
      </c>
      <c r="I142" s="178">
        <f>($J$126-60-(9+1)*4)/9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18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ชุดล้อแขวนบานสุดท้าย</t>
        </is>
      </c>
      <c r="C182" s="140" t="inlineStr">
        <is>
          <t>Left Hand End Carriert Set</t>
        </is>
      </c>
      <c r="D182" s="139" t="inlineStr">
        <is>
          <t>05-008</t>
        </is>
      </c>
      <c r="E182" s="143" t="n"/>
      <c r="F182" s="143" t="inlineStr">
        <is>
          <t>05-008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4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8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((($I$141*$G$141*2)+($I$143*$G$143*2)+($I$144*$G$144*2)+($I$145*$G$145))/1000)*$J$120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((($I$141*$G$141*2)+($I$143*$G$143*2)+($I$144*$G$144*2)+($I$145*$G$145))/1000)*$J$120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4</v>
      </c>
      <c r="I188" s="130" t="n"/>
      <c r="J188" s="131">
        <f>$J$120*H188</f>
        <v/>
      </c>
    </row>
    <row r="189" ht="18" customFormat="1" customHeight="1" s="278">
      <c r="A189" s="201">
        <f>IF(B189="","",+A195+1)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((($I$149*$G$149)+($I$150*$G$150))/1000)*$J$120</f>
        <v/>
      </c>
      <c r="I189" s="653" t="n">
        <v>100</v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((+($I$146*$G$146*2))/1000)*$J$120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IF($D$129="Standard",$O$184,IF($D$129="Soumdproof",$O$185,))</f>
        <v/>
      </c>
      <c r="C191" s="139">
        <f>IF($D$129="Standard",$P$184,IF($D$129="Soumdproof",$P$185,))</f>
        <v/>
      </c>
      <c r="D191" s="139">
        <f>IF($D$129="Standard",$Q$184,IF($D$129="Soumdproof",$Q$185,))</f>
        <v/>
      </c>
      <c r="E191" s="143">
        <f>IF($D$129="Standard",R189,IF($D$129="Soumdproof",R190,))</f>
        <v/>
      </c>
      <c r="F191" s="143">
        <f>IF($D$129="Standard",$S$184,IF($D$129="Soumdproof",$S$185,))</f>
        <v/>
      </c>
      <c r="G191" s="143">
        <f>IF($D$129="Standard",$T$184,IF($D$129="Soumdproof",$T$185,))</f>
        <v/>
      </c>
      <c r="H191" s="652">
        <f>IF($D$129="Standard",$U$184,IF($D$129="Soumdproof",$U$185,))</f>
        <v/>
      </c>
      <c r="I191" s="653">
        <f>IF($D$129="Standard",$V$184,IF($D$129="Soumdproof",$V$185,))</f>
        <v/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IF($D$129="Standard",R191,IF($D$129="Soumdproof",R192,))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296">
        <f>IF($D$127=5,$O$175,IF($D$127=6,$O$176,IF($D$127=8,$O$177,IF($D$127=10,$O$175,IF($D$127=12,$O$175,IF($D$127=14,$O$177,IF($D$127=18,$O$175,IF($D$127=20,$O$176,IF($D$127=22,"")))))))))</f>
        <v/>
      </c>
      <c r="C193" s="296">
        <f>IF($D$127=5,$P$175,IF($D$127=6,$P$176,IF($D$127=8,$P$177,IF($D$127=10,$P$175,IF($D$127=12,$P$175,IF($D$127=14,$P$177,IF($D$127=18,$P$175,IF($D$127=20,$P$176,IF($D$127=22,"")))))))))</f>
        <v/>
      </c>
      <c r="D193" s="296">
        <f>IF($D$127=5,$Q$175,IF($D$127=6,$Q$176,IF($D$127=8,$Q$177,IF($D$127=10,$Q$175,IF($D$127=12,$Q$175,IF($D$127=14,$Q$177,IF($D$127=18,$Q$175,IF($D$127=20,$Q$176,IF($D$127=22,"")))))))))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IF($D$127=5,$S$175,IF($D$127=6,$S$176,IF($D$127=8,$S$177,IF($D$127=10,$S$175,IF($D$127=12,$S$175,IF($D$127=14,$S$177,IF($D$127=18,$S$175,IF($D$127=20,$S$176,IF($D$127=22,"")))))))))</f>
        <v/>
      </c>
      <c r="G193" s="242">
        <f>IF($D$127=5,$T$175,IF($D$127=6,$T$176,IF($D$127=8,$T$177,IF($D$127=10,$T$175,IF($D$127=12,$T$175,IF($D$127=14,$T$177,IF($D$127=18,$T$175,IF($D$127=20,$T$176,IF($D$127=22,"")))))))))</f>
        <v/>
      </c>
      <c r="H193" s="652">
        <f>IF($D$127=5,$U$175,IF($D$127=6,$U$176,IF($D$127=8,$U$177,IF($D$127=10,$U$175*2,IF($D$127=12,$U$175,IF($D$127=14,$U$177*2,IF($D$127=18,$U$175,IF($D$127=20,$U$176,IF($D$127=22,"")))))))))</f>
        <v/>
      </c>
      <c r="I193" s="653">
        <f>IF($D$127=5,$V$175,IF($D$127=6,$V$176,IF($D$127=8,$V$177,IF($D$127=10,$V$175,IF($D$127=12,$V$175,IF($D$127=14,$V$177,IF($D$127=18,$V$175,IF($D$127=20,$V$176,IF($D$127=22,"")))))))))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</row>
    <row r="194" ht="18" customFormat="1" customHeight="1" s="278">
      <c r="A194" s="201">
        <f>IF(B194="","",+A193+1)</f>
        <v/>
      </c>
      <c r="B194" s="296">
        <f>IF($D$127=5,$O$173,IF($D$127=6,$O$173,IF($D$127=8,$O$175,IF($D$127=10,"",IF($D$127=12,$O$174,IF($D$127=14,"",IF($D$127=18,$O$173,IF($D$127=20,$O$174,IF($D$127=22,"",)))))))))</f>
        <v/>
      </c>
      <c r="C194" s="296">
        <f>IF($D$127=5,$P$173,IF($D$127=6,$P$173,IF($D$127=8,$P$175,IF($D$127=10,"",IF($D$127=12,$P$174,IF($D$127=14,"",IF($D$127=18,$P$173,IF($D$127=20,$P$174,IF($D$127=22,"",)))))))))</f>
        <v/>
      </c>
      <c r="D194" s="296">
        <f>IF($D$127=5,$Q$173,IF($D$127=6,$Q$173,IF($D$127=8,$Q$175,IF($D$127=10,"",IF($D$127=12,$Q$174,IF($D$127=14,"",IF($D$127=18,$Q$173,IF($D$127=20,$Q$174,IF($D$127=22,"",)))))))))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IF($D$127=5,$S$173,IF($D$127=6,$S$173,IF($D$127=8,$S$175,IF($D$127=10,"",IF($D$127=12,$S$174,IF($D$127=14,"",IF($D$127=18,$S$173,IF($D$127=20,$S$174,IF($D$127=22,"",)))))))))</f>
        <v/>
      </c>
      <c r="G194" s="242">
        <f>IF($D$127=5,$T$173,IF($D$127=6,$T$173,IF($D$127=8,$T$175,IF($D$127=10,"",IF($D$127=12,$T$174,IF($D$127=14,"",IF($D$127=18,$T$173,IF($D$127=20,$T$174,IF($D$127=22,"",)))))))))</f>
        <v/>
      </c>
      <c r="H194" s="652">
        <f>IF($D$127=5,$U$173,IF($D$127=6,$U$173,IF($D$127=8,$U$175,IF($D$127=10,"",IF($D$127=12,$U$174,IF($D$127=14,"",IF($D$127=18,$U$173,IF($D$127=20,$U$174,IF($D$127=22,"")))))))))</f>
        <v/>
      </c>
      <c r="I194" s="653">
        <f>IF($D$127=5,$V$173,IF($D$127=6,$V$173,IF($D$127=8,$V$175,IF($D$127=10,"",IF($D$127=12,$V$174,IF($D$127=14,"",IF($D$127=18,$V$173,IF($D$127=20,$V$174,IF($D$127=22,"",)))))))))</f>
        <v/>
      </c>
      <c r="J194" s="655">
        <f>ROUNDUP((H194)/100,0)</f>
        <v/>
      </c>
    </row>
    <row r="195" ht="18" customFormat="1" customHeight="1" s="278">
      <c r="A195" s="201" t="n"/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 t="n"/>
    </row>
    <row r="196" ht="18" customFormat="1" customHeight="1" s="278">
      <c r="A196" s="201">
        <f>IF(B196="","",+A194+1)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IF(B200="","",+""+1)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 t="n"/>
    </row>
    <row r="202" ht="18" customFormat="1" customHeight="1" s="278">
      <c r="A202" s="201">
        <f>IF(B202="","",+""+1)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LEFT($J$111,13)&amp;"-02"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328" t="n"/>
      <c r="E271" s="328" t="n"/>
      <c r="F271" s="109" t="n"/>
      <c r="G271" s="109" t="n"/>
      <c r="I271" s="501" t="n"/>
      <c r="J271" s="501" t="n"/>
    </row>
    <row r="272" ht="15.9" customFormat="1" customHeight="1" s="278">
      <c r="A272" s="27" t="n"/>
      <c r="B272" s="278" t="n"/>
      <c r="C272" s="278" t="n"/>
      <c r="D272" s="161" t="n"/>
      <c r="E272" s="109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89" t="inlineStr">
        <is>
          <t xml:space="preserve">                          Door Stop Jamb</t>
        </is>
      </c>
      <c r="D273" s="162" t="n"/>
      <c r="E273" s="501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328" t="inlineStr">
        <is>
          <t xml:space="preserve">                          = FAME HIGHT - 96</t>
        </is>
      </c>
      <c r="D274" s="328" t="n"/>
      <c r="E274" s="328" t="n"/>
      <c r="F274" s="109" t="n"/>
      <c r="G274" s="109" t="n"/>
      <c r="I274" s="109" t="n"/>
      <c r="J274" s="501" t="n"/>
    </row>
    <row r="275" ht="15.9" customFormat="1" customHeight="1" s="278">
      <c r="A275" s="27" t="n"/>
      <c r="B275" s="278" t="n"/>
      <c r="C275" s="542" t="inlineStr">
        <is>
          <t xml:space="preserve">                          ความสูง (วงกบ) - 96</t>
        </is>
      </c>
      <c r="D275" s="542" t="n"/>
      <c r="E275" s="542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656">
        <f>$I$139</f>
        <v/>
      </c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7">
        <f>$J$139+$J$140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F278" s="109" t="n"/>
      <c r="G278" s="109" t="n"/>
      <c r="H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I281" s="162" t="n"/>
      <c r="J281" s="501" t="n"/>
    </row>
    <row r="282" ht="15.9" customFormat="1" customHeight="1" s="278">
      <c r="A282" s="27" t="n"/>
      <c r="B282" s="278" t="n"/>
      <c r="C282" s="89" t="inlineStr">
        <is>
          <t xml:space="preserve">                          Sash</t>
        </is>
      </c>
      <c r="F282" s="109" t="n"/>
      <c r="G282" s="109" t="n"/>
      <c r="H282" s="109" t="n"/>
      <c r="I282" s="109" t="n"/>
      <c r="J282" s="501" t="n"/>
    </row>
    <row r="283" ht="15.9" customFormat="1" customHeight="1" s="278">
      <c r="A283" s="27" t="n"/>
      <c r="B283" s="278" t="n"/>
      <c r="C283" s="94" t="inlineStr">
        <is>
          <t xml:space="preserve">                          = ((Frame Width - 185-(113.25 × 8))/9</t>
        </is>
      </c>
      <c r="D283" s="161" t="n"/>
      <c r="E283" s="109" t="n"/>
      <c r="F283" s="109" t="n"/>
      <c r="G283" s="109" t="n"/>
      <c r="H283" s="109" t="n"/>
      <c r="I283" s="501" t="n"/>
      <c r="J283" s="501" t="n"/>
    </row>
    <row r="284" ht="15.9" customFormat="1" customHeight="1" s="278">
      <c r="A284" s="27" t="n"/>
      <c r="B284" s="278" t="n"/>
      <c r="C284" s="542" t="inlineStr">
        <is>
          <t xml:space="preserve">                          ((ความกว้าง (วงกบ) - 185-(113.25 × 8))/9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328" t="inlineStr">
        <is>
          <t xml:space="preserve">                          = FAME HIGHT - 92.00</t>
        </is>
      </c>
      <c r="D285" s="328" t="n"/>
      <c r="E285" s="328" t="n"/>
      <c r="F285" s="109" t="n"/>
      <c r="G285" s="109" t="n"/>
      <c r="I285" s="501" t="n"/>
      <c r="J285" s="501" t="n"/>
    </row>
    <row r="286" ht="15.9" customFormat="1" customHeight="1" s="23">
      <c r="A286" s="27" t="n"/>
      <c r="B286" s="278" t="n"/>
      <c r="C286" s="542" t="inlineStr">
        <is>
          <t xml:space="preserve">                          ความสูง (วงกบ) - 92.00</t>
        </is>
      </c>
      <c r="D286" s="542" t="n"/>
      <c r="E286" s="542" t="n"/>
      <c r="F286" s="109" t="n"/>
      <c r="G286" s="109" t="n"/>
      <c r="H286" s="278" t="n"/>
      <c r="I286" s="109" t="n"/>
      <c r="J286" s="109" t="n"/>
    </row>
    <row r="287" ht="15.9" customFormat="1" customHeight="1" s="278">
      <c r="A287" s="27" t="n"/>
      <c r="B287" s="278" t="n"/>
      <c r="C287" s="656">
        <f>$I$141</f>
        <v/>
      </c>
      <c r="F287" s="109" t="n"/>
      <c r="G287" s="109" t="n"/>
      <c r="I287" s="44" t="n"/>
      <c r="J287" s="119" t="n"/>
    </row>
    <row r="288" ht="15.9" customFormat="1" customHeight="1" s="278">
      <c r="A288" s="27" t="n"/>
      <c r="B288" s="278" t="n"/>
      <c r="C288" s="657">
        <f>$J$141+$J$142</f>
        <v/>
      </c>
      <c r="D288" s="161" t="n"/>
      <c r="E288" s="109" t="n"/>
      <c r="F288" s="109" t="n"/>
      <c r="G288" s="109" t="n"/>
      <c r="H288" s="161" t="n"/>
      <c r="I288" s="32" t="n"/>
      <c r="J288" s="40" t="n"/>
    </row>
    <row r="289" ht="15.9" customFormat="1" customHeight="1" s="278">
      <c r="A289" s="27" t="n"/>
      <c r="B289" s="278" t="n"/>
      <c r="C289" s="656">
        <f>$I$143</f>
        <v/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657">
        <f>$J$143+$J$144+$J$145+$J$146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8))/9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8))/9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75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LEFT($J$111,13)&amp;"-03"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LEFT($J$111,13)&amp;"-04"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B422" s="278" t="n"/>
      <c r="C422" s="278" t="n"/>
      <c r="D422" s="161" t="n"/>
      <c r="E422" s="109" t="n"/>
      <c r="F422" s="109" t="n"/>
      <c r="G422" s="109" t="n"/>
      <c r="H422" s="109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5" t="n"/>
      <c r="D423" s="95" t="n"/>
      <c r="E423" s="95" t="n"/>
      <c r="F423" s="95" t="n"/>
      <c r="G423" s="95" t="n"/>
      <c r="H423" s="95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35.1" customFormat="1" customHeight="1" s="278">
      <c r="A443" s="109" t="n"/>
      <c r="C443" s="161" t="n"/>
      <c r="D443" s="85" t="n"/>
      <c r="E443" s="40" t="n"/>
      <c r="F443" s="32" t="n"/>
      <c r="H443" s="44" t="n"/>
      <c r="I443" s="501" t="n"/>
      <c r="J443" s="501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75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66" t="n"/>
      <c r="I512" s="278" t="n"/>
      <c r="J512" s="109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46" t="inlineStr">
        <is>
          <t>ITEM</t>
        </is>
      </c>
      <c r="B518" s="147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50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((W-185-(113.25 × 8)/9)-13</t>
        </is>
      </c>
      <c r="I519" s="124">
        <f>(($J$126-185-(113.25*8))/9)-13</f>
        <v/>
      </c>
      <c r="J519" s="299">
        <f>$J$120*9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152" t="n"/>
      <c r="B520" s="140" t="n"/>
      <c r="C520" s="140" t="n"/>
      <c r="D520" s="139" t="inlineStr">
        <is>
          <t xml:space="preserve"> </t>
        </is>
      </c>
      <c r="E520" s="143" t="n"/>
      <c r="F520" s="155" t="n"/>
      <c r="G520" s="156" t="n"/>
      <c r="H520" s="140" t="n"/>
      <c r="I520" s="130" t="n"/>
      <c r="J520" s="153" t="n"/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152" t="n"/>
      <c r="B521" s="140" t="n"/>
      <c r="C521" s="140" t="n"/>
      <c r="D521" s="139" t="n"/>
      <c r="E521" s="143" t="n"/>
      <c r="F521" s="155" t="n"/>
      <c r="G521" s="156" t="n"/>
      <c r="H521" s="143" t="n"/>
      <c r="I521" s="130" t="n"/>
      <c r="J521" s="153" t="n"/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43">
        <f>IF(B522="","",+A520+1)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J525" s="99">
        <f>LEFT($J$111,13)&amp;"-05"</f>
        <v/>
      </c>
      <c r="N525" s="415" t="inlineStr">
        <is>
          <t>กระจก 18 mm (สูง) (กว้าง)</t>
        </is>
      </c>
      <c r="O525" s="415" t="inlineStr">
        <is>
          <t>GLASS thk.18 mm (H) (W)</t>
        </is>
      </c>
    </row>
    <row r="526">
      <c r="N526" s="415" t="inlineStr">
        <is>
          <t>กระจก 20 mm (สูง) (กว้าง)</t>
        </is>
      </c>
      <c r="O526" s="415" t="inlineStr">
        <is>
          <t>GLASS thk.20 mm (H) (W)</t>
        </is>
      </c>
    </row>
    <row r="527">
      <c r="N527" s="415" t="inlineStr">
        <is>
          <t>กระจก 22 mm (สูง) (กว้าง)</t>
        </is>
      </c>
      <c r="O527" s="415" t="inlineStr">
        <is>
          <t>GLASS thk.22 mm (H) (W)</t>
        </is>
      </c>
    </row>
  </sheetData>
  <mergeCells count="46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F329:G329"/>
    <mergeCell ref="I157:J158"/>
    <mergeCell ref="D123:G123"/>
    <mergeCell ref="A117:J117"/>
    <mergeCell ref="J123:J124"/>
    <mergeCell ref="I156:J156"/>
    <mergeCell ref="H157:H158"/>
    <mergeCell ref="H159:H160"/>
    <mergeCell ref="H169:H170"/>
    <mergeCell ref="H120:I121"/>
    <mergeCell ref="I159:J159"/>
    <mergeCell ref="A319:J319"/>
    <mergeCell ref="F330:G330"/>
    <mergeCell ref="D119:G119"/>
    <mergeCell ref="H126:I127"/>
    <mergeCell ref="I152:J152"/>
    <mergeCell ref="C308:E308"/>
    <mergeCell ref="A6:J6"/>
    <mergeCell ref="I155:J155"/>
    <mergeCell ref="A517:J517"/>
    <mergeCell ref="F519:G519"/>
    <mergeCell ref="A212:J212"/>
    <mergeCell ref="D161:D166"/>
    <mergeCell ref="F333:G333"/>
    <mergeCell ref="D167:D168"/>
    <mergeCell ref="J120:J121"/>
    <mergeCell ref="I166:J166"/>
    <mergeCell ref="A426:J426"/>
    <mergeCell ref="I164:J165"/>
    <mergeCell ref="A125:B125"/>
    <mergeCell ref="D157:D158"/>
    <mergeCell ref="I153:J153"/>
    <mergeCell ref="J126:J127"/>
    <mergeCell ref="D159:D160"/>
    <mergeCell ref="D169:D170"/>
    <mergeCell ref="D125:G125"/>
    <mergeCell ref="H123:I124"/>
  </mergeCells>
  <dataValidations count="4">
    <dataValidation sqref="C205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 codeName="Sheet33">
    <tabColor theme="5" tint="-0.249977111117893"/>
    <outlinePr summaryBelow="1" summaryRight="1"/>
    <pageSetUpPr/>
  </sheetPr>
  <dimension ref="A2:Y528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61.10937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3.33203125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240-9 Panel (6L3R)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FG-240-9P6L3R-01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8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18</v>
      </c>
      <c r="U133" s="283" t="inlineStr">
        <is>
          <t>(W-185-(113.25 × 8))/9</t>
        </is>
      </c>
      <c r="V133" s="285">
        <f>($J$126-185-(113.25*8))/9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18</v>
      </c>
      <c r="U134" s="143" t="inlineStr">
        <is>
          <t>(W-185-(113.25 × 8))/9</t>
        </is>
      </c>
      <c r="V134" s="144">
        <f>($J$126-185-(113.25*8))/9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18</v>
      </c>
      <c r="U135" s="240" t="inlineStr">
        <is>
          <t>(W-185-(113.25 × 8))/9</t>
        </is>
      </c>
      <c r="V135" s="145">
        <f>($J$126-185-(113.25*8))/9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18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18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18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9</v>
      </c>
      <c r="H141" s="683" t="inlineStr">
        <is>
          <t>45° (W-60-(9+1)×4)/9</t>
        </is>
      </c>
      <c r="I141" s="178">
        <f>($J$126-60-(9+1)*4)/9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9</v>
      </c>
      <c r="H142" s="143" t="inlineStr">
        <is>
          <t>45° (W-60-(9+1)×4)/9</t>
        </is>
      </c>
      <c r="I142" s="178">
        <f>($J$126-60-(9+1)*4)/9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13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1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18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1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Right Hand End Carrier Set</t>
        </is>
      </c>
      <c r="D182" s="139" t="inlineStr">
        <is>
          <t>05-009</t>
        </is>
      </c>
      <c r="E182" s="143" t="n"/>
      <c r="F182" s="143" t="inlineStr">
        <is>
          <t>05-009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3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4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8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((($I$141*$G$141*2)+($I$143*$G$143*2)+($I$145*$G$145*2))/1000)*$J$120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((($I$141*$G$141*2)+($I$143*$G$143*2)+($I$145*$G$145*2))/1000)*$J$120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4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แผ่นรับล็อค</t>
        </is>
      </c>
      <c r="C189" s="140" t="inlineStr">
        <is>
          <t>LOCK STRIKER</t>
        </is>
      </c>
      <c r="D189" s="139" t="inlineStr">
        <is>
          <t>04-024</t>
        </is>
      </c>
      <c r="E189" s="143" t="n"/>
      <c r="F189" s="143" t="inlineStr">
        <is>
          <t>04-024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52">
        <f>((($I$149*$G$149)+($I$150*$G$150))/1000)*$J$120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52">
        <f>((($I$146*$G$146*2))/1000)*$J$120</f>
        <v/>
      </c>
      <c r="I191" s="653" t="n">
        <v>100</v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IF($D$129="Standard",$O$184,IF($D$129="Soumdproof",$O$185,))</f>
        <v/>
      </c>
      <c r="C192" s="139">
        <f>IF($D$129="Standard",$P$184,IF($D$129="Soumdproof",$P$185,))</f>
        <v/>
      </c>
      <c r="D192" s="139">
        <f>IF($D$129="Standard",$Q$184,IF($D$129="Soumdproof",$Q$185,))</f>
        <v/>
      </c>
      <c r="E192" s="143">
        <f>IF($D$129="Standard",R189,IF($D$129="Soumdproof",R190,))</f>
        <v/>
      </c>
      <c r="F192" s="143">
        <f>IF($D$129="Standard",$S$184,IF($D$129="Soumdproof",$S$185,))</f>
        <v/>
      </c>
      <c r="G192" s="143">
        <f>IF($D$129="Standard",$T$184,IF($D$129="Soumdproof",$T$185,))</f>
        <v/>
      </c>
      <c r="H192" s="652">
        <f>IF($D$129="Standard",$U$184,IF($D$129="Soumdproof",$U$185,))</f>
        <v/>
      </c>
      <c r="I192" s="653">
        <f>IF($D$129="Standard",$V$184,IF($D$129="Soumdproof",$V$185,))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139">
        <f>IF($D$129="Standard",$O$186,IF($D$129="Soumdproof",$O$187,))</f>
        <v/>
      </c>
      <c r="C193" s="139">
        <f>IF($D$129="Standard",$P$186,IF($D$129="Soumdproof",$P$187,))</f>
        <v/>
      </c>
      <c r="D193" s="139">
        <f>IF($D$129="Standard",$Q$186,IF($D$129="Soumdproof",$Q$187,))</f>
        <v/>
      </c>
      <c r="E193" s="143">
        <f>IF($D$129="Standard",R191,IF($D$129="Soumdproof",R192,))</f>
        <v/>
      </c>
      <c r="F193" s="143">
        <f>IF($D$129="Standard",$S$186,IF($D$129="Soumdproof",$S$187,))</f>
        <v/>
      </c>
      <c r="G193" s="143">
        <f>IF($D$129="Standard",$T$186,IF($D$129="Soumdproof",$T$187,))</f>
        <v/>
      </c>
      <c r="H193" s="652">
        <f>IF($D$129="Standard",$U$186,IF($D$129="Soumdproof",$U$187,))</f>
        <v/>
      </c>
      <c r="I193" s="653">
        <f>IF($D$129="Standard",$V$186,IF($D$129="Soumdproof",$V$187,))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</row>
    <row r="194" ht="18" customFormat="1" customHeight="1" s="278">
      <c r="A194" s="201">
        <f>IF(B194="","",+A193+1)</f>
        <v/>
      </c>
      <c r="B194" s="296">
        <f>IF($D$127=5,$O$175,IF($D$127=6,$O$176,IF($D$127=8,$O$177,IF($D$127=10,$O$175,IF($D$127=12,$O$175,IF($D$127=14,$O$177,IF($D$127=18,$O$175,IF($D$127=20,$O$176,IF($D$127=22,"")))))))))</f>
        <v/>
      </c>
      <c r="C194" s="296">
        <f>IF($D$127=5,$P$175,IF($D$127=6,$P$176,IF($D$127=8,$P$177,IF($D$127=10,$P$175,IF($D$127=12,$P$175,IF($D$127=14,$P$177,IF($D$127=18,$P$175,IF($D$127=20,$P$176,IF($D$127=22,"")))))))))</f>
        <v/>
      </c>
      <c r="D194" s="296">
        <f>IF($D$127=5,$Q$175,IF($D$127=6,$Q$176,IF($D$127=8,$Q$177,IF($D$127=10,$Q$175,IF($D$127=12,$Q$175,IF($D$127=14,$Q$177,IF($D$127=18,$Q$175,IF($D$127=20,$Q$176,IF($D$127=22,"")))))))))</f>
        <v/>
      </c>
      <c r="E194" s="296">
        <f>IF($D$127=5,R180,IF($D$127=6,R181,IF($D$127=8,R182,IF($D$127=10,R180,IF($D$127=12,R180,IF($D$127=14,R182,IF($D$127=18,R180,IF($D$127=20,R181,IF($D$127=22,"",)))))))))</f>
        <v/>
      </c>
      <c r="F194" s="242">
        <f>IF($D$127=5,$S$175,IF($D$127=6,$S$176,IF($D$127=8,$S$177,IF($D$127=10,$S$175,IF($D$127=12,$S$175,IF($D$127=14,$S$177,IF($D$127=18,$S$175,IF($D$127=20,$S$176,IF($D$127=22,"")))))))))</f>
        <v/>
      </c>
      <c r="G194" s="242">
        <f>IF($D$127=5,$T$175,IF($D$127=6,$T$176,IF($D$127=8,$T$177,IF($D$127=10,$T$175,IF($D$127=12,$T$175,IF($D$127=14,$T$177,IF($D$127=18,$T$175,IF($D$127=20,$T$176,IF($D$127=22,"")))))))))</f>
        <v/>
      </c>
      <c r="H194" s="652">
        <f>IF($D$127=5,$U$175,IF($D$127=6,$U$176,IF($D$127=8,$U$177,IF($D$127=10,$U$175*2,IF($D$127=12,$U$175,IF($D$127=14,$U$177*2,IF($D$127=18,$U$175,IF($D$127=20,$U$176,IF($D$127=22,"")))))))))</f>
        <v/>
      </c>
      <c r="I194" s="653">
        <f>IF($D$127=5,$V$175,IF($D$127=6,$V$176,IF($D$127=8,$V$177,IF($D$127=10,$V$175,IF($D$127=12,$V$175,IF($D$127=14,$V$177,IF($D$127=18,$V$175,IF($D$127=20,$V$176,IF($D$127=22,"")))))))))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IF($D$127=5,$O$173,IF($D$127=6,$O$173,IF($D$127=8,$O$175,IF($D$127=10,"",IF($D$127=12,$O$174,IF($D$127=14,"",IF($D$127=18,$O$173,IF($D$127=20,$O$174,IF($D$127=22,"",)))))))))</f>
        <v/>
      </c>
      <c r="C195" s="296">
        <f>IF($D$127=5,$P$173,IF($D$127=6,$P$173,IF($D$127=8,$P$175,IF($D$127=10,"",IF($D$127=12,$P$174,IF($D$127=14,"",IF($D$127=18,$P$173,IF($D$127=20,$P$174,IF($D$127=22,"",)))))))))</f>
        <v/>
      </c>
      <c r="D195" s="296">
        <f>IF($D$127=5,$Q$173,IF($D$127=6,$Q$173,IF($D$127=8,$Q$175,IF($D$127=10,"",IF($D$127=12,$Q$174,IF($D$127=14,"",IF($D$127=18,$Q$173,IF($D$127=20,$Q$174,IF($D$127=22,"",)))))))))</f>
        <v/>
      </c>
      <c r="E195" s="296">
        <f>IF($D$127=5,R178,IF($D$127=6,R178,IF($D$127=8,R180,IF($D$127=10,"",IF($D$127=12,R179,IF($D$127=14,"",IF($D$127=18,R178,IF($D$127=20,R179,IF($D$127=22,"",)))))))))</f>
        <v/>
      </c>
      <c r="F195" s="242">
        <f>IF($D$127=5,$S$173,IF($D$127=6,$S$173,IF($D$127=8,$S$175,IF($D$127=10,"",IF($D$127=12,$S$174,IF($D$127=14,"",IF($D$127=18,$S$173,IF($D$127=20,$S$174,IF($D$127=22,"",)))))))))</f>
        <v/>
      </c>
      <c r="G195" s="242">
        <f>IF($D$127=5,$T$173,IF($D$127=6,$T$173,IF($D$127=8,$T$175,IF($D$127=10,"",IF($D$127=12,$T$174,IF($D$127=14,"",IF($D$127=18,$T$173,IF($D$127=20,$T$174,IF($D$127=22,"",)))))))))</f>
        <v/>
      </c>
      <c r="H195" s="652">
        <f>IF($D$127=5,$U$173,IF($D$127=6,$U$173,IF($D$127=8,$U$175,IF($D$127=10,"",IF($D$127=12,$U$174,IF($D$127=14,"",IF($D$127=18,$U$173,IF($D$127=20,$U$174,IF($D$127=22,"")))))))))</f>
        <v/>
      </c>
      <c r="I195" s="653">
        <f>IF($D$127=5,$V$173,IF($D$127=6,$V$173,IF($D$127=8,$V$175,IF($D$127=10,"",IF($D$127=12,$V$174,IF($D$127=14,"",IF($D$127=18,$V$173,IF($D$127=20,$V$174,IF($D$127=22,"",)))))))))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LEFT($J$111,13)&amp;"-02"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8))/9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8))/9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8))/9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8))/9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LEFT($J$111,13)&amp;"-03"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3">
      <c r="A405" s="101" t="n"/>
      <c r="B405" s="278" t="n"/>
      <c r="C405" s="278" t="n"/>
      <c r="D405" s="161" t="n"/>
      <c r="E405" s="109" t="n"/>
      <c r="F405" s="109" t="n"/>
      <c r="G405" s="109" t="n"/>
      <c r="H405" s="109" t="n"/>
      <c r="I405" s="109" t="n"/>
      <c r="J405" s="109" t="n"/>
    </row>
    <row r="406" ht="15.9" customFormat="1" customHeight="1" s="278">
      <c r="A406" s="44" t="n"/>
      <c r="B406" s="278" t="n"/>
      <c r="C406" s="278" t="n"/>
      <c r="D406" s="161" t="n"/>
      <c r="E406" s="109" t="n"/>
      <c r="F406" s="109" t="n"/>
      <c r="G406" s="109" t="n"/>
      <c r="H406" s="109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LEFT($J$111,13)&amp;"-04"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278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278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278" t="n"/>
      <c r="I507" s="501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278" t="n"/>
      <c r="I508" s="501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501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501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47" t="inlineStr">
        <is>
          <t>DESCRIPTION</t>
        </is>
      </c>
      <c r="D519" s="148" t="inlineStr">
        <is>
          <t>HEIGHT</t>
        </is>
      </c>
      <c r="E519" s="147" t="inlineStr">
        <is>
          <t>KG/m</t>
        </is>
      </c>
      <c r="F519" s="320" t="inlineStr">
        <is>
          <t>FORMULA</t>
        </is>
      </c>
      <c r="G519" s="154" t="n"/>
      <c r="H519" s="148" t="inlineStr">
        <is>
          <t>FORMULA</t>
        </is>
      </c>
      <c r="I519" s="148" t="inlineStr">
        <is>
          <t>WIDTH</t>
        </is>
      </c>
      <c r="J519" s="149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8)/9)-13</t>
        </is>
      </c>
      <c r="I520" s="124">
        <f>(($J$126-185-(113.25*8))/9)-13</f>
        <v/>
      </c>
      <c r="J520" s="151">
        <f>$J$120*9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75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LEFT($J$111,13)&amp;"-05"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I156:J156"/>
    <mergeCell ref="H157:H158"/>
    <mergeCell ref="A518:J518"/>
    <mergeCell ref="F331:G331"/>
    <mergeCell ref="H159:H160"/>
    <mergeCell ref="A320:J32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A6:J6"/>
    <mergeCell ref="I155:J155"/>
    <mergeCell ref="A427:J427"/>
    <mergeCell ref="D161:D166"/>
    <mergeCell ref="D167:D168"/>
    <mergeCell ref="J120:J121"/>
    <mergeCell ref="I166:J166"/>
    <mergeCell ref="I164:J165"/>
    <mergeCell ref="A125:B12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 codeName="Sheet34">
    <tabColor theme="5" tint="-0.249977111117893"/>
    <outlinePr summaryBelow="1" summaryRight="1"/>
    <pageSetUpPr/>
  </sheetPr>
  <dimension ref="A2:X528"/>
  <sheetViews>
    <sheetView showGridLines="0" view="pageBreakPreview" topLeftCell="A115" zoomScale="75" zoomScaleNormal="75" zoomScaleSheetLayoutView="75" workbookViewId="0">
      <selection activeCell="H126" sqref="H126:I127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6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7.88671875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19.8867187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240-10 Panel (5L5R)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FG-240-10P5L5R-01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Scope Green pop up Gallery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30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2340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3721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20</v>
      </c>
      <c r="U133" s="283" t="inlineStr">
        <is>
          <t>(W-185-(113.25 × 9))/10</t>
        </is>
      </c>
      <c r="V133" s="285">
        <f>($J$126-185-(113.25*9))/10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20</v>
      </c>
      <c r="U134" s="143" t="inlineStr">
        <is>
          <t>(W-185-(113.25 × 9))/10</t>
        </is>
      </c>
      <c r="V134" s="144">
        <f>($J$126-185-(113.25*9))/10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20</v>
      </c>
      <c r="U135" s="240" t="inlineStr">
        <is>
          <t>(W-185-(113.25 × 9))/10</t>
        </is>
      </c>
      <c r="V135" s="145">
        <f>($J$126-185-(113.25*9))/10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20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20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20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10</v>
      </c>
      <c r="H141" s="683" t="inlineStr">
        <is>
          <t>45°แยกฝั่ง (W/2-60-(5+1)×4)/5</t>
        </is>
      </c>
      <c r="I141" s="178">
        <f>(($J$126/2)-60-(5+1)*4)/5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10</v>
      </c>
      <c r="H142" s="683" t="inlineStr">
        <is>
          <t>45°แยกฝั่ง (W/2-60-(5+1)×4)/5</t>
        </is>
      </c>
      <c r="I142" s="178">
        <f>(($J$126/2)-60-(5+1)*4)/5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15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20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2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4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บานพับต่างระดับมีมือจับ(ขวา)</t>
        </is>
      </c>
      <c r="C183" s="140" t="inlineStr">
        <is>
          <t>Offset Hinge Only With Handle (R)</t>
        </is>
      </c>
      <c r="D183" s="139" t="inlineStr">
        <is>
          <t>05-012</t>
        </is>
      </c>
      <c r="E183" s="143" t="n"/>
      <c r="F183" s="143" t="inlineStr">
        <is>
          <t>05-012</t>
        </is>
      </c>
      <c r="G183" s="143" t="inlineStr">
        <is>
          <t>SET</t>
        </is>
      </c>
      <c r="H183" s="143" t="n">
        <v>2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บานพับต่างระดับมีมือจับ(ซ้าย)</t>
        </is>
      </c>
      <c r="C184" s="140" t="inlineStr">
        <is>
          <t>Offset Hinge Only With Handle (L)</t>
        </is>
      </c>
      <c r="D184" s="139" t="inlineStr">
        <is>
          <t>05-013</t>
        </is>
      </c>
      <c r="E184" s="143" t="n"/>
      <c r="F184" s="143" t="inlineStr">
        <is>
          <t>05-013</t>
        </is>
      </c>
      <c r="G184" s="143" t="inlineStr">
        <is>
          <t>SET</t>
        </is>
      </c>
      <c r="H184" s="143" t="n">
        <v>2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ชุดสลักล็อค</t>
        </is>
      </c>
      <c r="C185" s="140" t="inlineStr">
        <is>
          <t>Twin Bolt + Rods</t>
        </is>
      </c>
      <c r="D185" s="139" t="inlineStr">
        <is>
          <t>05-014</t>
        </is>
      </c>
      <c r="E185" s="143" t="n"/>
      <c r="F185" s="143" t="inlineStr">
        <is>
          <t>05-014</t>
        </is>
      </c>
      <c r="G185" s="143" t="inlineStr">
        <is>
          <t>SET</t>
        </is>
      </c>
      <c r="H185" s="143" t="n">
        <v>4</v>
      </c>
      <c r="I185" s="144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ชุดมือจับล็อค</t>
        </is>
      </c>
      <c r="C186" s="140" t="inlineStr">
        <is>
          <t>Stainless steel mortise lock,handle,cylinder</t>
        </is>
      </c>
      <c r="D186" s="139" t="inlineStr">
        <is>
          <t>00-024 or 00-027</t>
        </is>
      </c>
      <c r="E186" s="143" t="n"/>
      <c r="F186" s="143" t="inlineStr">
        <is>
          <t>00-024 or 00-027</t>
        </is>
      </c>
      <c r="G186" s="143" t="inlineStr">
        <is>
          <t>SET</t>
        </is>
      </c>
      <c r="H186" s="143" t="n">
        <v>1</v>
      </c>
      <c r="I186" s="144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((($I$141*$G$141*2)+($I$143*$G$143*2)+($I$144*$G$144*2)+($I$145*$G$145))/1000)*$J$120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ตัวประคองสลักล็อค</t>
        </is>
      </c>
      <c r="C187" s="140" t="inlineStr">
        <is>
          <t>Guide twin Bolt Rods</t>
        </is>
      </c>
      <c r="D187" s="139" t="inlineStr">
        <is>
          <t>04-009</t>
        </is>
      </c>
      <c r="E187" s="143" t="n"/>
      <c r="F187" s="143" t="inlineStr">
        <is>
          <t>04-009</t>
        </is>
      </c>
      <c r="G187" s="143" t="inlineStr">
        <is>
          <t>PC</t>
        </is>
      </c>
      <c r="H187" s="143" t="n">
        <v>8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((($I$141*$G$141*2)+($I$143*$G$143*2)+($I$144*$G$144*2)+($I$145*$G$145))/1000)*$J$120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รางเสริมเปลี่ยนล้อ</t>
        </is>
      </c>
      <c r="C188" s="140" t="inlineStr">
        <is>
          <t>35 SERIES TRACK INSERT</t>
        </is>
      </c>
      <c r="D188" s="139" t="inlineStr">
        <is>
          <t>04-004</t>
        </is>
      </c>
      <c r="E188" s="143" t="n"/>
      <c r="F188" s="143" t="inlineStr">
        <is>
          <t>04-004</t>
        </is>
      </c>
      <c r="G188" s="143" t="inlineStr">
        <is>
          <t>PC</t>
        </is>
      </c>
      <c r="H188" s="143" t="n">
        <v>1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ตัวรับกลอน</t>
        </is>
      </c>
      <c r="C189" s="140" t="inlineStr">
        <is>
          <t xml:space="preserve">FLUSH BOLT RECEIVER </t>
        </is>
      </c>
      <c r="D189" s="139" t="inlineStr">
        <is>
          <t>04-015</t>
        </is>
      </c>
      <c r="E189" s="143" t="n"/>
      <c r="F189" s="143" t="inlineStr">
        <is>
          <t>04-015</t>
        </is>
      </c>
      <c r="G189" s="143" t="inlineStr">
        <is>
          <t>PC</t>
        </is>
      </c>
      <c r="H189" s="143" t="n">
        <v>1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ตัวรับกลอน</t>
        </is>
      </c>
      <c r="C190" s="140" t="inlineStr">
        <is>
          <t xml:space="preserve">FLUSH BOLT RECEIVER </t>
        </is>
      </c>
      <c r="D190" s="139" t="inlineStr">
        <is>
          <t>04-016</t>
        </is>
      </c>
      <c r="E190" s="143" t="n"/>
      <c r="F190" s="143" t="inlineStr">
        <is>
          <t>04-016</t>
        </is>
      </c>
      <c r="G190" s="143" t="inlineStr">
        <is>
          <t>PC</t>
        </is>
      </c>
      <c r="H190" s="143" t="n">
        <v>4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กลอนสวิง 250 มม.</t>
        </is>
      </c>
      <c r="C191" s="140" t="inlineStr">
        <is>
          <t>Surface mounted flush bolt</t>
        </is>
      </c>
      <c r="D191" s="139" t="inlineStr">
        <is>
          <t>00-020-25</t>
        </is>
      </c>
      <c r="E191" s="143" t="n"/>
      <c r="F191" s="143" t="inlineStr">
        <is>
          <t>00-020-25</t>
        </is>
      </c>
      <c r="G191" s="143" t="inlineStr">
        <is>
          <t>SET</t>
        </is>
      </c>
      <c r="H191" s="143" t="n">
        <v>1</v>
      </c>
      <c r="I191" s="130" t="n"/>
      <c r="J191" s="131">
        <f>$J$120*H191</f>
        <v/>
      </c>
    </row>
    <row r="192" ht="18" customFormat="1" customHeight="1" s="278">
      <c r="A192" s="201">
        <f>IF(B192="","",+A191+1)</f>
        <v/>
      </c>
      <c r="B192" s="140" t="inlineStr">
        <is>
          <t>กลอนสวิง 900 มม.</t>
        </is>
      </c>
      <c r="C192" s="140" t="inlineStr">
        <is>
          <t>Surface mounted flush bolt</t>
        </is>
      </c>
      <c r="D192" s="139" t="inlineStr">
        <is>
          <t>00-020-90</t>
        </is>
      </c>
      <c r="E192" s="143" t="n"/>
      <c r="F192" s="143" t="inlineStr">
        <is>
          <t>00-020-90</t>
        </is>
      </c>
      <c r="G192" s="143" t="inlineStr">
        <is>
          <t>SET</t>
        </is>
      </c>
      <c r="H192" s="143" t="n">
        <v>1</v>
      </c>
      <c r="I192" s="130" t="n"/>
      <c r="J192" s="131">
        <f>$J$120*H192</f>
        <v/>
      </c>
    </row>
    <row r="193" ht="18" customHeight="1" s="344">
      <c r="A193" s="201">
        <f>IF(B193="","",+A192+1)</f>
        <v/>
      </c>
      <c r="B193" s="140" t="inlineStr">
        <is>
          <t>สักหลาดบังใบ</t>
        </is>
      </c>
      <c r="C193" s="140" t="inlineStr">
        <is>
          <t>MOHAIR FOR SASH STOP</t>
        </is>
      </c>
      <c r="D193" s="139" t="inlineStr">
        <is>
          <t>02-028</t>
        </is>
      </c>
      <c r="E193" s="143" t="n"/>
      <c r="F193" s="143" t="inlineStr">
        <is>
          <t>02-028</t>
        </is>
      </c>
      <c r="G193" s="143" t="inlineStr">
        <is>
          <t>M</t>
        </is>
      </c>
      <c r="H193" s="652">
        <f>((($I$149*$G$149)+($I$150*$G$150))/1000)*$J$120</f>
        <v/>
      </c>
      <c r="I193" s="653" t="n">
        <v>100</v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140" t="inlineStr">
        <is>
          <t>สักหลาดเสา</t>
        </is>
      </c>
      <c r="C194" s="140" t="inlineStr">
        <is>
          <t>MOHAIR FOR SASH (Ver)</t>
        </is>
      </c>
      <c r="D194" s="139" t="inlineStr">
        <is>
          <t>02-036</t>
        </is>
      </c>
      <c r="E194" s="143" t="n"/>
      <c r="F194" s="143" t="inlineStr">
        <is>
          <t>02-036</t>
        </is>
      </c>
      <c r="G194" s="143" t="inlineStr">
        <is>
          <t>M</t>
        </is>
      </c>
      <c r="H194" s="652">
        <f>(((($I$146*$G$146*2))/1000)*$J$120)</f>
        <v/>
      </c>
      <c r="I194" s="653" t="n">
        <v>100</v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139">
        <f>IF($D$129="Standard",$O$184,IF($D$129="Soumdproof",$O$185,))</f>
        <v/>
      </c>
      <c r="C195" s="139">
        <f>IF($D$129="Standard",$P$184,IF($D$129="Soumdproof",$P$185,))</f>
        <v/>
      </c>
      <c r="D195" s="139">
        <f>IF($D$129="Standard",$Q$184,IF($D$129="Soumdproof",$Q$185,))</f>
        <v/>
      </c>
      <c r="E195" s="143">
        <f>IF($D$129="Standard",R189,IF($D$129="Soumdproof",R190,))</f>
        <v/>
      </c>
      <c r="F195" s="143">
        <f>IF($D$129="Standard",$S$184,IF($D$129="Soumdproof",$S$185,))</f>
        <v/>
      </c>
      <c r="G195" s="143">
        <f>IF($D$129="Standard",$T$184,IF($D$129="Soumdproof",$T$185,))</f>
        <v/>
      </c>
      <c r="H195" s="652">
        <f>IF($D$129="Standard",$U$184,IF($D$129="Soumdproof",$U$185,))</f>
        <v/>
      </c>
      <c r="I195" s="653">
        <f>IF($D$129="Standard",$V$184,IF($D$129="Soumdproof",$V$185,))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139">
        <f>IF($D$129="Standard",$O$186,IF($D$129="Soumdproof",$O$187,))</f>
        <v/>
      </c>
      <c r="C196" s="139">
        <f>IF($D$129="Standard",$P$186,IF($D$129="Soumdproof",$P$187,))</f>
        <v/>
      </c>
      <c r="D196" s="139">
        <f>IF($D$129="Standard",$Q$186,IF($D$129="Soumdproof",$Q$187,))</f>
        <v/>
      </c>
      <c r="E196" s="143">
        <f>IF($D$129="Standard",R191,IF($D$129="Soumdproof",R192,))</f>
        <v/>
      </c>
      <c r="F196" s="143">
        <f>IF($D$129="Standard",$S$186,IF($D$129="Soumdproof",$S$187,))</f>
        <v/>
      </c>
      <c r="G196" s="143">
        <f>IF($D$129="Standard",$T$186,IF($D$129="Soumdproof",$T$187,))</f>
        <v/>
      </c>
      <c r="H196" s="652">
        <f>IF($D$129="Standard",$U$186,IF($D$129="Soumdproof",$U$187,))</f>
        <v/>
      </c>
      <c r="I196" s="653">
        <f>IF($D$129="Standard",$V$186,IF($D$129="Soumdproof",$V$187,))</f>
        <v/>
      </c>
      <c r="J196" s="655">
        <f>ROUNDUP((H196)/100,0)</f>
        <v/>
      </c>
    </row>
    <row r="197" ht="18" customFormat="1" customHeight="1" s="278">
      <c r="A197" s="201">
        <f>IF(B197="","",+A196+1)</f>
        <v/>
      </c>
      <c r="B197" s="296">
        <f>IF($D$127=5,$O$175,IF($D$127=6,$O$176,IF($D$127=8,$O$177,IF($D$127=10,$O$175,IF($D$127=12,$O$175,IF($D$127=14,$O$177,IF($D$127=18,$O$175,IF($D$127=20,$O$176,IF($D$127=22,"")))))))))</f>
        <v/>
      </c>
      <c r="C197" s="296">
        <f>IF($D$127=5,$P$175,IF($D$127=6,$P$176,IF($D$127=8,$P$177,IF($D$127=10,$P$175,IF($D$127=12,$P$175,IF($D$127=14,$P$177,IF($D$127=18,$P$175,IF($D$127=20,$P$176,IF($D$127=22,"")))))))))</f>
        <v/>
      </c>
      <c r="D197" s="296">
        <f>IF($D$127=5,$Q$175,IF($D$127=6,$Q$176,IF($D$127=8,$Q$177,IF($D$127=10,$Q$175,IF($D$127=12,$Q$175,IF($D$127=14,$Q$177,IF($D$127=18,$Q$175,IF($D$127=20,$Q$176,IF($D$127=22,"")))))))))</f>
        <v/>
      </c>
      <c r="E197" s="296">
        <f>IF($D$127=5,R180,IF($D$127=6,R181,IF($D$127=8,R182,IF($D$127=10,R180,IF($D$127=12,R180,IF($D$127=14,R182,IF($D$127=18,R180,IF($D$127=20,R181,IF($D$127=22,"",)))))))))</f>
        <v/>
      </c>
      <c r="F197" s="242">
        <f>IF($D$127=5,$S$175,IF($D$127=6,$S$176,IF($D$127=8,$S$177,IF($D$127=10,$S$175,IF($D$127=12,$S$175,IF($D$127=14,$S$177,IF($D$127=18,$S$175,IF($D$127=20,$S$176,IF($D$127=22,"")))))))))</f>
        <v/>
      </c>
      <c r="G197" s="242">
        <f>IF($D$127=5,$T$175,IF($D$127=6,$T$176,IF($D$127=8,$T$177,IF($D$127=10,$T$175,IF($D$127=12,$T$175,IF($D$127=14,$T$177,IF($D$127=18,$T$175,IF($D$127=20,$T$176,IF($D$127=22,"")))))))))</f>
        <v/>
      </c>
      <c r="H197" s="652">
        <f>IF($D$127=5,$U$175,IF($D$127=6,$U$176,IF($D$127=8,$U$177,IF($D$127=10,$U$175*2,IF($D$127=12,$U$175,IF($D$127=14,$U$177*2,IF($D$127=18,$U$175,IF($D$127=20,$U$176,IF($D$127=22,"")))))))))</f>
        <v/>
      </c>
      <c r="I197" s="653">
        <f>IF($D$127=5,$V$175,IF($D$127=6,$V$176,IF($D$127=8,$V$177,IF($D$127=10,$V$175,IF($D$127=12,$V$175,IF($D$127=14,$V$177,IF($D$127=18,$V$175,IF($D$127=20,$V$176,IF($D$127=22,"")))))))))</f>
        <v/>
      </c>
      <c r="J197" s="655">
        <f>ROUNDUP((H197)/100,0)</f>
        <v/>
      </c>
    </row>
    <row r="198" ht="18" customFormat="1" customHeight="1" s="278">
      <c r="A198" s="201">
        <f>IF(B198="","",+A197+1)</f>
        <v/>
      </c>
      <c r="B198" s="296">
        <f>IF($D$127=5,$O$173,IF($D$127=6,$O$173,IF($D$127=8,$O$175,IF($D$127=10,"",IF($D$127=12,$O$174,IF($D$127=14,"",IF($D$127=18,$O$173,IF($D$127=20,$O$174,IF($D$127=22,"",)))))))))</f>
        <v/>
      </c>
      <c r="C198" s="296">
        <f>IF($D$127=5,$P$173,IF($D$127=6,$P$173,IF($D$127=8,$P$175,IF($D$127=10,"",IF($D$127=12,$P$174,IF($D$127=14,"",IF($D$127=18,$P$173,IF($D$127=20,$P$174,IF($D$127=22,"",)))))))))</f>
        <v/>
      </c>
      <c r="D198" s="296">
        <f>IF($D$127=5,$Q$173,IF($D$127=6,$Q$173,IF($D$127=8,$Q$175,IF($D$127=10,"",IF($D$127=12,$Q$174,IF($D$127=14,"",IF($D$127=18,$Q$173,IF($D$127=20,$Q$174,IF($D$127=22,"",)))))))))</f>
        <v/>
      </c>
      <c r="E198" s="296">
        <f>IF($D$127=5,R178,IF($D$127=6,R178,IF($D$127=8,R180,IF($D$127=10,"",IF($D$127=12,R179,IF($D$127=14,"",IF($D$127=18,R178,IF($D$127=20,R179,IF($D$127=22,"",)))))))))</f>
        <v/>
      </c>
      <c r="F198" s="242">
        <f>IF($D$127=5,$S$173,IF($D$127=6,$S$173,IF($D$127=8,$S$175,IF($D$127=10,"",IF($D$127=12,$S$174,IF($D$127=14,"",IF($D$127=18,$S$173,IF($D$127=20,$S$174,IF($D$127=22,"",)))))))))</f>
        <v/>
      </c>
      <c r="G198" s="242">
        <f>IF($D$127=5,$T$173,IF($D$127=6,$T$173,IF($D$127=8,$T$175,IF($D$127=10,"",IF($D$127=12,$T$174,IF($D$127=14,"",IF($D$127=18,$T$173,IF($D$127=20,$T$174,IF($D$127=22,"",)))))))))</f>
        <v/>
      </c>
      <c r="H198" s="652">
        <f>IF($D$127=5,$U$173,IF($D$127=6,$U$173,IF($D$127=8,$U$175,IF($D$127=10,"",IF($D$127=12,$U$174,IF($D$127=14,"",IF($D$127=18,$U$173,IF($D$127=20,$U$174,IF($D$127=22,"")))))))))</f>
        <v/>
      </c>
      <c r="I198" s="653">
        <f>IF($D$127=5,$V$173,IF($D$127=6,$V$173,IF($D$127=8,$V$175,IF($D$127=10,"",IF($D$127=12,$V$174,IF($D$127=14,"",IF($D$127=18,$V$173,IF($D$127=20,$V$174,IF($D$127=22,"",)))))))))</f>
        <v/>
      </c>
      <c r="J198" s="655">
        <f>ROUNDUP((H198)/100,0)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 t="n"/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LEFT($J$111,14)&amp;"-02"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9))/10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 (วงกบ) - 185-(113.25 × 9))/10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9))/10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((ความกว้างวงกบ - 185-(113.25 × 9))/10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LEFT($J$111,14)&amp;"-03"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LEFT($J$111,14)&amp;"-04"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27" t="n"/>
      <c r="B513" s="278" t="n"/>
      <c r="C513" s="278" t="n"/>
      <c r="D513" s="161" t="n"/>
      <c r="E513" s="109" t="n"/>
      <c r="F513" s="109" t="n"/>
      <c r="G513" s="109" t="n"/>
      <c r="H513" s="109" t="n"/>
      <c r="I513" s="43" t="n"/>
      <c r="J513" s="107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9)/10)-13</t>
        </is>
      </c>
      <c r="I520" s="124">
        <f>(($J$126-185-(113.25*9))/10)-13</f>
        <v/>
      </c>
      <c r="J520" s="299">
        <f>$J$120*10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LEFT($J$111,14)&amp;"-05"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0:J163"/>
    <mergeCell ref="D127:G127"/>
    <mergeCell ref="D121:G121"/>
    <mergeCell ref="A131:J13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I156:J156"/>
    <mergeCell ref="H157:H158"/>
    <mergeCell ref="A518:J518"/>
    <mergeCell ref="A320:J320"/>
    <mergeCell ref="F331:G331"/>
    <mergeCell ref="H159:H16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A6:J6"/>
    <mergeCell ref="I155:J155"/>
    <mergeCell ref="A427:J427"/>
    <mergeCell ref="D161:D166"/>
    <mergeCell ref="J120:J121"/>
    <mergeCell ref="D167:D168"/>
    <mergeCell ref="I166:J166"/>
    <mergeCell ref="A125:B125"/>
    <mergeCell ref="I164:J16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 codeName="Sheet35">
    <tabColor theme="5" tint="-0.249977111117893"/>
    <outlinePr summaryBelow="1" summaryRight="1"/>
    <pageSetUpPr/>
  </sheetPr>
  <dimension ref="A2:X527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5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9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0.88671875" customWidth="1" style="344" min="21" max="21"/>
    <col hidden="1" outlineLevel="1" width="10.5546875" customWidth="1" style="344" min="22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240-11 Panel (5L6R)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FG-240-11P5L6R-01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22</v>
      </c>
      <c r="U133" s="283" t="inlineStr">
        <is>
          <t>(W-185-(113.25 × 10))/11</t>
        </is>
      </c>
      <c r="V133" s="307">
        <f>($J$126-185-(113.25*10))/11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22</v>
      </c>
      <c r="U134" s="143" t="inlineStr">
        <is>
          <t>(W-185-(113.25 × 10))/11</t>
        </is>
      </c>
      <c r="V134" s="178">
        <f>($J$126-185-(113.25*10))/11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22</v>
      </c>
      <c r="U135" s="240" t="inlineStr">
        <is>
          <t>(W-185-(113.25 × 10))/11</t>
        </is>
      </c>
      <c r="V135" s="308">
        <f>($J$126-185-(113.25*10))/11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22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22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22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11</v>
      </c>
      <c r="H141" s="683" t="inlineStr">
        <is>
          <t>45° (W-60-(11+1)×4)/11</t>
        </is>
      </c>
      <c r="I141" s="178">
        <f>($J$126-60-(11+1)*4)/11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11</v>
      </c>
      <c r="H142" s="143" t="inlineStr">
        <is>
          <t>45° (W-60-(11+1)×4)/11</t>
        </is>
      </c>
      <c r="I142" s="178">
        <f>($J$126-60-(11+1)*4)/11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2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78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22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2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375" t="inlineStr">
        <is>
          <t>05-007</t>
        </is>
      </c>
      <c r="E181" s="376" t="n"/>
      <c r="F181" s="376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Left Hand End Carrier Set</t>
        </is>
      </c>
      <c r="D182" s="375" t="inlineStr">
        <is>
          <t>05-008</t>
        </is>
      </c>
      <c r="E182" s="376" t="n"/>
      <c r="F182" s="376" t="inlineStr">
        <is>
          <t>05-008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375" t="inlineStr">
        <is>
          <t>05-011</t>
        </is>
      </c>
      <c r="E183" s="376" t="n"/>
      <c r="F183" s="376" t="inlineStr">
        <is>
          <t>05-011</t>
        </is>
      </c>
      <c r="G183" s="143" t="inlineStr">
        <is>
          <t>SET</t>
        </is>
      </c>
      <c r="H183" s="143" t="n">
        <v>4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375" t="inlineStr">
        <is>
          <t>05-014</t>
        </is>
      </c>
      <c r="E184" s="376" t="n"/>
      <c r="F184" s="376" t="inlineStr">
        <is>
          <t>05-014</t>
        </is>
      </c>
      <c r="G184" s="143" t="inlineStr">
        <is>
          <t>SET</t>
        </is>
      </c>
      <c r="H184" s="143" t="n">
        <v>5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375" t="inlineStr">
        <is>
          <t>00-024 or 00-027</t>
        </is>
      </c>
      <c r="E185" s="376" t="n"/>
      <c r="F185" s="376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10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((($I$141*$G$141*2)+($I$143*$G$143*2)+($I$144*$G$144*2)+($I$145*$G$145))/1000)*$J$120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((($I$141*$G$141*2)+($I$143*$G$143*2)+($I$144*$G$144*2)+($I$145*$G$145))/1000)*$J$120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5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((($I$149*$G$149)+($I$150*$G$150))/1000)*$J$120</f>
        <v/>
      </c>
      <c r="I189" s="653" t="n">
        <v>100</v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((($I$146*$G$146*2))/1000)*$J$120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IF($D$129="Standard",$O$184,IF($D$129="Soumdproof",$O$185,))</f>
        <v/>
      </c>
      <c r="C191" s="139">
        <f>IF($D$129="Standard",$P$184,IF($D$129="Soumdproof",$P$185,))</f>
        <v/>
      </c>
      <c r="D191" s="139">
        <f>IF($D$129="Standard",$Q$184,IF($D$129="Soumdproof",$Q$185,))</f>
        <v/>
      </c>
      <c r="E191" s="143">
        <f>IF($D$129="Standard",R189,IF($D$129="Soumdproof",R190,))</f>
        <v/>
      </c>
      <c r="F191" s="143">
        <f>IF($D$129="Standard",$S$184,IF($D$129="Soumdproof",$S$185,))</f>
        <v/>
      </c>
      <c r="G191" s="143">
        <f>IF($D$129="Standard",$T$184,IF($D$129="Soumdproof",$T$185,))</f>
        <v/>
      </c>
      <c r="H191" s="652">
        <f>IF($D$129="Standard",$U$184,IF($D$129="Soumdproof",$U$185,))</f>
        <v/>
      </c>
      <c r="I191" s="653">
        <f>IF($D$129="Standard",$V$184,IF($D$129="Soumdproof",$V$185,))</f>
        <v/>
      </c>
      <c r="J191" s="654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IF($D$129="Standard",R191,IF($D$129="Soumdproof",R192,))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296">
        <f>IF($D$127=5,$O$175,IF($D$127=6,$O$176,IF($D$127=8,$O$177,IF($D$127=10,$O$175,IF($D$127=12,$O$175,IF($D$127=14,$O$177,IF($D$127=18,$O$175,IF($D$127=20,$O$176,IF($D$127=22,"")))))))))</f>
        <v/>
      </c>
      <c r="C193" s="296">
        <f>IF($D$127=5,$P$175,IF($D$127=6,$P$176,IF($D$127=8,$P$177,IF($D$127=10,$P$175,IF($D$127=12,$P$175,IF($D$127=14,$P$177,IF($D$127=18,$P$175,IF($D$127=20,$P$176,IF($D$127=22,"")))))))))</f>
        <v/>
      </c>
      <c r="D193" s="296">
        <f>IF($D$127=5,$Q$175,IF($D$127=6,$Q$176,IF($D$127=8,$Q$177,IF($D$127=10,$Q$175,IF($D$127=12,$Q$175,IF($D$127=14,$Q$177,IF($D$127=18,$Q$175,IF($D$127=20,$Q$176,IF($D$127=22,"")))))))))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IF($D$127=5,$S$175,IF($D$127=6,$S$176,IF($D$127=8,$S$177,IF($D$127=10,$S$175,IF($D$127=12,$S$175,IF($D$127=14,$S$177,IF($D$127=18,$S$175,IF($D$127=20,$S$176,IF($D$127=22,"")))))))))</f>
        <v/>
      </c>
      <c r="G193" s="242">
        <f>IF($D$127=5,$T$175,IF($D$127=6,$T$176,IF($D$127=8,$T$177,IF($D$127=10,$T$175,IF($D$127=12,$T$175,IF($D$127=14,$T$177,IF($D$127=18,$T$175,IF($D$127=20,$T$176,IF($D$127=22,"")))))))))</f>
        <v/>
      </c>
      <c r="H193" s="652">
        <f>IF($D$127=5,$U$175,IF($D$127=6,$U$176,IF($D$127=8,$U$177,IF($D$127=10,$U$175*2,IF($D$127=12,$U$175,IF($D$127=14,$U$177*2,IF($D$127=18,$U$175,IF($D$127=20,$U$176,IF($D$127=22,"")))))))))</f>
        <v/>
      </c>
      <c r="I193" s="653">
        <f>IF($D$127=5,$V$175,IF($D$127=6,$V$176,IF($D$127=8,$V$177,IF($D$127=10,$V$175,IF($D$127=12,$V$175,IF($D$127=14,$V$177,IF($D$127=18,$V$175,IF($D$127=20,$V$176,IF($D$127=22,"")))))))))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296">
        <f>IF($D$127=5,$O$173,IF($D$127=6,$O$173,IF($D$127=8,$O$175,IF($D$127=10,"",IF($D$127=12,$O$174,IF($D$127=14,"",IF($D$127=18,$O$173,IF($D$127=20,$O$174,IF($D$127=22,"",)))))))))</f>
        <v/>
      </c>
      <c r="C194" s="296">
        <f>IF($D$127=5,$P$173,IF($D$127=6,$P$173,IF($D$127=8,$P$175,IF($D$127=10,"",IF($D$127=12,$P$174,IF($D$127=14,"",IF($D$127=18,$P$173,IF($D$127=20,$P$174,IF($D$127=22,"",)))))))))</f>
        <v/>
      </c>
      <c r="D194" s="296">
        <f>IF($D$127=5,$Q$173,IF($D$127=6,$Q$173,IF($D$127=8,$Q$175,IF($D$127=10,"",IF($D$127=12,$Q$174,IF($D$127=14,"",IF($D$127=18,$Q$173,IF($D$127=20,$Q$174,IF($D$127=22,"",)))))))))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IF($D$127=5,$S$173,IF($D$127=6,$S$173,IF($D$127=8,$S$175,IF($D$127=10,"",IF($D$127=12,$S$174,IF($D$127=14,"",IF($D$127=18,$S$173,IF($D$127=20,$S$174,IF($D$127=22,"",)))))))))</f>
        <v/>
      </c>
      <c r="G194" s="242">
        <f>IF($D$127=5,$T$173,IF($D$127=6,$T$173,IF($D$127=8,$T$175,IF($D$127=10,"",IF($D$127=12,$T$174,IF($D$127=14,"",IF($D$127=18,$T$173,IF($D$127=20,$T$174,IF($D$127=22,"",)))))))))</f>
        <v/>
      </c>
      <c r="H194" s="652">
        <f>IF($D$127=5,$U$173,IF($D$127=6,$U$173,IF($D$127=8,$U$175,IF($D$127=10,"",IF($D$127=12,$U$174,IF($D$127=14,"",IF($D$127=18,$U$173,IF($D$127=20,$U$174,IF($D$127=22,"")))))))))</f>
        <v/>
      </c>
      <c r="I194" s="653">
        <f>IF($D$127=5,$V$173,IF($D$127=6,$V$173,IF($D$127=8,$V$175,IF($D$127=10,"",IF($D$127=12,$V$174,IF($D$127=14,"",IF($D$127=18,$V$173,IF($D$127=20,$V$174,IF($D$127=22,"",)))))))))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 t="n"/>
    </row>
    <row r="196" ht="18" customFormat="1" customHeight="1" s="278">
      <c r="A196" s="201">
        <f>IF(B196="","",+A195+1)</f>
        <v/>
      </c>
      <c r="B196" s="140" t="n"/>
      <c r="C196" s="140" t="n"/>
      <c r="D196" s="381" t="n"/>
      <c r="E196" s="143" t="n"/>
      <c r="F196" s="143" t="n"/>
      <c r="G196" s="143" t="n"/>
      <c r="H196" s="143" t="n"/>
      <c r="I196" s="144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381" t="n"/>
      <c r="E197" s="143" t="n"/>
      <c r="F197" s="143" t="n"/>
      <c r="G197" s="143" t="n"/>
      <c r="H197" s="143" t="n"/>
      <c r="I197" s="144" t="n"/>
      <c r="J197" s="131" t="n"/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 t="n"/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LEFT($J$111,14)&amp;"-02"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ความกว้าง(วงกบ)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ความกว้าง(วงกบ)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ความกว้าง(วงกบ)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 (วงกบ)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328" t="n"/>
      <c r="E271" s="328" t="n"/>
      <c r="F271" s="109" t="n"/>
      <c r="G271" s="109" t="n"/>
      <c r="I271" s="501" t="n"/>
      <c r="J271" s="501" t="n"/>
    </row>
    <row r="272" ht="15.9" customFormat="1" customHeight="1" s="278">
      <c r="A272" s="27" t="n"/>
      <c r="B272" s="278" t="n"/>
      <c r="C272" s="278" t="n"/>
      <c r="D272" s="161" t="n"/>
      <c r="E272" s="109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89" t="inlineStr">
        <is>
          <t xml:space="preserve">                          Door Stop Jamb</t>
        </is>
      </c>
      <c r="D273" s="162" t="n"/>
      <c r="E273" s="501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328" t="inlineStr">
        <is>
          <t xml:space="preserve">                          = FAME HIGHT - 96</t>
        </is>
      </c>
      <c r="D274" s="328" t="n"/>
      <c r="E274" s="328" t="n"/>
      <c r="F274" s="109" t="n"/>
      <c r="G274" s="109" t="n"/>
      <c r="I274" s="109" t="n"/>
      <c r="J274" s="501" t="n"/>
    </row>
    <row r="275" ht="15.9" customFormat="1" customHeight="1" s="278">
      <c r="A275" s="27" t="n"/>
      <c r="B275" s="278" t="n"/>
      <c r="C275" s="542" t="inlineStr">
        <is>
          <t xml:space="preserve">                          ความสูง (วงกบ) - 96</t>
        </is>
      </c>
      <c r="D275" s="542" t="n"/>
      <c r="E275" s="542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656">
        <f>$I$139</f>
        <v/>
      </c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7">
        <f>$J$139+$J$140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F278" s="109" t="n"/>
      <c r="G278" s="109" t="n"/>
      <c r="H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I281" s="162" t="n"/>
      <c r="J281" s="501" t="n"/>
    </row>
    <row r="282" ht="15.9" customFormat="1" customHeight="1" s="278">
      <c r="A282" s="27" t="n"/>
      <c r="B282" s="278" t="n"/>
      <c r="C282" s="89" t="inlineStr">
        <is>
          <t xml:space="preserve">                          Sash</t>
        </is>
      </c>
      <c r="F282" s="109" t="n"/>
      <c r="G282" s="109" t="n"/>
      <c r="H282" s="109" t="n"/>
      <c r="I282" s="109" t="n"/>
      <c r="J282" s="501" t="n"/>
    </row>
    <row r="283" ht="15.9" customFormat="1" customHeight="1" s="278">
      <c r="A283" s="27" t="n"/>
      <c r="B283" s="278" t="n"/>
      <c r="C283" s="94" t="inlineStr">
        <is>
          <t xml:space="preserve">                          = ((Frame Width - 185-(113.25 × 10))/11</t>
        </is>
      </c>
      <c r="D283" s="161" t="n"/>
      <c r="E283" s="109" t="n"/>
      <c r="F283" s="109" t="n"/>
      <c r="G283" s="109" t="n"/>
      <c r="H283" s="109" t="n"/>
      <c r="I283" s="501" t="n"/>
      <c r="J283" s="501" t="n"/>
    </row>
    <row r="284" ht="15.9" customFormat="1" customHeight="1" s="278">
      <c r="A284" s="27" t="n"/>
      <c r="B284" s="278" t="n"/>
      <c r="C284" s="542" t="inlineStr">
        <is>
          <t xml:space="preserve">                          ((ความกว้าง (วงกบ) - 185-(113.25 × 10))/11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328" t="inlineStr">
        <is>
          <t xml:space="preserve">                          = FAME HIGHT - 92.00</t>
        </is>
      </c>
      <c r="D285" s="328" t="n"/>
      <c r="E285" s="328" t="n"/>
      <c r="F285" s="109" t="n"/>
      <c r="G285" s="109" t="n"/>
      <c r="I285" s="501" t="n"/>
      <c r="J285" s="501" t="n"/>
    </row>
    <row r="286" ht="15.9" customFormat="1" customHeight="1" s="23">
      <c r="A286" s="27" t="n"/>
      <c r="B286" s="278" t="n"/>
      <c r="C286" s="542" t="inlineStr">
        <is>
          <t xml:space="preserve">                          ความสูง (วงกบ) - 92.00</t>
        </is>
      </c>
      <c r="D286" s="542" t="n"/>
      <c r="E286" s="542" t="n"/>
      <c r="F286" s="109" t="n"/>
      <c r="G286" s="109" t="n"/>
      <c r="H286" s="278" t="n"/>
      <c r="I286" s="109" t="n"/>
      <c r="J286" s="109" t="n"/>
    </row>
    <row r="287" ht="15.9" customFormat="1" customHeight="1" s="278">
      <c r="A287" s="27" t="n"/>
      <c r="B287" s="278" t="n"/>
      <c r="C287" s="656">
        <f>$I$141</f>
        <v/>
      </c>
      <c r="F287" s="109" t="n"/>
      <c r="G287" s="109" t="n"/>
      <c r="I287" s="44" t="n"/>
      <c r="J287" s="119" t="n"/>
    </row>
    <row r="288" ht="15.9" customFormat="1" customHeight="1" s="278">
      <c r="A288" s="27" t="n"/>
      <c r="B288" s="278" t="n"/>
      <c r="C288" s="657">
        <f>$J$141+$J$142</f>
        <v/>
      </c>
      <c r="D288" s="161" t="n"/>
      <c r="E288" s="109" t="n"/>
      <c r="F288" s="109" t="n"/>
      <c r="G288" s="109" t="n"/>
      <c r="H288" s="161" t="n"/>
      <c r="I288" s="32" t="n"/>
      <c r="J288" s="40" t="n"/>
    </row>
    <row r="289" ht="15.9" customFormat="1" customHeight="1" s="278">
      <c r="A289" s="27" t="n"/>
      <c r="B289" s="278" t="n"/>
      <c r="C289" s="656">
        <f>$I$143</f>
        <v/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657">
        <f>$J$143+$J$144+$J$145+$J$146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10))/11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((ความกว้างวงกบ - 185-(113.25 × 10))/11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89" t="inlineStr">
        <is>
          <t xml:space="preserve">                          Sash Stop</t>
        </is>
      </c>
      <c r="D305" s="161" t="n"/>
      <c r="E305" s="109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328" t="inlineStr">
        <is>
          <t xml:space="preserve">                          = FAME HIGHT - 92.00</t>
        </is>
      </c>
      <c r="D306" s="328" t="n"/>
      <c r="E306" s="328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542" t="inlineStr">
        <is>
          <t xml:space="preserve">                          ความสูง (วงกบ) - 92.00</t>
        </is>
      </c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6">
        <f>$I$149</f>
        <v/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$J$149+$J$150</f>
        <v/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D310" s="161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D311" s="161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LEFT($J$111,14)&amp;"-03"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109" t="n"/>
      <c r="B322" s="72" t="n"/>
      <c r="C322" s="278" t="n"/>
      <c r="D322" s="161" t="n"/>
      <c r="E322" s="35" t="n"/>
      <c r="F322" s="160" t="n"/>
      <c r="G322" s="160" t="n"/>
      <c r="H322" s="160" t="n"/>
      <c r="I322" s="94" t="n"/>
      <c r="J322" s="109" t="n"/>
    </row>
    <row r="323" ht="15" customFormat="1" customHeight="1" s="278">
      <c r="A323" s="109" t="n"/>
      <c r="B323" s="278" t="n"/>
      <c r="C323" s="278" t="n"/>
      <c r="D323" s="161" t="n"/>
      <c r="E323" s="35" t="n"/>
      <c r="F323" s="161" t="n"/>
      <c r="G323" s="94" t="n"/>
      <c r="H323" s="94" t="n"/>
      <c r="I323" s="109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LEFT($J$111,14)&amp;"-04"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B422" s="278" t="n"/>
      <c r="C422" s="278" t="n"/>
      <c r="D422" s="161" t="n"/>
      <c r="E422" s="109" t="n"/>
      <c r="F422" s="109" t="n"/>
      <c r="G422" s="109" t="n"/>
      <c r="H422" s="109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5" t="n"/>
      <c r="D423" s="95" t="n"/>
      <c r="E423" s="95" t="n"/>
      <c r="F423" s="95" t="n"/>
      <c r="G423" s="95" t="n"/>
      <c r="H423" s="95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35.1" customFormat="1" customHeight="1" s="278">
      <c r="A443" s="109" t="n"/>
      <c r="C443" s="161" t="n"/>
      <c r="D443" s="85" t="n"/>
      <c r="E443" s="40" t="n"/>
      <c r="F443" s="32" t="n"/>
      <c r="H443" s="44" t="n"/>
      <c r="I443" s="501" t="n"/>
      <c r="J443" s="501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44" t="n"/>
      <c r="B512" s="278" t="n"/>
      <c r="C512" s="278" t="n"/>
      <c r="D512" s="161" t="n"/>
      <c r="E512" s="109" t="n"/>
      <c r="F512" s="109" t="n"/>
      <c r="G512" s="109" t="n"/>
      <c r="H512" s="287" t="n"/>
      <c r="I512" s="44" t="n"/>
      <c r="J512" s="119" t="n"/>
    </row>
    <row r="513" ht="15.9" customFormat="1" customHeight="1" s="278">
      <c r="A513" s="44" t="n"/>
      <c r="B513" s="44" t="n"/>
      <c r="C513" s="44" t="n"/>
      <c r="D513" s="84" t="n"/>
      <c r="E513" s="44" t="n"/>
      <c r="F513" s="44" t="n"/>
      <c r="G513" s="44" t="n"/>
      <c r="H513" s="44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46" t="inlineStr">
        <is>
          <t>ITEM</t>
        </is>
      </c>
      <c r="B518" s="147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50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((W-185-(113.25 × 10)/11)-13</t>
        </is>
      </c>
      <c r="I519" s="124">
        <f>(($J$126-185-(113.25*10))/11)-13</f>
        <v/>
      </c>
      <c r="J519" s="299">
        <f>$J$120*11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152" t="n"/>
      <c r="B520" s="140" t="n"/>
      <c r="C520" s="140" t="n"/>
      <c r="D520" s="139" t="inlineStr">
        <is>
          <t xml:space="preserve"> </t>
        </is>
      </c>
      <c r="E520" s="143" t="n"/>
      <c r="F520" s="155" t="n"/>
      <c r="G520" s="156" t="n"/>
      <c r="H520" s="140" t="n"/>
      <c r="I520" s="130" t="n"/>
      <c r="J520" s="153" t="n"/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152" t="n"/>
      <c r="B521" s="140" t="n"/>
      <c r="C521" s="140" t="n"/>
      <c r="D521" s="139" t="n"/>
      <c r="E521" s="143" t="n"/>
      <c r="F521" s="155" t="n"/>
      <c r="G521" s="156" t="n"/>
      <c r="H521" s="143" t="n"/>
      <c r="I521" s="130" t="n"/>
      <c r="J521" s="153" t="n"/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43">
        <f>IF(B522="","",+A520+1)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J525" s="99">
        <f>LEFT($J$111,14)&amp;"-05"</f>
        <v/>
      </c>
      <c r="M525" s="278" t="n"/>
      <c r="N525" s="415" t="inlineStr">
        <is>
          <t>กระจก 18 mm (สูง) (กว้าง)</t>
        </is>
      </c>
      <c r="O525" s="415" t="inlineStr">
        <is>
          <t>GLASS thk.18 mm (H) (W)</t>
        </is>
      </c>
      <c r="P525" s="278" t="n"/>
      <c r="Q525" s="278" t="n"/>
      <c r="R525" s="278" t="n"/>
      <c r="S525" s="278" t="n"/>
      <c r="T525" s="278" t="n"/>
      <c r="U525" s="278" t="n"/>
      <c r="V525" s="278" t="n"/>
      <c r="W525" s="278" t="n"/>
    </row>
    <row r="526">
      <c r="M526" s="278" t="n"/>
      <c r="N526" s="415" t="inlineStr">
        <is>
          <t>กระจก 20 mm (สูง) (กว้าง)</t>
        </is>
      </c>
      <c r="O526" s="415" t="inlineStr">
        <is>
          <t>GLASS thk.20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  <c r="W526" s="278" t="n"/>
    </row>
    <row r="527">
      <c r="N527" s="415" t="inlineStr">
        <is>
          <t>กระจก 22 mm (สูง) (กว้าง)</t>
        </is>
      </c>
      <c r="O527" s="415" t="inlineStr">
        <is>
          <t>GLASS thk.22 mm (H) (W)</t>
        </is>
      </c>
    </row>
  </sheetData>
  <mergeCells count="46">
    <mergeCell ref="I160:J163"/>
    <mergeCell ref="D127:G127"/>
    <mergeCell ref="D121:G121"/>
    <mergeCell ref="A131:J131"/>
    <mergeCell ref="I154:J154"/>
    <mergeCell ref="A171:J171"/>
    <mergeCell ref="H161:H166"/>
    <mergeCell ref="H167:H168"/>
    <mergeCell ref="D129:G129"/>
    <mergeCell ref="F329:G329"/>
    <mergeCell ref="I157:J158"/>
    <mergeCell ref="D123:G123"/>
    <mergeCell ref="A117:J117"/>
    <mergeCell ref="J123:J124"/>
    <mergeCell ref="I156:J156"/>
    <mergeCell ref="H157:H158"/>
    <mergeCell ref="H159:H160"/>
    <mergeCell ref="H169:H170"/>
    <mergeCell ref="H120:I121"/>
    <mergeCell ref="I159:J159"/>
    <mergeCell ref="A319:J319"/>
    <mergeCell ref="F330:G330"/>
    <mergeCell ref="D119:G119"/>
    <mergeCell ref="H126:I127"/>
    <mergeCell ref="I152:J152"/>
    <mergeCell ref="A6:J6"/>
    <mergeCell ref="I155:J155"/>
    <mergeCell ref="C307:E307"/>
    <mergeCell ref="A517:J517"/>
    <mergeCell ref="F519:G519"/>
    <mergeCell ref="A212:J212"/>
    <mergeCell ref="D161:D166"/>
    <mergeCell ref="F333:G333"/>
    <mergeCell ref="J120:J121"/>
    <mergeCell ref="D167:D168"/>
    <mergeCell ref="I166:J166"/>
    <mergeCell ref="A426:J426"/>
    <mergeCell ref="A125:B125"/>
    <mergeCell ref="I164:J165"/>
    <mergeCell ref="D157:D158"/>
    <mergeCell ref="I153:J153"/>
    <mergeCell ref="J126:J127"/>
    <mergeCell ref="D159:D160"/>
    <mergeCell ref="D169:D170"/>
    <mergeCell ref="D125:G125"/>
    <mergeCell ref="H123:I124"/>
  </mergeCells>
  <dataValidations count="4">
    <dataValidation sqref="C205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 codeName="Sheet36">
    <tabColor theme="5" tint="-0.249977111117893"/>
    <outlinePr summaryBelow="1" summaryRight="1"/>
    <pageSetUpPr/>
  </sheetPr>
  <dimension ref="A2:X528"/>
  <sheetViews>
    <sheetView showGridLines="0" view="pageBreakPreview" topLeftCell="A114" zoomScale="75" zoomScaleNormal="75" zoomScaleSheetLayoutView="75" workbookViewId="0">
      <selection activeCell="H119" sqref="H119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5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9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2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240-11 Panel (6L5R)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FG-240-11P6L5R-01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22</v>
      </c>
      <c r="U133" s="283" t="inlineStr">
        <is>
          <t>(W-185-(113.25 × 10))/11</t>
        </is>
      </c>
      <c r="V133" s="307">
        <f>($J$126-185-(113.25*10))/11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22</v>
      </c>
      <c r="U134" s="143" t="inlineStr">
        <is>
          <t>(W-185-(113.25 × 10))/11</t>
        </is>
      </c>
      <c r="V134" s="178">
        <f>($J$126-185-(113.25*10))/11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22</v>
      </c>
      <c r="U135" s="240" t="inlineStr">
        <is>
          <t>(W-185-(113.25 × 10))/11</t>
        </is>
      </c>
      <c r="V135" s="308">
        <f>($J$126-185-(113.25*10))/11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22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22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22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11</v>
      </c>
      <c r="H141" s="683" t="inlineStr">
        <is>
          <t>45° (W-60-(11+1)×4)/11</t>
        </is>
      </c>
      <c r="I141" s="178">
        <f>($J$126-60-(11+1)*4)/11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11</v>
      </c>
      <c r="H142" s="683" t="inlineStr">
        <is>
          <t>45° (W-60-(11+1)×4)/11</t>
        </is>
      </c>
      <c r="I142" s="178">
        <f>($J$126-60-(11+1)*4)/11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16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B24007-004R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22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2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 t="n"/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Right Hand End Carrier Set</t>
        </is>
      </c>
      <c r="D182" s="139" t="inlineStr">
        <is>
          <t>05-009</t>
        </is>
      </c>
      <c r="E182" s="143" t="n"/>
      <c r="F182" s="143" t="inlineStr">
        <is>
          <t>05-009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4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5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10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((($I$141*$G$141*2)+($I$143*$G$143*2)+($I$144*$G$144*2)+($I$145*($G$145-1)*2))/1000)*$J$120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((($I$141*$G$141*2)+($I$143*$G$143*2)+($I$144*$G$144*2)+($I$145*($G$145-1)*2))/1000)*$J$120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5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((($I$149*$G$149)+($I$150*$G$150))/1000)*$J$120</f>
        <v/>
      </c>
      <c r="I189" s="653" t="n">
        <v>100</v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((($I$146*$G$146*2))/1000)*$J$120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IF($D$129="Standard",$O$184,IF($D$129="Soumdproof",$O$185,))</f>
        <v/>
      </c>
      <c r="C191" s="139">
        <f>IF($D$129="Standard",$P$184,IF($D$129="Soumdproof",$P$185,))</f>
        <v/>
      </c>
      <c r="D191" s="139">
        <f>IF($D$129="Standard",$Q$184,IF($D$129="Soumdproof",$Q$185,))</f>
        <v/>
      </c>
      <c r="E191" s="143">
        <f>IF($D$129="Standard",R189,IF($D$129="Soumdproof",R190,))</f>
        <v/>
      </c>
      <c r="F191" s="143">
        <f>IF($D$129="Standard",$S$184,IF($D$129="Soumdproof",$S$185,))</f>
        <v/>
      </c>
      <c r="G191" s="143">
        <f>IF($D$129="Standard",$T$184,IF($D$129="Soumdproof",$T$185,))</f>
        <v/>
      </c>
      <c r="H191" s="652">
        <f>IF($D$129="Standard",$U$184,IF($D$129="Soumdproof",$U$185,))</f>
        <v/>
      </c>
      <c r="I191" s="653">
        <f>IF($D$129="Standard",$V$184,IF($D$129="Soumdproof",$V$185,))</f>
        <v/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IF($D$129="Standard",R191,IF($D$129="Soumdproof",R192,))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296">
        <f>IF($D$127=5,$O$175,IF($D$127=6,$O$176,IF($D$127=8,$O$177,IF($D$127=10,$O$175,IF($D$127=12,$O$175,IF($D$127=14,$O$177,IF($D$127=18,$O$175,IF($D$127=20,$O$176,IF($D$127=22,"")))))))))</f>
        <v/>
      </c>
      <c r="C193" s="296">
        <f>IF($D$127=5,$P$175,IF($D$127=6,$P$176,IF($D$127=8,$P$177,IF($D$127=10,$P$175,IF($D$127=12,$P$175,IF($D$127=14,$P$177,IF($D$127=18,$P$175,IF($D$127=20,$P$176,IF($D$127=22,"")))))))))</f>
        <v/>
      </c>
      <c r="D193" s="296">
        <f>IF($D$127=5,$Q$175,IF($D$127=6,$Q$176,IF($D$127=8,$Q$177,IF($D$127=10,$Q$175,IF($D$127=12,$Q$175,IF($D$127=14,$Q$177,IF($D$127=18,$Q$175,IF($D$127=20,$Q$176,IF($D$127=22,"")))))))))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IF($D$127=5,$S$175,IF($D$127=6,$S$176,IF($D$127=8,$S$177,IF($D$127=10,$S$175,IF($D$127=12,$S$175,IF($D$127=14,$S$177,IF($D$127=18,$S$175,IF($D$127=20,$S$176,IF($D$127=22,"")))))))))</f>
        <v/>
      </c>
      <c r="G193" s="242">
        <f>IF($D$127=5,$T$175,IF($D$127=6,$T$176,IF($D$127=8,$T$177,IF($D$127=10,$T$175,IF($D$127=12,$T$175,IF($D$127=14,$T$177,IF($D$127=18,$T$175,IF($D$127=20,$T$176,IF($D$127=22,"")))))))))</f>
        <v/>
      </c>
      <c r="H193" s="652">
        <f>IF($D$127=5,$U$175,IF($D$127=6,$U$176,IF($D$127=8,$U$177,IF($D$127=10,$U$175*2,IF($D$127=12,$U$175,IF($D$127=14,$U$177*2,IF($D$127=18,$U$175,IF($D$127=20,$U$176,IF($D$127=22,"")))))))))</f>
        <v/>
      </c>
      <c r="I193" s="653">
        <f>IF($D$127=5,$V$175,IF($D$127=6,$V$176,IF($D$127=8,$V$177,IF($D$127=10,$V$175,IF($D$127=12,$V$175,IF($D$127=14,$V$177,IF($D$127=18,$V$175,IF($D$127=20,$V$176,IF($D$127=22,"")))))))))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296">
        <f>IF($D$127=5,$O$173,IF($D$127=6,$O$173,IF($D$127=8,$O$175,IF($D$127=10,"",IF($D$127=12,$O$174,IF($D$127=14,"",IF($D$127=18,$O$173,IF($D$127=20,$O$174,IF($D$127=22,"",)))))))))</f>
        <v/>
      </c>
      <c r="C194" s="296">
        <f>IF($D$127=5,$P$173,IF($D$127=6,$P$173,IF($D$127=8,$P$175,IF($D$127=10,"",IF($D$127=12,$P$174,IF($D$127=14,"",IF($D$127=18,$P$173,IF($D$127=20,$P$174,IF($D$127=22,"",)))))))))</f>
        <v/>
      </c>
      <c r="D194" s="296">
        <f>IF($D$127=5,$Q$173,IF($D$127=6,$Q$173,IF($D$127=8,$Q$175,IF($D$127=10,"",IF($D$127=12,$Q$174,IF($D$127=14,"",IF($D$127=18,$Q$173,IF($D$127=20,$Q$174,IF($D$127=22,"",)))))))))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IF($D$127=5,$S$173,IF($D$127=6,$S$173,IF($D$127=8,$S$175,IF($D$127=10,"",IF($D$127=12,$S$174,IF($D$127=14,"",IF($D$127=18,$S$173,IF($D$127=20,$S$174,IF($D$127=22,"",)))))))))</f>
        <v/>
      </c>
      <c r="G194" s="242">
        <f>IF($D$127=5,$T$173,IF($D$127=6,$T$173,IF($D$127=8,$T$175,IF($D$127=10,"",IF($D$127=12,$T$174,IF($D$127=14,"",IF($D$127=18,$T$173,IF($D$127=20,$T$174,IF($D$127=22,"",)))))))))</f>
        <v/>
      </c>
      <c r="H194" s="652">
        <f>IF($D$127=5,$U$173,IF($D$127=6,$U$173,IF($D$127=8,$U$175,IF($D$127=10,"",IF($D$127=12,$U$174,IF($D$127=14,"",IF($D$127=18,$U$173,IF($D$127=20,$U$174,IF($D$127=22,"")))))))))</f>
        <v/>
      </c>
      <c r="I194" s="653">
        <f>IF($D$127=5,$V$173,IF($D$127=6,$V$173,IF($D$127=8,$V$175,IF($D$127=10,"",IF($D$127=12,$V$174,IF($D$127=14,"",IF($D$127=18,$V$173,IF($D$127=20,$V$174,IF($D$127=22,"",)))))))))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 t="n"/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375" t="n"/>
      <c r="E198" s="376" t="n"/>
      <c r="F198" s="376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44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 t="n"/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LEFT($J$111,14)&amp;"-02"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10))/11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((ความกว้างวงกบ - 185-(113.25 × 10))/11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D292" s="161" t="n"/>
      <c r="E292" s="109" t="n"/>
      <c r="F292" s="109" t="n"/>
      <c r="G292" s="109" t="n"/>
      <c r="H292" s="109" t="n"/>
      <c r="I292" s="501" t="n"/>
      <c r="J292" s="501" t="n"/>
    </row>
    <row r="293" ht="15.9" customFormat="1" customHeight="1" s="278">
      <c r="A293" s="27" t="n"/>
      <c r="B293" s="278" t="n"/>
      <c r="C293" s="278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23" t="n"/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89" t="inlineStr">
        <is>
          <t xml:space="preserve">                          Glazing Bead</t>
        </is>
      </c>
      <c r="D295" s="161" t="n"/>
      <c r="E295" s="109" t="n"/>
      <c r="F295" s="109" t="n"/>
      <c r="G295" s="109" t="n"/>
      <c r="H295" s="109" t="n"/>
      <c r="I295" s="109" t="n"/>
      <c r="J295" s="501" t="n"/>
    </row>
    <row r="296" ht="15.9" customFormat="1" customHeight="1" s="278">
      <c r="A296" s="27" t="n"/>
      <c r="B296" s="278" t="n"/>
      <c r="C296" s="94" t="inlineStr">
        <is>
          <t xml:space="preserve">                          = ((Frame Width - 185-(113.25 × 10))/11</t>
        </is>
      </c>
      <c r="D296" s="161" t="n"/>
      <c r="E296" s="109" t="n"/>
      <c r="F296" s="109" t="n"/>
      <c r="G296" s="44" t="n"/>
      <c r="H296" s="44" t="n"/>
      <c r="I296" s="109" t="n"/>
      <c r="J296" s="501" t="n"/>
    </row>
    <row r="297" ht="15.9" customFormat="1" customHeight="1" s="278">
      <c r="A297" s="27" t="n"/>
      <c r="B297" s="278" t="n"/>
      <c r="C297" s="542" t="inlineStr">
        <is>
          <t xml:space="preserve">                          ((ความกว้างวงกบ - 185-(113.25 × 10))/11</t>
        </is>
      </c>
      <c r="D297" s="328" t="n"/>
      <c r="E297" s="328" t="n"/>
      <c r="F297" s="109" t="n"/>
      <c r="G297" s="40" t="n"/>
      <c r="H297" s="32" t="n"/>
      <c r="I297" s="109" t="n"/>
      <c r="J297" s="501" t="n"/>
    </row>
    <row r="298" ht="15.9" customFormat="1" customHeight="1" s="278">
      <c r="A298" s="101" t="n"/>
      <c r="B298" s="278" t="n"/>
      <c r="C298" s="328" t="inlineStr">
        <is>
          <t xml:space="preserve">                          = FAME HIGHT - 242.00</t>
        </is>
      </c>
      <c r="D298" s="542" t="n"/>
      <c r="E298" s="542" t="n"/>
      <c r="F298" s="109" t="n"/>
      <c r="G298" s="109" t="n"/>
      <c r="H298" s="109" t="n"/>
      <c r="I298" s="109" t="n"/>
      <c r="J298" s="501" t="n"/>
    </row>
    <row r="299" ht="15.9" customFormat="1" customHeight="1" s="278">
      <c r="A299" s="44" t="n"/>
      <c r="B299" s="44" t="n"/>
      <c r="C299" s="542" t="inlineStr">
        <is>
          <t xml:space="preserve">                          ความสูง (วงกบ) - 242.00</t>
        </is>
      </c>
      <c r="D299" s="86" t="n"/>
      <c r="E299" s="79" t="n"/>
      <c r="F299" s="44" t="n"/>
      <c r="G299" s="109" t="n"/>
      <c r="H299" s="109" t="n"/>
      <c r="I299" s="109" t="n"/>
      <c r="J299" s="501" t="n"/>
    </row>
    <row r="300" ht="15.9" customFormat="1" customHeight="1" s="278">
      <c r="A300" s="40" t="n"/>
      <c r="B300" s="40" t="n"/>
      <c r="C300" s="656">
        <f>$I$147</f>
        <v/>
      </c>
      <c r="D300" s="87" t="n"/>
      <c r="E300" s="80" t="n"/>
      <c r="F300" s="32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6">
        <f>$I$148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C303" s="657">
        <f>$J$148</f>
        <v/>
      </c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LEFT($J$111,14)&amp;"-03"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LEFT($J$111,14)&amp;"-04"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75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10)/11)-13</t>
        </is>
      </c>
      <c r="I520" s="124">
        <f>(($J$126-185-(113.25*10))/11)-13</f>
        <v/>
      </c>
      <c r="J520" s="151">
        <f>$J$120*11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LEFT($J$111,14)&amp;"-05"</f>
        <v/>
      </c>
      <c r="N526" s="415" t="inlineStr">
        <is>
          <t>กระจก 18 mm (สูง) (กว้าง)</t>
        </is>
      </c>
      <c r="O526" s="415" t="inlineStr">
        <is>
          <t>GLASS thk.18 mm (H) (W)</t>
        </is>
      </c>
    </row>
    <row r="527">
      <c r="N527" s="415" t="inlineStr">
        <is>
          <t>กระจก 20 mm (สูง) (กว้าง)</t>
        </is>
      </c>
      <c r="O527" s="415" t="inlineStr">
        <is>
          <t>GLASS thk.20 mm (H) (W)</t>
        </is>
      </c>
    </row>
    <row r="528"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0:J163"/>
    <mergeCell ref="D127:G127"/>
    <mergeCell ref="D121:G121"/>
    <mergeCell ref="A131:J13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I156:J156"/>
    <mergeCell ref="H157:H158"/>
    <mergeCell ref="A518:J518"/>
    <mergeCell ref="A320:J320"/>
    <mergeCell ref="F331:G331"/>
    <mergeCell ref="H159:H16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A6:J6"/>
    <mergeCell ref="I155:J155"/>
    <mergeCell ref="A427:J427"/>
    <mergeCell ref="D161:D166"/>
    <mergeCell ref="J120:J121"/>
    <mergeCell ref="D167:D168"/>
    <mergeCell ref="I166:J166"/>
    <mergeCell ref="A125:B125"/>
    <mergeCell ref="I164:J16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disablePrompts="1"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 codeName="Sheet37">
    <tabColor theme="5" tint="-0.249977111117893"/>
    <outlinePr summaryBelow="1" summaryRight="1"/>
    <pageSetUpPr/>
  </sheetPr>
  <dimension ref="A2:X528"/>
  <sheetViews>
    <sheetView showGridLines="0" view="pageBreakPreview" topLeftCell="A113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5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9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2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240-12 Panel (5L7R)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FG-240-12P5L7R-01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24</v>
      </c>
      <c r="U133" s="283" t="inlineStr">
        <is>
          <t>(W-185-(113.25 × 11))/12</t>
        </is>
      </c>
      <c r="V133" s="307">
        <f>($J$126-185-(113.25*11))/12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24</v>
      </c>
      <c r="U134" s="143" t="inlineStr">
        <is>
          <t>(W-185-(113.25 × 11))/12</t>
        </is>
      </c>
      <c r="V134" s="178">
        <f>($J$126-185-(113.25*11))/12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24</v>
      </c>
      <c r="U135" s="240" t="inlineStr">
        <is>
          <t>(W-185-(113.25 × 11))/12</t>
        </is>
      </c>
      <c r="V135" s="308">
        <f>($J$126-185-(113.25*11))/12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12</v>
      </c>
      <c r="H141" s="683" t="inlineStr">
        <is>
          <t>45° (W-60-(12+1)×4)/12</t>
        </is>
      </c>
      <c r="I141" s="178">
        <f>($J$126-60-(12+1)*4)/12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12</v>
      </c>
      <c r="H142" s="683" t="inlineStr">
        <is>
          <t>45° (W-60-(12+1)×4)/12</t>
        </is>
      </c>
      <c r="I142" s="178">
        <f>($J$126-60-(12+1)*4)/12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18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2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24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3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5</v>
      </c>
      <c r="I182" s="144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5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ชุดมือจับล็อค</t>
        </is>
      </c>
      <c r="C184" s="140" t="inlineStr">
        <is>
          <t>Stainless steel mortise lock,handle,cylinder</t>
        </is>
      </c>
      <c r="D184" s="139" t="inlineStr">
        <is>
          <t>00-024 or 00-027</t>
        </is>
      </c>
      <c r="E184" s="143" t="n"/>
      <c r="F184" s="143" t="inlineStr">
        <is>
          <t>00-024 or 00-027</t>
        </is>
      </c>
      <c r="G184" s="143" t="inlineStr">
        <is>
          <t>SET</t>
        </is>
      </c>
      <c r="H184" s="143" t="n">
        <v>1</v>
      </c>
      <c r="I184" s="130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10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((($I$141*$G$141*2)+($I$143*$G$143*2)+($I$144*$G$144*2)+($I$145*($G$145-1)*2))/1000)*$J$120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04-015</t>
        </is>
      </c>
      <c r="E187" s="143" t="n"/>
      <c r="F187" s="143" t="inlineStr">
        <is>
          <t>04-015</t>
        </is>
      </c>
      <c r="G187" s="143" t="inlineStr">
        <is>
          <t>SET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((($I$141*$G$141*2)+($I$143*$G$143*2)+($I$144*$G$144*2)+($I$145*($G$145-1)*2))/1000)*$J$120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5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กลอนสวิง 250 มม.</t>
        </is>
      </c>
      <c r="C189" s="140" t="inlineStr">
        <is>
          <t>Surface mounted flush bolt</t>
        </is>
      </c>
      <c r="D189" s="139" t="inlineStr">
        <is>
          <t>00-020-25</t>
        </is>
      </c>
      <c r="E189" s="143" t="n"/>
      <c r="F189" s="143" t="inlineStr">
        <is>
          <t>00-020-25</t>
        </is>
      </c>
      <c r="G189" s="143" t="inlineStr">
        <is>
          <t>SET</t>
        </is>
      </c>
      <c r="H189" s="143" t="n">
        <v>1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กลอนสวิง 900 มม.</t>
        </is>
      </c>
      <c r="C190" s="140" t="inlineStr">
        <is>
          <t>Surface mounted flush bolt</t>
        </is>
      </c>
      <c r="D190" s="139" t="inlineStr">
        <is>
          <t>00-020-90</t>
        </is>
      </c>
      <c r="E190" s="143" t="n"/>
      <c r="F190" s="143" t="inlineStr">
        <is>
          <t>00-020-90</t>
        </is>
      </c>
      <c r="G190" s="143" t="inlineStr">
        <is>
          <t>SET</t>
        </is>
      </c>
      <c r="H190" s="143" t="n">
        <v>1</v>
      </c>
      <c r="I190" s="130" t="n"/>
      <c r="J190" s="131">
        <f>$J$120*H190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สักหลาดบังใบ</t>
        </is>
      </c>
      <c r="C191" s="140" t="inlineStr">
        <is>
          <t>MOHAIR FOR SASH STOP</t>
        </is>
      </c>
      <c r="D191" s="139" t="inlineStr">
        <is>
          <t>02-028</t>
        </is>
      </c>
      <c r="E191" s="143" t="n"/>
      <c r="F191" s="143" t="inlineStr">
        <is>
          <t>02-028</t>
        </is>
      </c>
      <c r="G191" s="143" t="inlineStr">
        <is>
          <t>M</t>
        </is>
      </c>
      <c r="H191" s="652">
        <f>((($I$149*$G$149)+($I$150*$G$150))/1000)*$J$120</f>
        <v/>
      </c>
      <c r="I191" s="653" t="n">
        <v>100</v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40" t="inlineStr">
        <is>
          <t>สักหลาดเสา</t>
        </is>
      </c>
      <c r="C192" s="140" t="inlineStr">
        <is>
          <t>MOHAIR FOR SASH (Ver)</t>
        </is>
      </c>
      <c r="D192" s="139" t="inlineStr">
        <is>
          <t>02-036</t>
        </is>
      </c>
      <c r="E192" s="143" t="n"/>
      <c r="F192" s="143" t="inlineStr">
        <is>
          <t>02-036</t>
        </is>
      </c>
      <c r="G192" s="143" t="inlineStr">
        <is>
          <t>M</t>
        </is>
      </c>
      <c r="H192" s="652">
        <f>((($I$146*$G$146*2))/1000)*$J$120</f>
        <v/>
      </c>
      <c r="I192" s="653" t="n">
        <v>100</v>
      </c>
      <c r="J192" s="655">
        <f>ROUNDUP((H192)/100,0)</f>
        <v/>
      </c>
    </row>
    <row r="193" ht="18" customHeight="1" s="344">
      <c r="A193" s="201">
        <f>IF(B193="","",+A192+1)</f>
        <v/>
      </c>
      <c r="B193" s="139">
        <f>IF($D$129="Standard",$O$184,IF($D$129="Soumdproof",$O$185,))</f>
        <v/>
      </c>
      <c r="C193" s="139">
        <f>IF($D$129="Standard",$P$184,IF($D$129="Soumdproof",$P$185,))</f>
        <v/>
      </c>
      <c r="D193" s="139">
        <f>IF($D$129="Standard",$Q$184,IF($D$129="Soumdproof",$Q$185,))</f>
        <v/>
      </c>
      <c r="E193" s="143">
        <f>IF($D$129="Standard",R190,IF($D$129="Soumdproof",R191,))</f>
        <v/>
      </c>
      <c r="F193" s="143">
        <f>IF($D$129="Standard",$S$184,IF($D$129="Soumdproof",$S$185,))</f>
        <v/>
      </c>
      <c r="G193" s="143">
        <f>IF($D$129="Standard",$T$184,IF($D$129="Soumdproof",$T$185,))</f>
        <v/>
      </c>
      <c r="H193" s="652">
        <f>IF($D$129="Standard",$U$184,IF($D$129="Soumdproof",$U$185,))</f>
        <v/>
      </c>
      <c r="I193" s="653">
        <f>IF($D$129="Standard",$V$184,IF($D$129="Soumdproof",$V$185,))</f>
        <v/>
      </c>
      <c r="J193" s="654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139">
        <f>IF($D$129="Standard",$O$186,IF($D$129="Soumdproof",$O$187,))</f>
        <v/>
      </c>
      <c r="C194" s="139">
        <f>IF($D$129="Standard",$P$186,IF($D$129="Soumdproof",$P$187,))</f>
        <v/>
      </c>
      <c r="D194" s="139">
        <f>IF($D$129="Standard",$Q$186,IF($D$129="Soumdproof",$Q$187,))</f>
        <v/>
      </c>
      <c r="E194" s="143">
        <f>IF($D$129="Standard",R192,IF($D$129="Soumdproof",R193,))</f>
        <v/>
      </c>
      <c r="F194" s="143">
        <f>IF($D$129="Standard",$S$186,IF($D$129="Soumdproof",$S$187,))</f>
        <v/>
      </c>
      <c r="G194" s="143">
        <f>IF($D$129="Standard",$T$186,IF($D$129="Soumdproof",$T$187,))</f>
        <v/>
      </c>
      <c r="H194" s="652">
        <f>IF($D$129="Standard",$U$186,IF($D$129="Soumdproof",$U$187,))</f>
        <v/>
      </c>
      <c r="I194" s="653">
        <f>IF($D$129="Standard",$V$186,IF($D$129="Soumdproof",$V$187,))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IF($D$127=5,$O$175,IF($D$127=6,$O$176,IF($D$127=8,$O$177,IF($D$127=10,$O$175,IF($D$127=12,$O$175,IF($D$127=14,$O$177,IF($D$127=18,$O$175,IF($D$127=20,$O$176,IF($D$127=22,"")))))))))</f>
        <v/>
      </c>
      <c r="C195" s="296">
        <f>IF($D$127=5,$P$175,IF($D$127=6,$P$176,IF($D$127=8,$P$177,IF($D$127=10,$P$175,IF($D$127=12,$P$175,IF($D$127=14,$P$177,IF($D$127=18,$P$175,IF($D$127=20,$P$176,IF($D$127=22,"")))))))))</f>
        <v/>
      </c>
      <c r="D195" s="296">
        <f>IF($D$127=5,$Q$175,IF($D$127=6,$Q$176,IF($D$127=8,$Q$177,IF($D$127=10,$Q$175,IF($D$127=12,$Q$175,IF($D$127=14,$Q$177,IF($D$127=18,$Q$175,IF($D$127=20,$Q$176,IF($D$127=22,"")))))))))</f>
        <v/>
      </c>
      <c r="E195" s="296">
        <f>IF($D$127=5,R181,IF($D$127=6,R182,IF($D$127=8,R183,IF($D$127=10,R181,IF($D$127=12,R181,IF($D$127=14,R183,IF($D$127=18,R181,IF($D$127=20,R182,IF($D$127=22,"",)))))))))</f>
        <v/>
      </c>
      <c r="F195" s="242">
        <f>IF($D$127=5,$S$175,IF($D$127=6,$S$176,IF($D$127=8,$S$177,IF($D$127=10,$S$175,IF($D$127=12,$S$175,IF($D$127=14,$S$177,IF($D$127=18,$S$175,IF($D$127=20,$S$176,IF($D$127=22,"")))))))))</f>
        <v/>
      </c>
      <c r="G195" s="242">
        <f>IF($D$127=5,$T$175,IF($D$127=6,$T$176,IF($D$127=8,$T$177,IF($D$127=10,$T$175,IF($D$127=12,$T$175,IF($D$127=14,$T$177,IF($D$127=18,$T$175,IF($D$127=20,$T$176,IF($D$127=22,"")))))))))</f>
        <v/>
      </c>
      <c r="H195" s="652">
        <f>IF($D$127=5,$U$175,IF($D$127=6,$U$176,IF($D$127=8,$U$177,IF($D$127=10,$U$175*2,IF($D$127=12,$U$175,IF($D$127=14,$U$177*2,IF($D$127=18,$U$175,IF($D$127=20,$U$176,IF($D$127=22,"")))))))))</f>
        <v/>
      </c>
      <c r="I195" s="653">
        <f>IF($D$127=5,$V$175,IF($D$127=6,$V$176,IF($D$127=8,$V$177,IF($D$127=10,$V$175,IF($D$127=12,$V$175,IF($D$127=14,$V$177,IF($D$127=18,$V$175,IF($D$127=20,$V$176,IF($D$127=22,"")))))))))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296">
        <f>IF($D$127=5,$O$173,IF($D$127=6,$O$173,IF($D$127=8,$O$175,IF($D$127=10,"",IF($D$127=12,$O$174,IF($D$127=14,"",IF($D$127=18,$O$173,IF($D$127=20,$O$174,IF($D$127=22,"",)))))))))</f>
        <v/>
      </c>
      <c r="C196" s="296">
        <f>IF($D$127=5,$P$173,IF($D$127=6,$P$173,IF($D$127=8,$P$175,IF($D$127=10,"",IF($D$127=12,$P$174,IF($D$127=14,"",IF($D$127=18,$P$173,IF($D$127=20,$P$174,IF($D$127=22,"",)))))))))</f>
        <v/>
      </c>
      <c r="D196" s="296">
        <f>IF($D$127=5,$Q$173,IF($D$127=6,$Q$173,IF($D$127=8,$Q$175,IF($D$127=10,"",IF($D$127=12,$Q$174,IF($D$127=14,"",IF($D$127=18,$Q$173,IF($D$127=20,$Q$174,IF($D$127=22,"",)))))))))</f>
        <v/>
      </c>
      <c r="E196" s="296">
        <f>IF($D$127=5,R179,IF($D$127=6,R179,IF($D$127=8,R181,IF($D$127=10,"",IF($D$127=12,R180,IF($D$127=14,"",IF($D$127=18,R179,IF($D$127=20,R180,IF($D$127=22,"",)))))))))</f>
        <v/>
      </c>
      <c r="F196" s="242">
        <f>IF($D$127=5,$S$173,IF($D$127=6,$S$173,IF($D$127=8,$S$175,IF($D$127=10,"",IF($D$127=12,$S$174,IF($D$127=14,"",IF($D$127=18,$S$173,IF($D$127=20,$S$174,IF($D$127=22,"",)))))))))</f>
        <v/>
      </c>
      <c r="G196" s="242">
        <f>IF($D$127=5,$T$173,IF($D$127=6,$T$173,IF($D$127=8,$T$175,IF($D$127=10,"",IF($D$127=12,$T$174,IF($D$127=14,"",IF($D$127=18,$T$173,IF($D$127=20,$T$174,IF($D$127=22,"",)))))))))</f>
        <v/>
      </c>
      <c r="H196" s="652">
        <f>IF($D$127=5,$U$173,IF($D$127=6,$U$173,IF($D$127=8,$U$175,IF($D$127=10,"",IF($D$127=12,$U$174,IF($D$127=14,"",IF($D$127=18,$U$173,IF($D$127=20,$U$174,IF($D$127=22,"")))))))))</f>
        <v/>
      </c>
      <c r="I196" s="653">
        <f>IF($D$127=5,$V$173,IF($D$127=6,$V$173,IF($D$127=8,$V$175,IF($D$127=10,"",IF($D$127=12,$V$174,IF($D$127=14,"",IF($D$127=18,$V$173,IF($D$127=20,$V$174,IF($D$127=22,"",)))))))))</f>
        <v/>
      </c>
      <c r="J196" s="655">
        <f>ROUNDUP((H196)/100,0)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44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LEFT($J$111,14)&amp;"-02"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11))/12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((ความกว้างวงกบ - 185-(113.25 × 11))/12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11))/12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11))/12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75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LEFT($J$111,14)&amp;"-03"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75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LEFT($J$111,14)&amp;"-04"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75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11)/12)-13</t>
        </is>
      </c>
      <c r="I520" s="124">
        <f>(($J$126-185-(113.25*11))/12)-13</f>
        <v/>
      </c>
      <c r="J520" s="151">
        <f>$J$120*12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LEFT($J$111,14)&amp;"-05"</f>
        <v/>
      </c>
      <c r="M526" s="278" t="n"/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 t="n"/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6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I156:J156"/>
    <mergeCell ref="H157:H158"/>
    <mergeCell ref="A518:J518"/>
    <mergeCell ref="F331:G331"/>
    <mergeCell ref="H159:H160"/>
    <mergeCell ref="A320:J32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A6:J6"/>
    <mergeCell ref="I155:J155"/>
    <mergeCell ref="A427:J427"/>
    <mergeCell ref="D161:D166"/>
    <mergeCell ref="D167:D168"/>
    <mergeCell ref="J120:J121"/>
    <mergeCell ref="I166:J166"/>
    <mergeCell ref="I164:J165"/>
    <mergeCell ref="A125:B12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1" max="9" man="1"/>
    <brk id="207" min="1" max="9" man="1"/>
    <brk id="314" min="0" max="16383" man="1"/>
    <brk id="421" min="1" max="9" man="1"/>
  </rowBreaks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2:X528"/>
  <sheetViews>
    <sheetView showGridLines="0" view="pageBreakPreview" topLeftCell="A172" zoomScale="75" zoomScaleNormal="75" zoomScaleSheetLayoutView="75" workbookViewId="0">
      <selection activeCell="H179" sqref="H179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5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9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2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240-12 Panel (6L6R)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FG-240-12P6L6R-01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3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inlineStr">
        <is>
          <t>เปรียว 02</t>
        </is>
      </c>
      <c r="E119" s="638" t="n"/>
      <c r="F119" s="638" t="n"/>
      <c r="G119" s="639" t="n"/>
      <c r="I119" s="94" t="n"/>
      <c r="J119" s="109" t="n"/>
      <c r="N119" s="244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2</v>
      </c>
      <c r="N120" s="245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5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5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2600</v>
      </c>
      <c r="N123" s="245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5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Back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5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9500</v>
      </c>
      <c r="K126" s="507" t="n"/>
      <c r="L126" s="507" t="n"/>
      <c r="N126" s="245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6</v>
      </c>
      <c r="E127" s="638" t="n"/>
      <c r="F127" s="638" t="n"/>
      <c r="G127" s="639" t="n"/>
      <c r="J127" s="640" t="n"/>
      <c r="N127" s="245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  <c r="P128" s="109" t="inlineStr">
        <is>
          <t>Powder Coat</t>
        </is>
      </c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24</v>
      </c>
      <c r="U133" s="283" t="inlineStr">
        <is>
          <t>(W-185-(113.25 × 11))/12</t>
        </is>
      </c>
      <c r="V133" s="307">
        <f>($J$126-185-(113.25*11))/12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24</v>
      </c>
      <c r="U134" s="143" t="inlineStr">
        <is>
          <t>(W-185-(113.25 × 11))/12</t>
        </is>
      </c>
      <c r="V134" s="178">
        <f>($J$126-185-(113.25*11))/12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24</v>
      </c>
      <c r="U135" s="240" t="inlineStr">
        <is>
          <t>(W-185-(113.25 × 11))/12</t>
        </is>
      </c>
      <c r="V135" s="308">
        <f>($J$126-185-(113.25*11))/12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24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24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24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12</v>
      </c>
      <c r="H141" s="683" t="inlineStr">
        <is>
          <t>45°แยกฝั่ง (W/2-60-(6+1)×4)/6</t>
        </is>
      </c>
      <c r="I141" s="178">
        <f>(($J$126/2)-60-(6+1)*4)/6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12</v>
      </c>
      <c r="H142" s="683" t="inlineStr">
        <is>
          <t>45°แยกฝั่ง (W/2-60-(6+1)×4)/6</t>
        </is>
      </c>
      <c r="I142" s="178">
        <f>(($J$126/2)-60-(6+1)*4)/6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18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>
        <f>IF($D$127=5,O133,IF($D$127=6,O133,IF($D$127=8,O134,IF($D$127=10,O134,IF($D$127=12,O134,IF($D$127=14,O135,IF($D$127=18,O135,IF($D$127=20,O135,IF($D$127=22,O135,)))))))))</f>
        <v/>
      </c>
      <c r="C146" s="140">
        <f>IF($D$127=5,P133,IF($D$127=6,P133,IF($D$127=8,P134,IF($D$127=10,P134,IF($D$127=12,P134,IF($D$127=14,P135,IF($D$127=18,P135,IF($D$127=20,P135,IF($D$127=22,P135,)))))))))</f>
        <v/>
      </c>
      <c r="D146" s="140">
        <f>IF($D$127=5,Q133,IF($D$127=6,Q133,IF($D$127=8,Q134,IF($D$127=10,Q134,IF($D$127=12,Q134,IF($D$127=14,Q135,IF($D$127=18,Q135,IF($D$127=20,Q135,IF($D$127=22,Q135,)))))))))</f>
        <v/>
      </c>
      <c r="E146" s="140">
        <f>IF($D$127=5,R133,IF($D$127=6,R133,IF($D$127=8,R134,IF($D$127=10,R134,IF($D$127=12,R134,IF($D$127=14,R135,IF($D$127=18,R135,IF($D$127=20,R135,IF($D$127=22,R135,)))))))))</f>
        <v/>
      </c>
      <c r="F146" s="140">
        <f>IF($D$127=5,S133,IF($D$127=6,S133,IF($D$127=8,S134,IF($D$127=10,S134,IF($D$127=12,S134,IF($D$127=14,S135,IF($D$127=18,S135,IF($D$127=20,S135,IF($D$127=22,S135,)))))))))</f>
        <v/>
      </c>
      <c r="G146" s="143">
        <f>IF($D$127=5,T133,IF($D$127=6,T133,IF($D$127=8,T134,IF($D$127=10,T134,IF($D$127=12,T134,IF($D$127=14,T135,IF($D$127=18,T135,IF($D$127=20,T135,IF($D$127=22,T135,)))))))))</f>
        <v/>
      </c>
      <c r="H146" s="143">
        <f>IF($D$127=5,U133,IF($D$127=6,U133,IF($D$127=8,U134,IF($D$127=10,U134,IF($D$127=12,U134,IF($D$127=14,U135,IF($D$127=18,U135,IF($D$127=20,U135,IF($D$127=22,U135,)))))))))</f>
        <v/>
      </c>
      <c r="I146" s="178">
        <f>IF($D$127=5,V133,IF($D$127=6,V133,IF($D$127=8,V134,IF($D$127=10,V134,IF($D$127=12,V134,IF($D$127=14,V135,IF($D$127=18,V135,IF($D$127=20,V135,IF($D$127=22,V135,)))))))))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IF($D$127=5,O136,IF($D$127=6,O136,IF($D$127=8,O137,IF($D$127=10,O137,IF($D$127=12,O137,IF($D$127=14,O138,IF($D$127=18,O138,IF($D$127=20,O138,IF($D$127=22,O138,)))))))))</f>
        <v/>
      </c>
      <c r="C147" s="140">
        <f>IF($D$127=5,P136,IF($D$127=6,P136,IF($D$127=8,P137,IF($D$127=10,P137,IF($D$127=12,P137,IF($D$127=14,P138,IF($D$127=18,P138,IF($D$127=20,P138,IF($D$127=22,P138,)))))))))</f>
        <v/>
      </c>
      <c r="D147" s="140">
        <f>IF($D$127=5,Q136,IF($D$127=6,Q136,IF($D$127=8,Q137,IF($D$127=10,Q137,IF($D$127=12,Q137,IF($D$127=14,Q138,IF($D$127=18,Q138,IF($D$127=20,Q138,IF($D$127=22,Q138,)))))))))</f>
        <v/>
      </c>
      <c r="E147" s="140">
        <f>IF($D$127=5,R136,IF($D$127=6,R136,IF($D$127=8,R137,IF($D$127=10,R137,IF($D$127=12,R137,IF($D$127=14,R138,IF($D$127=18,R138,IF($D$127=20,R138,IF($D$127=22,R138,)))))))))</f>
        <v/>
      </c>
      <c r="F147" s="140">
        <f>IF($D$127=5,S136,IF($D$127=6,S136,IF($D$127=8,S137,IF($D$127=10,S137,IF($D$127=12,S137,IF($D$127=14,S138,IF($D$127=18,S138,IF($D$127=20,S138,IF($D$127=22,S138,)))))))))</f>
        <v/>
      </c>
      <c r="G147" s="143">
        <f>IF($D$127=5,T136,IF($D$127=6,T136,IF($D$127=8,T137,IF($D$127=10,T137,IF($D$127=12,T137,IF($D$127=14,T138,IF($D$127=18,T138,IF($D$127=20,T138,IF($D$127=22,T138,)))))))))</f>
        <v/>
      </c>
      <c r="H147" s="143">
        <f>IF($D$127=5,U136,IF($D$127=6,U136,IF($D$127=8,U137,IF($D$127=10,U137,IF($D$127=12,U137,IF($D$127=14,U138,IF($D$127=18,U138,IF($D$127=20,U138,IF($D$127=22,U138,)))))))))</f>
        <v/>
      </c>
      <c r="I147" s="144">
        <f>IF($D$127=5,V136,IF($D$127=6,V136,IF($D$127=8,V137,IF($D$127=10,V137,IF($D$127=12,V137,IF($D$127=14,V138,IF($D$127=18,V138,IF($D$127=20,V138,IF($D$127=22,V138,)))))))))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 t="n"/>
      <c r="C148" s="140" t="n"/>
      <c r="D148" s="139" t="n"/>
      <c r="E148" s="143" t="n"/>
      <c r="F148" s="139" t="n"/>
      <c r="G148" s="143" t="n"/>
      <c r="H148" s="143" t="n"/>
      <c r="I148" s="130" t="n"/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n"/>
      <c r="C149" s="140" t="n"/>
      <c r="D149" s="139" t="n"/>
      <c r="E149" s="143" t="n"/>
      <c r="F149" s="139" t="n"/>
      <c r="G149" s="143" t="n"/>
      <c r="H149" s="143" t="n"/>
      <c r="I149" s="130" t="n"/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n"/>
      <c r="C150" s="140" t="n"/>
      <c r="D150" s="139" t="n"/>
      <c r="E150" s="143" t="n"/>
      <c r="F150" s="139" t="n"/>
      <c r="G150" s="143" t="n"/>
      <c r="H150" s="143" t="n"/>
      <c r="I150" s="144" t="n"/>
      <c r="J150" s="131">
        <f>$J$120*G150</f>
        <v/>
      </c>
      <c r="N150" s="287" t="n"/>
    </row>
    <row r="151" ht="18" customFormat="1" customHeight="1" s="278" thickBot="1">
      <c r="A151" s="143">
        <f>IF(B151="","",+A150+1)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5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5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4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43">
        <f>VLOOKUP(C166,$C$133:$H$151,2,0)</f>
        <v/>
      </c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516">
        <f>ROUNDUP(((F166*G166)+(F167*G167))/6400,0)</f>
        <v/>
      </c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25" t="n"/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644" t="n"/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577">
        <f>IFERROR(VLOOKUP(C168,$C$133:$H$151,2,0),"")</f>
        <v/>
      </c>
      <c r="E168" s="175">
        <f>IFERROR(VLOOKUP(C168,$C$133:$H$151,3,0),"")</f>
        <v/>
      </c>
      <c r="F168" s="353">
        <f>IFERROR(VLOOKUP(C168,$C$133:$I$151,7,0),"")</f>
        <v/>
      </c>
      <c r="G168" s="175">
        <f>IFERROR(VLOOKUP(C168,$C$133:$J$151,8,0),"")</f>
        <v/>
      </c>
      <c r="H168" s="192">
        <f>IFERROR(ROUNDUP((F168*G168)/6400,0),"")</f>
        <v/>
      </c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577">
        <f>IFERROR(VLOOKUP(C169,$C$133:$H$151,2,0),"")</f>
        <v/>
      </c>
      <c r="E169" s="175">
        <f>IFERROR(VLOOKUP(C169,$C$133:$H$151,3,0),"")</f>
        <v/>
      </c>
      <c r="F169" s="353">
        <f>IFERROR(VLOOKUP(C169,$C$133:$I$151,7,0),"")</f>
        <v/>
      </c>
      <c r="G169" s="175">
        <f>IFERROR(VLOOKUP(C169,$C$133:$J$151,8,0),"")</f>
        <v/>
      </c>
      <c r="H169" s="192">
        <f>IFERROR(ROUNDUP((F169*G169)/6400,0),"")</f>
        <v/>
      </c>
      <c r="I169" s="501" t="n"/>
      <c r="J169" s="501" t="n"/>
    </row>
    <row r="170" outlineLevel="1" customFormat="1" s="278" thickBot="1">
      <c r="A170" s="213">
        <f>IF(B170="","",+A169+1)</f>
        <v/>
      </c>
      <c r="B170" s="173">
        <f>B150</f>
        <v/>
      </c>
      <c r="C170" s="173">
        <f>C150</f>
        <v/>
      </c>
      <c r="D170" s="577">
        <f>IFERROR(VLOOKUP(C170,$C$133:$H$151,2,0),"")</f>
        <v/>
      </c>
      <c r="E170" s="175">
        <f>IFERROR(VLOOKUP(C170,$C$133:$H$151,3,0),"")</f>
        <v/>
      </c>
      <c r="F170" s="353">
        <f>IFERROR(VLOOKUP(C170,$C$133:$I$151,7,0),"")</f>
        <v/>
      </c>
      <c r="G170" s="175">
        <f>IFERROR(VLOOKUP(C170,$C$133:$J$151,8,0),"")</f>
        <v/>
      </c>
      <c r="H170" s="192">
        <f>IFERROR(ROUNDUP((F170*G170)/6400,0),"")</f>
        <v/>
      </c>
      <c r="I170" s="501" t="n"/>
      <c r="J170" s="501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24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((($I$141*$G$141)+($I$142*$G$142)+($I$143*$G$143)+($I$144*$G$144)+($I$145*$G$145)+($I$140*$G$140))/1000)*$J$120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((($I$141*$G$141)+($I$142*$G$142)+($I$143*$G$143)+($I$144*$G$144)+($I$145*$G$145)+($I$140*$G$140))/1000)*$J$120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((($I$141*$G$141)+($I$142*$G$142)+($I$143*$G$143)+($I$144*$G$144)+($I$145*$G$145)+($I$140*$G$140))/1000)*$J$120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((($I$141*$G$141)+($I$142*$G$142)+($I$143*$G$143)+($I$144*$G$144)+($I$145*$G$145)+($I$140*$G$140))/1000)*$J$120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((($I$141*$G$141)+($I$142*$G$142)+($I$143*$G$143)+($I$144*$G$144)+($I$145*$G$145)+($I$140*$G$140))/1000)*$J$120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2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4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Meetimg Set</t>
        </is>
      </c>
      <c r="D182" s="139" t="inlineStr">
        <is>
          <t>05-010</t>
        </is>
      </c>
      <c r="E182" s="143" t="n"/>
      <c r="F182" s="143" t="inlineStr">
        <is>
          <t>05-010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4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6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10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((($I$141*$G$141*2)+($I$143*$G$143*2)+($I$144*$G$144*2)+($I$145*($G$145-1)*2))/1000)*$J$120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04-016</t>
        </is>
      </c>
      <c r="E187" s="143" t="n"/>
      <c r="F187" s="143" t="inlineStr">
        <is>
          <t>04-016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((($I$141*$G$141*2)+($I$143*$G$143*2)+($I$144*$G$144*2)+($I$145*($G$145-1)*2))/1000)*$J$120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39">
        <f>IF($D$129="Standard",$O$184,IF($D$129="Soumdproof",$O$185,))</f>
        <v/>
      </c>
      <c r="C188" s="139">
        <f>IF($D$129="Standard",$P$184,IF($D$129="Soumdproof",$P$185,))</f>
        <v/>
      </c>
      <c r="D188" s="139">
        <f>IF($D$129="Standard",$Q$184,IF($D$129="Soumdproof",$Q$185,))</f>
        <v/>
      </c>
      <c r="E188" s="143">
        <f>IF($D$129="Standard",R190,IF($D$129="Soumdproof",R191,))</f>
        <v/>
      </c>
      <c r="F188" s="143">
        <f>IF($D$129="Standard",$S$184,IF($D$129="Soumdproof",$S$185,))</f>
        <v/>
      </c>
      <c r="G188" s="143">
        <f>IF($D$129="Standard",$T$184,IF($D$129="Soumdproof",$T$185,))</f>
        <v/>
      </c>
      <c r="H188" s="652">
        <f>IF($D$129="Standard",$U$184,IF($D$129="Soumdproof",$U$185,))</f>
        <v/>
      </c>
      <c r="I188" s="653">
        <f>IF($D$129="Standard",$V$184,IF($D$129="Soumdproof",$V$185,))</f>
        <v/>
      </c>
      <c r="J188" s="654">
        <f>ROUNDUP((H188)/100,0)</f>
        <v/>
      </c>
    </row>
    <row r="189" ht="18" customFormat="1" customHeight="1" s="278">
      <c r="A189" s="201">
        <f>IF(B189="","",+A188+1)</f>
        <v/>
      </c>
      <c r="B189" s="139">
        <f>IF($D$129="Standard",$O$186,IF($D$129="Soumdproof",$O$187,))</f>
        <v/>
      </c>
      <c r="C189" s="139">
        <f>IF($D$129="Standard",$P$186,IF($D$129="Soumdproof",$P$187,))</f>
        <v/>
      </c>
      <c r="D189" s="139">
        <f>IF($D$129="Standard",$Q$186,IF($D$129="Soumdproof",$Q$187,))</f>
        <v/>
      </c>
      <c r="E189" s="143">
        <f>IF($D$129="Standard",R192,IF($D$129="Soumdproof",R193,))</f>
        <v/>
      </c>
      <c r="F189" s="143">
        <f>IF($D$129="Standard",$S$186,IF($D$129="Soumdproof",$S$187,))</f>
        <v/>
      </c>
      <c r="G189" s="143">
        <f>IF($D$129="Standard",$T$186,IF($D$129="Soumdproof",$T$187,))</f>
        <v/>
      </c>
      <c r="H189" s="652">
        <f>IF($D$129="Standard",$U$186,IF($D$129="Soumdproof",$U$187,))</f>
        <v/>
      </c>
      <c r="I189" s="653">
        <f>IF($D$129="Standard",$V$186,IF($D$129="Soumdproof",$V$187,))</f>
        <v/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296">
        <f>IF($D$127=5,$O$175,IF($D$127=6,$O$176,IF($D$127=8,$O$177,IF($D$127=10,$O$175,IF($D$127=12,$O$175,IF($D$127=14,$O$177,IF($D$127=18,$O$175,IF($D$127=20,$O$176,IF($D$127=22,"")))))))))</f>
        <v/>
      </c>
      <c r="C190" s="296">
        <f>IF($D$127=5,$P$175,IF($D$127=6,$P$176,IF($D$127=8,$P$177,IF($D$127=10,$P$175,IF($D$127=12,$P$175,IF($D$127=14,$P$177,IF($D$127=18,$P$175,IF($D$127=20,$P$176,IF($D$127=22,"")))))))))</f>
        <v/>
      </c>
      <c r="D190" s="296">
        <f>IF($D$127=5,$Q$175,IF($D$127=6,$Q$176,IF($D$127=8,$Q$177,IF($D$127=10,$Q$175,IF($D$127=12,$Q$175,IF($D$127=14,$Q$177,IF($D$127=18,$Q$175,IF($D$127=20,$Q$176,IF($D$127=22,"")))))))))</f>
        <v/>
      </c>
      <c r="E190" s="296">
        <f>IF($D$127=5,R181,IF($D$127=6,R182,IF($D$127=8,R183,IF($D$127=10,R181,IF($D$127=12,R181,IF($D$127=14,R183,IF($D$127=18,R181,IF($D$127=20,R182,IF($D$127=22,"",)))))))))</f>
        <v/>
      </c>
      <c r="F190" s="242">
        <f>IF($D$127=5,$S$175,IF($D$127=6,$S$176,IF($D$127=8,$S$177,IF($D$127=10,$S$175,IF($D$127=12,$S$175,IF($D$127=14,$S$177,IF($D$127=18,$S$175,IF($D$127=20,$S$176,IF($D$127=22,"")))))))))</f>
        <v/>
      </c>
      <c r="G190" s="242">
        <f>IF($D$127=5,$T$175,IF($D$127=6,$T$176,IF($D$127=8,$T$177,IF($D$127=10,$T$175,IF($D$127=12,$T$175,IF($D$127=14,$T$177,IF($D$127=18,$T$175,IF($D$127=20,$T$176,IF($D$127=22,"")))))))))</f>
        <v/>
      </c>
      <c r="H190" s="652">
        <f>IF($D$127=5,$U$175,IF($D$127=6,$U$176,IF($D$127=8,$U$177,IF($D$127=10,$U$175*2,IF($D$127=12,$U$175,IF($D$127=14,$U$177*2,IF($D$127=18,$U$175,IF($D$127=20,$U$176,IF($D$127=22,"")))))))))</f>
        <v/>
      </c>
      <c r="I190" s="653">
        <f>IF($D$127=5,$V$175,IF($D$127=6,$V$176,IF($D$127=8,$V$177,IF($D$127=10,$V$175,IF($D$127=12,$V$175,IF($D$127=14,$V$177,IF($D$127=18,$V$175,IF($D$127=20,$V$176,IF($D$127=22,"")))))))))</f>
        <v/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296">
        <f>IF($D$127=5,$O$173,IF($D$127=6,$O$173,IF($D$127=8,$O$175,IF($D$127=10,"",IF($D$127=12,$O$174,IF($D$127=14,"",IF($D$127=18,$O$173,IF($D$127=20,$O$174,IF($D$127=22,"",)))))))))</f>
        <v/>
      </c>
      <c r="C191" s="296">
        <f>IF($D$127=5,$P$173,IF($D$127=6,$P$173,IF($D$127=8,$P$175,IF($D$127=10,"",IF($D$127=12,$P$174,IF($D$127=14,"",IF($D$127=18,$P$173,IF($D$127=20,$P$174,IF($D$127=22,"",)))))))))</f>
        <v/>
      </c>
      <c r="D191" s="296">
        <f>IF($D$127=5,$Q$173,IF($D$127=6,$Q$173,IF($D$127=8,$Q$175,IF($D$127=10,"",IF($D$127=12,$Q$174,IF($D$127=14,"",IF($D$127=18,$Q$173,IF($D$127=20,$Q$174,IF($D$127=22,"",)))))))))</f>
        <v/>
      </c>
      <c r="E191" s="296">
        <f>IF($D$127=5,R179,IF($D$127=6,R179,IF($D$127=8,R181,IF($D$127=10,"",IF($D$127=12,R180,IF($D$127=14,"",IF($D$127=18,R179,IF($D$127=20,R180,IF($D$127=22,"",)))))))))</f>
        <v/>
      </c>
      <c r="F191" s="242">
        <f>IF($D$127=5,$S$173,IF($D$127=6,$S$173,IF($D$127=8,$S$175,IF($D$127=10,"",IF($D$127=12,$S$174,IF($D$127=14,"",IF($D$127=18,$S$173,IF($D$127=20,$S$174,IF($D$127=22,"",)))))))))</f>
        <v/>
      </c>
      <c r="G191" s="242">
        <f>IF($D$127=5,$T$173,IF($D$127=6,$T$173,IF($D$127=8,$T$175,IF($D$127=10,"",IF($D$127=12,$T$174,IF($D$127=14,"",IF($D$127=18,$T$173,IF($D$127=20,$T$174,IF($D$127=22,"",)))))))))</f>
        <v/>
      </c>
      <c r="H191" s="652">
        <f>IF($D$127=5,$U$173,IF($D$127=6,$U$173,IF($D$127=8,$U$175,IF($D$127=10,"",IF($D$127=12,$U$174,IF($D$127=14,"",IF($D$127=18,$U$173,IF($D$127=20,$U$174,IF($D$127=22,"")))))))))</f>
        <v/>
      </c>
      <c r="I191" s="653">
        <f>IF($D$127=5,$V$173,IF($D$127=6,$V$173,IF($D$127=8,$V$175,IF($D$127=10,"",IF($D$127=12,$V$174,IF($D$127=14,"",IF($D$127=18,$V$173,IF($D$127=20,$V$174,IF($D$127=22,"",)))))))))</f>
        <v/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40" t="n"/>
      <c r="C192" s="140" t="n"/>
      <c r="D192" s="139" t="n"/>
      <c r="E192" s="143" t="n"/>
      <c r="F192" s="143" t="n"/>
      <c r="G192" s="143" t="n"/>
      <c r="H192" s="143" t="n"/>
      <c r="I192" s="130" t="n"/>
      <c r="J192" s="131">
        <f>$J$120*H192</f>
        <v/>
      </c>
    </row>
    <row r="193" ht="18" customHeight="1" s="344">
      <c r="A193" s="201">
        <f>IF(B193="","",+A192+1)</f>
        <v/>
      </c>
      <c r="B193" s="140" t="n"/>
      <c r="C193" s="140" t="n"/>
      <c r="D193" s="139" t="n"/>
      <c r="E193" s="143" t="n"/>
      <c r="F193" s="143" t="n"/>
      <c r="G193" s="143" t="n"/>
      <c r="H193" s="143" t="n"/>
      <c r="I193" s="130" t="n"/>
      <c r="J193" s="131">
        <f>$J$120*H193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</row>
    <row r="194" ht="18" customFormat="1" customHeight="1" s="278">
      <c r="A194" s="201">
        <f>IF(B194="","",+A193+1)</f>
        <v/>
      </c>
      <c r="B194" s="140" t="n"/>
      <c r="C194" s="140" t="n"/>
      <c r="D194" s="139" t="n"/>
      <c r="E194" s="143" t="n"/>
      <c r="F194" s="143" t="n"/>
      <c r="G194" s="143" t="n"/>
      <c r="H194" s="143" t="n"/>
      <c r="I194" s="130" t="n"/>
      <c r="J194" s="131">
        <f>$J$120*H194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652" t="n"/>
      <c r="I196" s="653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652" t="n"/>
      <c r="I197" s="653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30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44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LEFT($J$111,14)&amp;"-02"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11))/12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((ความกว้างวงกบ - 185-(113.25 × 11))/12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11))/12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 (วงกบ) - 185-(113.25 × 11))/12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$I$146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$J$146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$I$147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$J$147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75" customFormat="1" customHeight="1" s="278">
      <c r="A306" s="109" t="n"/>
      <c r="B306" s="278" t="n"/>
      <c r="C306" s="89" t="n"/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n"/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n"/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 t="n"/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LEFT($J$111,14)&amp;"-03"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75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LEFT($J$111,14)&amp;"-04"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75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11)/12)-13</t>
        </is>
      </c>
      <c r="I520" s="124">
        <f>(($J$126-185-(113.25*11))/12)-13</f>
        <v/>
      </c>
      <c r="J520" s="151">
        <f>$J$120*12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LEFT($J$111,14)&amp;"-05"</f>
        <v/>
      </c>
      <c r="M526" s="278" t="n"/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 t="n"/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N528" s="415" t="inlineStr">
        <is>
          <t>กระจก 22 mm (สูง) (กว้าง)</t>
        </is>
      </c>
      <c r="O528" s="415" t="inlineStr">
        <is>
          <t>GLASS thk.22 mm (H) (W)</t>
        </is>
      </c>
    </row>
  </sheetData>
  <mergeCells count="44">
    <mergeCell ref="I160:J163"/>
    <mergeCell ref="D127:G127"/>
    <mergeCell ref="A131:J131"/>
    <mergeCell ref="D121:G121"/>
    <mergeCell ref="I154:J154"/>
    <mergeCell ref="A171:J171"/>
    <mergeCell ref="D129:G129"/>
    <mergeCell ref="I157:J158"/>
    <mergeCell ref="D123:G123"/>
    <mergeCell ref="A117:J117"/>
    <mergeCell ref="J123:J124"/>
    <mergeCell ref="D161:D165"/>
    <mergeCell ref="D166:D167"/>
    <mergeCell ref="H157:H158"/>
    <mergeCell ref="A518:J518"/>
    <mergeCell ref="I156:J156"/>
    <mergeCell ref="A320:J320"/>
    <mergeCell ref="F331:G331"/>
    <mergeCell ref="H159:H16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I155:J155"/>
    <mergeCell ref="A6:J6"/>
    <mergeCell ref="A427:J427"/>
    <mergeCell ref="J120:J121"/>
    <mergeCell ref="I166:J166"/>
    <mergeCell ref="I164:J165"/>
    <mergeCell ref="A125:B125"/>
    <mergeCell ref="D157:D158"/>
    <mergeCell ref="H161:H165"/>
    <mergeCell ref="I153:J153"/>
    <mergeCell ref="H166:H167"/>
    <mergeCell ref="D159:D160"/>
    <mergeCell ref="J126:J127"/>
    <mergeCell ref="F520:G520"/>
    <mergeCell ref="D125:G125"/>
    <mergeCell ref="H123:I124"/>
    <mergeCell ref="A213:J213"/>
  </mergeCells>
  <dataValidations count="4">
    <dataValidation sqref="D129:G129" showDropDown="0" showInputMessage="1" showErrorMessage="1" allowBlank="1" type="list">
      <formula1>$O$119</formula1>
    </dataValidation>
    <dataValidation sqref="D127:G127" showDropDown="0" showInputMessage="1" showErrorMessage="1" allowBlank="1" type="list">
      <formula1>$N$119:$N$127</formula1>
    </dataValidation>
    <dataValidation sqref="D123:G123" showDropDown="0" showInputMessage="1" showErrorMessage="1" allowBlank="1" type="list">
      <formula1>$P$118:$P$128</formula1>
    </dataValidation>
    <dataValidation sqref="C206" showDropDown="0" showInputMessage="1" showErrorMessage="1" allowBlank="1" type="list">
      <formula1>$O$173:$O$191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1" max="9" man="1"/>
    <brk id="207" min="1" max="9" man="1"/>
    <brk id="314" min="0" max="16383" man="1"/>
    <brk id="421" min="1" max="9" man="1"/>
  </rowBreaks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 codeName="Sheet38">
    <tabColor theme="5" tint="-0.249977111117893"/>
    <outlinePr summaryBelow="1" summaryRight="1"/>
    <pageSetUpPr/>
  </sheetPr>
  <dimension ref="A2:AJ528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5.6640625" customWidth="1" style="344" min="3" max="3"/>
    <col width="13.44140625" customWidth="1" style="345" min="4" max="4"/>
    <col hidden="1" outlineLevel="1" width="7.44140625" customWidth="1" style="344" min="5" max="5"/>
    <col collapsed="1" width="20.6640625" customWidth="1" style="344" min="6" max="6"/>
    <col width="7.5546875" customWidth="1" style="344" min="7" max="7"/>
    <col width="29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2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240-14 Panel (7L7R)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FG-240-14P7L7R-01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  <c r="N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  <c r="N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  <c r="N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  <c r="N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  <c r="N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7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7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8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8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8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8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28</v>
      </c>
      <c r="U133" s="283" t="inlineStr">
        <is>
          <t>(W-185-(113.25 × 13))/14</t>
        </is>
      </c>
      <c r="V133" s="685">
        <f>($J$126-185-(113.25*13))/14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28</v>
      </c>
      <c r="U134" s="143" t="inlineStr">
        <is>
          <t>(W-185-(113.25 × 13))/14</t>
        </is>
      </c>
      <c r="V134" s="686">
        <f>($J$126-185-(113.25*13))/14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28</v>
      </c>
      <c r="U135" s="240" t="inlineStr">
        <is>
          <t>(W-185-(113.25 × 13))/14</t>
        </is>
      </c>
      <c r="V135" s="687">
        <f>($J$126-185-(113.25*13))/14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28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28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28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14</v>
      </c>
      <c r="H141" s="683" t="inlineStr">
        <is>
          <t>45°แยกฝั่ง (W/2-60-(7+1)×4)/7</t>
        </is>
      </c>
      <c r="I141" s="178">
        <f>(($J$126/2)-60-(7+1)*4)/7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14</v>
      </c>
      <c r="H142" s="683" t="inlineStr">
        <is>
          <t>45°แยกฝั่ง (W/2-60-(7+1)×4)/7</t>
        </is>
      </c>
      <c r="I142" s="178">
        <f>(($J$126/2)-60-(7+1)*4)/7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21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3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3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0" t="n"/>
      <c r="K170" s="278" t="n"/>
      <c r="L170" s="278" t="n"/>
      <c r="M170" s="278" t="n"/>
      <c r="N170" s="278" t="n"/>
      <c r="O170" s="278" t="n"/>
      <c r="P170" s="278" t="n"/>
      <c r="Q170" s="278" t="n"/>
      <c r="R170" s="278" t="n"/>
      <c r="S170" s="278" t="n"/>
      <c r="T170" s="278" t="n"/>
      <c r="U170" s="278" t="n"/>
      <c r="V170" s="278" t="n"/>
      <c r="Z170" s="278" t="n"/>
      <c r="AA170" s="278" t="n"/>
      <c r="AB170" s="278" t="n"/>
      <c r="AC170" s="278" t="n"/>
      <c r="AD170" s="278" t="n"/>
      <c r="AE170" s="278" t="n"/>
      <c r="AF170" s="278" t="n"/>
      <c r="AG170" s="278" t="n"/>
      <c r="AH170" s="278" t="n"/>
      <c r="AI170" s="278" t="n"/>
      <c r="AJ170" s="278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26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4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2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ชุดล้อแขวนบานกลาง</t>
        </is>
      </c>
      <c r="C182" s="140" t="inlineStr">
        <is>
          <t>Intermediate Carrier Set</t>
        </is>
      </c>
      <c r="D182" s="139" t="inlineStr">
        <is>
          <t>05-011</t>
        </is>
      </c>
      <c r="E182" s="143" t="n"/>
      <c r="F182" s="143" t="inlineStr">
        <is>
          <t>05-011</t>
        </is>
      </c>
      <c r="G182" s="143" t="inlineStr">
        <is>
          <t>SET</t>
        </is>
      </c>
      <c r="H182" s="143" t="n">
        <v>6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ชุดสลักล็อค</t>
        </is>
      </c>
      <c r="C183" s="140" t="inlineStr">
        <is>
          <t>Twin Bolt + Rods</t>
        </is>
      </c>
      <c r="D183" s="139" t="inlineStr">
        <is>
          <t>05-014</t>
        </is>
      </c>
      <c r="E183" s="143" t="n"/>
      <c r="F183" s="143" t="inlineStr">
        <is>
          <t>05-014</t>
        </is>
      </c>
      <c r="G183" s="143" t="inlineStr">
        <is>
          <t>SET</t>
        </is>
      </c>
      <c r="H183" s="143" t="n">
        <v>6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ชุดมือจับล็อค</t>
        </is>
      </c>
      <c r="C184" s="140" t="inlineStr">
        <is>
          <t>Stainless steel mortise lock,handle,cylinder</t>
        </is>
      </c>
      <c r="D184" s="139" t="inlineStr">
        <is>
          <t>00-024 or 00-027</t>
        </is>
      </c>
      <c r="E184" s="143" t="n"/>
      <c r="F184" s="143" t="inlineStr">
        <is>
          <t>00-024 or 00-027</t>
        </is>
      </c>
      <c r="G184" s="143" t="inlineStr">
        <is>
          <t>SET</t>
        </is>
      </c>
      <c r="H184" s="143" t="n">
        <v>1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ตัวประคองสลักล็อค</t>
        </is>
      </c>
      <c r="C185" s="140" t="inlineStr">
        <is>
          <t>Guide twin Bolt Rods</t>
        </is>
      </c>
      <c r="D185" s="139" t="inlineStr">
        <is>
          <t>04-009</t>
        </is>
      </c>
      <c r="E185" s="143" t="n"/>
      <c r="F185" s="143" t="inlineStr">
        <is>
          <t>04-009</t>
        </is>
      </c>
      <c r="G185" s="143" t="inlineStr">
        <is>
          <t>PC</t>
        </is>
      </c>
      <c r="H185" s="143" t="n">
        <v>12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รางเสริมเปลี่ยนล้อ</t>
        </is>
      </c>
      <c r="C186" s="140" t="inlineStr">
        <is>
          <t>35 SERIES TRACK INSERT</t>
        </is>
      </c>
      <c r="D186" s="139" t="inlineStr">
        <is>
          <t>04-004</t>
        </is>
      </c>
      <c r="E186" s="143" t="n"/>
      <c r="F186" s="143" t="inlineStr">
        <is>
          <t>04-004</t>
        </is>
      </c>
      <c r="G186" s="143" t="inlineStr">
        <is>
          <t>PC</t>
        </is>
      </c>
      <c r="H186" s="143" t="n">
        <v>1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((($I$141*$G$141*2)+($I$143*$G$143*2)+($I$144*$G$144*2)+($I$145*($G$145-1)*2))/1000)*$J$120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ตัวรับกลอน</t>
        </is>
      </c>
      <c r="C187" s="140" t="inlineStr">
        <is>
          <t xml:space="preserve">FLUSH BOLT RECEIVER </t>
        </is>
      </c>
      <c r="D187" s="139" t="inlineStr">
        <is>
          <t>04-016</t>
        </is>
      </c>
      <c r="E187" s="143" t="n"/>
      <c r="F187" s="143" t="inlineStr">
        <is>
          <t>04-016</t>
        </is>
      </c>
      <c r="G187" s="143" t="inlineStr">
        <is>
          <t>PC</t>
        </is>
      </c>
      <c r="H187" s="143" t="n">
        <v>6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((($I$141*$G$141*2)+($I$143*$G$143*2)+($I$144*$G$144*2)+($I$145*($G$145-1)*2))/1000)*$J$120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กลอนสวิง 250 มม.</t>
        </is>
      </c>
      <c r="C188" s="140" t="inlineStr">
        <is>
          <t>Surface mounted flush bolt</t>
        </is>
      </c>
      <c r="D188" s="139" t="inlineStr">
        <is>
          <t>00-020-25</t>
        </is>
      </c>
      <c r="E188" s="143" t="n"/>
      <c r="F188" s="143" t="inlineStr">
        <is>
          <t>00-020-25</t>
        </is>
      </c>
      <c r="G188" s="143" t="inlineStr">
        <is>
          <t>SET</t>
        </is>
      </c>
      <c r="H188" s="143" t="n">
        <v>1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กลอนสวิง 900 มม.</t>
        </is>
      </c>
      <c r="C189" s="140" t="inlineStr">
        <is>
          <t>Surface mounted flush bolt</t>
        </is>
      </c>
      <c r="D189" s="139" t="inlineStr">
        <is>
          <t>00-020-90</t>
        </is>
      </c>
      <c r="E189" s="143" t="n"/>
      <c r="F189" s="143" t="inlineStr">
        <is>
          <t>00-020-90</t>
        </is>
      </c>
      <c r="G189" s="143" t="inlineStr">
        <is>
          <t>SET</t>
        </is>
      </c>
      <c r="H189" s="143" t="n">
        <v>1</v>
      </c>
      <c r="I189" s="130" t="n"/>
      <c r="J189" s="131">
        <f>$J$120*H189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สักหลาดบังใบ</t>
        </is>
      </c>
      <c r="C190" s="140" t="inlineStr">
        <is>
          <t>MOHAIR FOR SASH STOP</t>
        </is>
      </c>
      <c r="D190" s="139" t="inlineStr">
        <is>
          <t>02-028</t>
        </is>
      </c>
      <c r="E190" s="143" t="n"/>
      <c r="F190" s="143" t="inlineStr">
        <is>
          <t>02-028</t>
        </is>
      </c>
      <c r="G190" s="143" t="inlineStr">
        <is>
          <t>M</t>
        </is>
      </c>
      <c r="H190" s="679">
        <f>((($I$149*$G$149)+($I$150*$G$150))/1000)*$J$120</f>
        <v/>
      </c>
      <c r="I190" s="680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40" t="inlineStr">
        <is>
          <t>สักหลาดเสา</t>
        </is>
      </c>
      <c r="C191" s="140" t="inlineStr">
        <is>
          <t>MOHAIR FOR SASH (Ver)</t>
        </is>
      </c>
      <c r="D191" s="139" t="inlineStr">
        <is>
          <t>02-036</t>
        </is>
      </c>
      <c r="E191" s="143" t="n"/>
      <c r="F191" s="143" t="inlineStr">
        <is>
          <t>02-036</t>
        </is>
      </c>
      <c r="G191" s="143" t="inlineStr">
        <is>
          <t>M</t>
        </is>
      </c>
      <c r="H191" s="679">
        <f>((($I$146*$G$146*2))/1000)*$J$120</f>
        <v/>
      </c>
      <c r="I191" s="680" t="n">
        <v>100</v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IF($D$129="Standard",$O$184,IF($D$129="Soumdproof",$O$185,))</f>
        <v/>
      </c>
      <c r="C192" s="139">
        <f>IF($D$129="Standard",$P$184,IF($D$129="Soumdproof",$P$185,))</f>
        <v/>
      </c>
      <c r="D192" s="139">
        <f>IF($D$129="Standard",$Q$184,IF($D$129="Soumdproof",$Q$185,))</f>
        <v/>
      </c>
      <c r="E192" s="143">
        <f>IF($D$129="Standard",R189,IF($D$129="Soumdproof",R190,))</f>
        <v/>
      </c>
      <c r="F192" s="143">
        <f>IF($D$129="Standard",$S$184,IF($D$129="Soumdproof",$S$185,))</f>
        <v/>
      </c>
      <c r="G192" s="143">
        <f>IF($D$129="Standard",$T$184,IF($D$129="Soumdproof",$T$185,))</f>
        <v/>
      </c>
      <c r="H192" s="652">
        <f>IF($D$129="Standard",$U$184,IF($D$129="Soumdproof",$U$185,))</f>
        <v/>
      </c>
      <c r="I192" s="653">
        <f>IF($D$129="Standard",$V$184,IF($D$129="Soumdproof",$V$185,))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139">
        <f>IF($D$129="Standard",$O$186,IF($D$129="Soumdproof",$O$187,))</f>
        <v/>
      </c>
      <c r="C193" s="139">
        <f>IF($D$129="Standard",$P$186,IF($D$129="Soumdproof",$P$187,))</f>
        <v/>
      </c>
      <c r="D193" s="139">
        <f>IF($D$129="Standard",$Q$186,IF($D$129="Soumdproof",$Q$187,))</f>
        <v/>
      </c>
      <c r="E193" s="143">
        <f>IF($D$129="Standard",R191,IF($D$129="Soumdproof",R192,))</f>
        <v/>
      </c>
      <c r="F193" s="143">
        <f>IF($D$129="Standard",$S$186,IF($D$129="Soumdproof",$S$187,))</f>
        <v/>
      </c>
      <c r="G193" s="143">
        <f>IF($D$129="Standard",$T$186,IF($D$129="Soumdproof",$T$187,))</f>
        <v/>
      </c>
      <c r="H193" s="652">
        <f>IF($D$129="Standard",$U$186,IF($D$129="Soumdproof",$U$187,))</f>
        <v/>
      </c>
      <c r="I193" s="653">
        <f>IF($D$129="Standard",$V$186,IF($D$129="Soumdproof",$V$187,))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</row>
    <row r="194" ht="18" customFormat="1" customHeight="1" s="278">
      <c r="A194" s="201">
        <f>IF(B194="","",+A193+1)</f>
        <v/>
      </c>
      <c r="B194" s="296">
        <f>IF($D$127=5,$O$175,IF($D$127=6,$O$176,IF($D$127=8,$O$177,IF($D$127=10,$O$175,IF($D$127=12,$O$175,IF($D$127=14,$O$177,IF($D$127=18,$O$175,IF($D$127=20,$O$176,IF($D$127=22,"")))))))))</f>
        <v/>
      </c>
      <c r="C194" s="296">
        <f>IF($D$127=5,$P$175,IF($D$127=6,$P$176,IF($D$127=8,$P$177,IF($D$127=10,$P$175,IF($D$127=12,$P$175,IF($D$127=14,$P$177,IF($D$127=18,$P$175,IF($D$127=20,$P$176,IF($D$127=22,"")))))))))</f>
        <v/>
      </c>
      <c r="D194" s="296">
        <f>IF($D$127=5,$Q$175,IF($D$127=6,$Q$176,IF($D$127=8,$Q$177,IF($D$127=10,$Q$175,IF($D$127=12,$Q$175,IF($D$127=14,$Q$177,IF($D$127=18,$Q$175,IF($D$127=20,$Q$176,IF($D$127=22,"")))))))))</f>
        <v/>
      </c>
      <c r="E194" s="296">
        <f>IF($D$127=5,R180,IF($D$127=6,R181,IF($D$127=8,R182,IF($D$127=10,R180,IF($D$127=12,R180,IF($D$127=14,R182,IF($D$127=18,R180,IF($D$127=20,R181,IF($D$127=22,"",)))))))))</f>
        <v/>
      </c>
      <c r="F194" s="242">
        <f>IF($D$127=5,$S$175,IF($D$127=6,$S$176,IF($D$127=8,$S$177,IF($D$127=10,$S$175,IF($D$127=12,$S$175,IF($D$127=14,$S$177,IF($D$127=18,$S$175,IF($D$127=20,$S$176,IF($D$127=22,"")))))))))</f>
        <v/>
      </c>
      <c r="G194" s="242">
        <f>IF($D$127=5,$T$175,IF($D$127=6,$T$176,IF($D$127=8,$T$177,IF($D$127=10,$T$175,IF($D$127=12,$T$175,IF($D$127=14,$T$177,IF($D$127=18,$T$175,IF($D$127=20,$T$176,IF($D$127=22,"")))))))))</f>
        <v/>
      </c>
      <c r="H194" s="652">
        <f>IF($D$127=5,$U$175,IF($D$127=6,$U$176,IF($D$127=8,$U$177,IF($D$127=10,$U$175*2,IF($D$127=12,$U$175,IF($D$127=14,$U$177*2,IF($D$127=18,$U$175,IF($D$127=20,$U$176,IF($D$127=22,"")))))))))</f>
        <v/>
      </c>
      <c r="I194" s="653">
        <f>IF($D$127=5,$V$175,IF($D$127=6,$V$176,IF($D$127=8,$V$177,IF($D$127=10,$V$175,IF($D$127=12,$V$175,IF($D$127=14,$V$177,IF($D$127=18,$V$175,IF($D$127=20,$V$176,IF($D$127=22,"")))))))))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296">
        <f>IF($D$127=5,$O$173,IF($D$127=6,$O$173,IF($D$127=8,$O$175,IF($D$127=10,"",IF($D$127=12,$O$174,IF($D$127=14,"",IF($D$127=18,$O$173,IF($D$127=20,$O$174,IF($D$127=22,"",)))))))))</f>
        <v/>
      </c>
      <c r="C195" s="296">
        <f>IF($D$127=5,$P$173,IF($D$127=6,$P$173,IF($D$127=8,$P$175,IF($D$127=10,"",IF($D$127=12,$P$174,IF($D$127=14,"",IF($D$127=18,$P$173,IF($D$127=20,$P$174,IF($D$127=22,"",)))))))))</f>
        <v/>
      </c>
      <c r="D195" s="296">
        <f>IF($D$127=5,$Q$173,IF($D$127=6,$Q$173,IF($D$127=8,$Q$175,IF($D$127=10,"",IF($D$127=12,$Q$174,IF($D$127=14,"",IF($D$127=18,$Q$173,IF($D$127=20,$Q$174,IF($D$127=22,"",)))))))))</f>
        <v/>
      </c>
      <c r="E195" s="296">
        <f>IF($D$127=5,R178,IF($D$127=6,R178,IF($D$127=8,R180,IF($D$127=10,"",IF($D$127=12,R179,IF($D$127=14,"",IF($D$127=18,R178,IF($D$127=20,R179,IF($D$127=22,"",)))))))))</f>
        <v/>
      </c>
      <c r="F195" s="242">
        <f>IF($D$127=5,$S$173,IF($D$127=6,$S$173,IF($D$127=8,$S$175,IF($D$127=10,"",IF($D$127=12,$S$174,IF($D$127=14,"",IF($D$127=18,$S$173,IF($D$127=20,$S$174,IF($D$127=22,"",)))))))))</f>
        <v/>
      </c>
      <c r="G195" s="242">
        <f>IF($D$127=5,$T$173,IF($D$127=6,$T$173,IF($D$127=8,$T$175,IF($D$127=10,"",IF($D$127=12,$T$174,IF($D$127=14,"",IF($D$127=18,$T$173,IF($D$127=20,$T$174,IF($D$127=22,"",)))))))))</f>
        <v/>
      </c>
      <c r="H195" s="652">
        <f>IF($D$127=5,$U$173,IF($D$127=6,$U$173,IF($D$127=8,$U$175,IF($D$127=10,"",IF($D$127=12,$U$174,IF($D$127=14,"",IF($D$127=18,$U$173,IF($D$127=20,$U$174,IF($D$127=22,"")))))))))</f>
        <v/>
      </c>
      <c r="I195" s="653">
        <f>IF($D$127=5,$V$173,IF($D$127=6,$V$173,IF($D$127=8,$V$175,IF($D$127=10,"",IF($D$127=12,$V$174,IF($D$127=14,"",IF($D$127=18,$V$173,IF($D$127=20,$V$174,IF($D$127=22,"",)))))))))</f>
        <v/>
      </c>
      <c r="J195" s="655">
        <f>ROUNDUP((H195)/100,0)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44" t="n"/>
      <c r="J198" s="131">
        <f>$J$120*H198</f>
        <v/>
      </c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44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30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201">
        <f>IF(B204="","",+A203+1)</f>
        <v/>
      </c>
      <c r="B204" s="140" t="n"/>
      <c r="C204" s="140" t="n"/>
      <c r="D204" s="139" t="n"/>
      <c r="E204" s="143" t="n"/>
      <c r="F204" s="143" t="n"/>
      <c r="G204" s="143" t="n"/>
      <c r="H204" s="143" t="n"/>
      <c r="I204" s="130" t="n"/>
      <c r="J204" s="131">
        <f>$J$120*H204</f>
        <v/>
      </c>
    </row>
    <row r="205" ht="18" customFormat="1" customHeight="1" s="278">
      <c r="A205" s="317">
        <f>IF(B205="","",+A204+1)</f>
        <v/>
      </c>
      <c r="B205" s="142" t="n"/>
      <c r="C205" s="142" t="n"/>
      <c r="D205" s="141" t="n"/>
      <c r="E205" s="240" t="n"/>
      <c r="F205" s="240" t="n"/>
      <c r="G205" s="240" t="n"/>
      <c r="H205" s="240" t="n"/>
      <c r="I205" s="136" t="n"/>
      <c r="J205" s="293">
        <f>$J$120*H205</f>
        <v/>
      </c>
    </row>
    <row r="206" ht="18" customFormat="1" customHeight="1" s="278">
      <c r="A206" s="27" t="n"/>
      <c r="B206" s="161" t="n"/>
      <c r="C206" s="278" t="n"/>
      <c r="D206" s="161" t="n"/>
      <c r="E206" s="109" t="n"/>
      <c r="F206" s="161" t="n"/>
      <c r="G206" s="161" t="n"/>
      <c r="H206" s="161" t="n"/>
      <c r="I206" s="501" t="n"/>
      <c r="J206" s="501" t="n"/>
    </row>
    <row r="207" ht="18" customHeight="1" s="344">
      <c r="A207" s="109" t="n"/>
      <c r="J207" s="99">
        <f>LEFT($J$111,14)&amp;"-02"</f>
        <v/>
      </c>
    </row>
    <row r="208" ht="12.75" customHeight="1" s="344">
      <c r="B208" s="278" t="n"/>
      <c r="C208" s="278" t="n"/>
      <c r="D208" s="161" t="n"/>
      <c r="E208" s="109" t="n"/>
      <c r="F208" s="109" t="n"/>
      <c r="G208" s="109" t="n"/>
      <c r="H208" s="109" t="n"/>
      <c r="K208" s="37" t="n"/>
      <c r="L208" s="37" t="n"/>
      <c r="M208" s="2" t="n"/>
      <c r="N208" s="2" t="n"/>
    </row>
    <row r="209" ht="30" customHeight="1" s="344">
      <c r="I209" s="95" t="n"/>
      <c r="J209" s="90">
        <f>$J$2</f>
        <v/>
      </c>
      <c r="K209" s="35" t="n"/>
      <c r="L209" s="35" t="n"/>
      <c r="M209" s="2" t="n"/>
      <c r="N209" s="2" t="n"/>
    </row>
    <row r="210" ht="24.9" customHeight="1" s="344">
      <c r="C210" s="5" t="n"/>
      <c r="D210" s="95" t="n"/>
      <c r="E210" s="95" t="n"/>
      <c r="F210" s="95" t="n"/>
      <c r="G210" s="95" t="n"/>
      <c r="H210" s="95" t="n"/>
      <c r="I210" s="28" t="n"/>
      <c r="J210" s="91">
        <f>$J$3</f>
        <v/>
      </c>
      <c r="K210" s="35" t="n"/>
      <c r="L210" s="35" t="n"/>
      <c r="M210" s="2" t="n"/>
      <c r="N210" s="2" t="n"/>
    </row>
    <row r="211" ht="24.9" customHeight="1" s="344">
      <c r="C211" s="28" t="n"/>
      <c r="D211" s="28" t="n"/>
      <c r="E211" s="28" t="n"/>
      <c r="F211" s="28" t="n"/>
      <c r="G211" s="28" t="n"/>
      <c r="H211" s="28" t="n"/>
      <c r="I211" s="28" t="n"/>
      <c r="J211" s="91">
        <f>$J$4</f>
        <v/>
      </c>
      <c r="M211" s="4" t="n"/>
      <c r="N211" s="4" t="n"/>
    </row>
    <row r="212" ht="15" customFormat="1" customHeight="1" s="278" thickBot="1">
      <c r="A212" s="78" t="n"/>
      <c r="B212" s="72" t="n"/>
      <c r="C212" s="28" t="n"/>
      <c r="D212" s="28" t="n"/>
      <c r="E212" s="28" t="n"/>
      <c r="F212" s="28" t="n"/>
      <c r="G212" s="28" t="n"/>
      <c r="H212" s="28" t="n"/>
      <c r="I212" s="78" t="n"/>
      <c r="J212" s="113" t="n"/>
      <c r="K212" s="4" t="n"/>
      <c r="L212" s="4" t="n"/>
      <c r="M212" s="4" t="n"/>
      <c r="N212" s="4" t="n"/>
    </row>
    <row r="213" ht="24.9" customFormat="1" customHeight="1" s="278" thickBot="1">
      <c r="A213" s="633" t="inlineStr">
        <is>
          <t>QUICK REFERENCE FORMULA</t>
        </is>
      </c>
      <c r="B213" s="634" t="n"/>
      <c r="C213" s="634" t="n"/>
      <c r="D213" s="634" t="n"/>
      <c r="E213" s="634" t="n"/>
      <c r="F213" s="634" t="n"/>
      <c r="G213" s="634" t="n"/>
      <c r="H213" s="634" t="n"/>
      <c r="I213" s="634" t="n"/>
      <c r="J213" s="635" t="n"/>
      <c r="K213" s="278" t="n"/>
      <c r="L213" s="278" t="n"/>
      <c r="M213" s="278" t="n"/>
      <c r="N213" s="278" t="n"/>
    </row>
    <row r="215" ht="15" customFormat="1" customHeight="1" s="278">
      <c r="A215" s="93" t="n"/>
      <c r="D215" s="345" t="n"/>
      <c r="I215" s="160" t="n"/>
      <c r="J215" s="532" t="n"/>
    </row>
    <row r="216" ht="15" customFormat="1" customHeight="1" s="278">
      <c r="A216" s="109" t="n"/>
      <c r="B216" s="93" t="n"/>
      <c r="C216" s="278" t="n"/>
      <c r="D216" s="161" t="n"/>
      <c r="E216" s="35" t="n"/>
      <c r="F216" s="160" t="n"/>
      <c r="G216" s="160" t="n"/>
      <c r="H216" s="160" t="n"/>
      <c r="J216" s="109" t="n"/>
    </row>
    <row r="217" ht="15" customFormat="1" customHeight="1" s="278">
      <c r="A217" s="109" t="n"/>
      <c r="B217" s="278" t="n"/>
      <c r="C217" s="328" t="n"/>
      <c r="D217" s="161" t="n"/>
      <c r="E217" s="35" t="n"/>
      <c r="F217" s="161" t="n"/>
      <c r="J217" s="109" t="n"/>
    </row>
    <row r="218" ht="15.6" customFormat="1" customHeight="1" s="278">
      <c r="A218" s="109" t="n"/>
      <c r="B218" s="278" t="n"/>
      <c r="C218" s="542" t="n"/>
      <c r="D218" s="161" t="n"/>
      <c r="E218" s="109" t="n"/>
      <c r="F218" s="161" t="n"/>
      <c r="H218" s="328" t="n"/>
      <c r="J218" s="109" t="n"/>
    </row>
    <row r="219" ht="15" customFormat="1" customHeight="1" s="278">
      <c r="A219" s="93" t="n"/>
      <c r="B219" s="93" t="n"/>
      <c r="C219" s="278" t="n"/>
      <c r="D219" s="161" t="n"/>
      <c r="E219" s="35" t="n"/>
      <c r="F219" s="160" t="n"/>
      <c r="H219" s="328" t="n"/>
      <c r="I219" s="109" t="n"/>
      <c r="J219" s="109" t="n"/>
    </row>
    <row r="220" ht="15" customFormat="1" customHeight="1" s="278">
      <c r="A220" s="109" t="n"/>
      <c r="B220" s="278" t="n"/>
      <c r="C220" s="89" t="inlineStr">
        <is>
          <t xml:space="preserve">                          Head</t>
        </is>
      </c>
      <c r="D220" s="161" t="n"/>
      <c r="E220" s="35" t="n"/>
      <c r="F220" s="161" t="n"/>
      <c r="I220" s="109" t="n"/>
      <c r="J220" s="109" t="n"/>
    </row>
    <row r="221" ht="15" customFormat="1" customHeight="1" s="278">
      <c r="A221" s="109" t="n"/>
      <c r="B221" s="278" t="n"/>
      <c r="C221" s="328" t="inlineStr">
        <is>
          <t xml:space="preserve">                          = Frame Width -60.00</t>
        </is>
      </c>
      <c r="D221" s="161" t="n"/>
      <c r="E221" s="35" t="n"/>
      <c r="F221" s="161" t="n"/>
      <c r="H221" s="89" t="n"/>
      <c r="J221" s="109" t="n"/>
    </row>
    <row r="222" ht="15" customFormat="1" customHeight="1" s="278">
      <c r="A222" s="109" t="n"/>
      <c r="B222" s="278" t="n"/>
      <c r="C222" s="542" t="inlineStr">
        <is>
          <t xml:space="preserve">                          ความกว้าง(วงกบ) - 60.00</t>
        </is>
      </c>
      <c r="D222" s="161" t="n"/>
      <c r="E222" s="109" t="n"/>
      <c r="F222" s="161" t="n"/>
      <c r="J222" s="109" t="n"/>
    </row>
    <row r="223" ht="15" customFormat="1" customHeight="1" s="278">
      <c r="A223" s="109" t="n"/>
      <c r="B223" s="278" t="n"/>
      <c r="C223" s="656">
        <f>$I$133</f>
        <v/>
      </c>
      <c r="D223" s="161" t="n"/>
      <c r="E223" s="35" t="n"/>
      <c r="F223" s="161" t="n"/>
      <c r="G223" s="324" t="n"/>
      <c r="J223" s="109" t="n"/>
    </row>
    <row r="224" ht="15" customFormat="1" customHeight="1" s="278">
      <c r="A224" s="109" t="n"/>
      <c r="B224" s="278" t="n"/>
      <c r="C224" s="657">
        <f>$J$133</f>
        <v/>
      </c>
      <c r="D224" s="161" t="n"/>
      <c r="E224" s="35" t="n"/>
      <c r="F224" s="161" t="n"/>
      <c r="G224" s="507" t="n"/>
      <c r="I224" s="109" t="n"/>
      <c r="J224" s="109" t="n"/>
    </row>
    <row r="225" ht="15" customFormat="1" customHeight="1" s="278">
      <c r="A225" s="109" t="n"/>
      <c r="B225" s="278" t="n"/>
      <c r="D225" s="161" t="n"/>
      <c r="E225" s="109" t="n"/>
      <c r="F225" s="161" t="n"/>
      <c r="G225" s="507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G226" s="324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109" t="n"/>
      <c r="J227" s="109" t="n"/>
    </row>
    <row r="228" ht="15.9" customFormat="1" customHeight="1" s="278">
      <c r="A228" s="532" t="n"/>
      <c r="B228" s="532" t="n"/>
      <c r="C228" s="35" t="n"/>
      <c r="D228" s="161" t="n"/>
      <c r="E228" s="109" t="n"/>
      <c r="F228" s="161" t="n"/>
      <c r="H228" s="109" t="n"/>
      <c r="I228" s="32" t="n"/>
      <c r="J228" s="40" t="n"/>
    </row>
    <row r="229" ht="15.9" customFormat="1" customHeight="1" s="278">
      <c r="A229" s="532" t="n"/>
      <c r="B229" s="532" t="n"/>
      <c r="C229" s="542" t="n"/>
      <c r="D229" s="161" t="n"/>
      <c r="E229" s="109" t="n"/>
      <c r="F229" s="161" t="n"/>
      <c r="H229" s="109" t="n"/>
      <c r="I229" s="328" t="n"/>
      <c r="J229" s="117" t="n"/>
    </row>
    <row r="230" ht="15.9" customFormat="1" customHeight="1" s="278">
      <c r="A230" s="63" t="n"/>
      <c r="B230" s="63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109" t="n"/>
      <c r="B231" s="109" t="n"/>
      <c r="D231" s="161" t="n"/>
      <c r="E231" s="109" t="n"/>
      <c r="F231" s="161" t="n"/>
      <c r="I231" s="328" t="n"/>
      <c r="J231" s="117" t="n"/>
    </row>
    <row r="232" ht="15.9" customFormat="1" customHeight="1" s="278">
      <c r="A232" s="72" t="n"/>
      <c r="B232" s="278" t="n"/>
      <c r="D232" s="161" t="n"/>
      <c r="E232" s="109" t="n"/>
      <c r="F232" s="109" t="n"/>
      <c r="I232" s="328" t="n"/>
      <c r="J232" s="117" t="n"/>
    </row>
    <row r="233" ht="15.9" customFormat="1" customHeight="1" s="278">
      <c r="A233" s="44" t="n"/>
      <c r="B233" s="44" t="n"/>
      <c r="C233" s="89" t="inlineStr">
        <is>
          <t xml:space="preserve">                          Door Stop Head</t>
        </is>
      </c>
      <c r="D233" s="84" t="n"/>
      <c r="E233" s="44" t="n"/>
      <c r="F233" s="44" t="n"/>
      <c r="G233" s="109" t="n"/>
      <c r="H233" s="109" t="n"/>
      <c r="I233" s="328" t="n"/>
      <c r="J233" s="117" t="n"/>
    </row>
    <row r="234" ht="15.9" customFormat="1" customHeight="1" s="278">
      <c r="A234" s="40" t="n"/>
      <c r="B234" s="40" t="n"/>
      <c r="C234" s="328" t="inlineStr">
        <is>
          <t xml:space="preserve">                          = Frame Width -86</t>
        </is>
      </c>
      <c r="D234" s="85" t="n"/>
      <c r="E234" s="40" t="n"/>
      <c r="F234" s="32" t="n"/>
      <c r="G234" s="109" t="n"/>
      <c r="H234" s="109" t="n"/>
      <c r="J234" s="109" t="n"/>
    </row>
    <row r="235" ht="15.9" customFormat="1" customHeight="1" s="278">
      <c r="A235" s="109" t="n"/>
      <c r="B235" s="278" t="n"/>
      <c r="C235" s="542" t="inlineStr">
        <is>
          <t xml:space="preserve">                          ความกว้างวงกบ - 86</t>
        </is>
      </c>
      <c r="D235" s="161" t="n"/>
      <c r="E235" s="109" t="n"/>
      <c r="F235" s="161" t="n"/>
      <c r="G235" s="109" t="n"/>
      <c r="H235" s="109" t="n"/>
      <c r="I235" s="109" t="n"/>
      <c r="J235" s="501" t="n"/>
    </row>
    <row r="236" ht="15.9" customFormat="1" customHeight="1" s="278">
      <c r="A236" s="109" t="n"/>
      <c r="B236" s="278" t="n"/>
      <c r="C236" s="656">
        <f>$I$134</f>
        <v/>
      </c>
      <c r="D236" s="161" t="n"/>
      <c r="E236" s="109" t="n"/>
      <c r="F236" s="161" t="n"/>
      <c r="G236" s="109" t="n"/>
      <c r="H236" s="109" t="n"/>
      <c r="I236" s="501" t="n"/>
      <c r="J236" s="501" t="n"/>
    </row>
    <row r="237" ht="15.9" customFormat="1" customHeight="1" s="278">
      <c r="A237" s="109" t="n"/>
      <c r="B237" s="278" t="n"/>
      <c r="C237" s="657">
        <f>$J$134</f>
        <v/>
      </c>
      <c r="D237" s="161" t="n"/>
      <c r="E237" s="109" t="n"/>
      <c r="F237" s="161" t="n"/>
      <c r="G237" s="109" t="n"/>
      <c r="H237" s="107" t="n"/>
      <c r="I237" s="89" t="n"/>
      <c r="J237" s="118" t="n"/>
    </row>
    <row r="238" ht="15.9" customFormat="1" customHeight="1" s="278">
      <c r="A238" s="109" t="n"/>
      <c r="B238" s="278" t="n"/>
      <c r="C238" s="44" t="n"/>
      <c r="D238" s="161" t="n"/>
      <c r="E238" s="109" t="n"/>
      <c r="F238" s="161" t="n"/>
      <c r="G238" s="109" t="n"/>
      <c r="H238" s="107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328" t="n"/>
      <c r="J239" s="117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109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36" t="n"/>
      <c r="I241" s="501" t="n"/>
      <c r="J241" s="501" t="n"/>
    </row>
    <row r="242" ht="15.9" customFormat="1" customHeight="1" s="278">
      <c r="A242" s="109" t="n"/>
      <c r="B242" s="278" t="n"/>
      <c r="D242" s="161" t="n"/>
      <c r="E242" s="109" t="n"/>
      <c r="F242" s="161" t="n"/>
      <c r="G242" s="109" t="n"/>
      <c r="H242" s="109" t="n"/>
      <c r="I242" s="109" t="n"/>
      <c r="J242" s="501" t="n"/>
    </row>
    <row r="243" ht="15.9" customFormat="1" customHeight="1" s="278">
      <c r="A243" s="109" t="n"/>
      <c r="B243" s="278" t="n"/>
      <c r="C243" s="89" t="inlineStr">
        <is>
          <t xml:space="preserve">                          Sill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.9" customFormat="1" customHeight="1" s="278">
      <c r="A244" s="109" t="n"/>
      <c r="B244" s="278" t="n"/>
      <c r="C244" s="328" t="inlineStr">
        <is>
          <t xml:space="preserve">                          = Frame Width -60.00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" customFormat="1" customHeight="1" s="278">
      <c r="A245" s="109" t="n"/>
      <c r="B245" s="278" t="n"/>
      <c r="C245" s="542" t="inlineStr">
        <is>
          <t xml:space="preserve">                          ความกว้าง(วงกบ) - 60.00</t>
        </is>
      </c>
      <c r="D245" s="161" t="n"/>
      <c r="E245" s="109" t="n"/>
      <c r="F245" s="161" t="n"/>
      <c r="G245" s="109" t="n"/>
      <c r="H245" s="109" t="n"/>
      <c r="I245" s="501" t="n"/>
      <c r="J245" s="501" t="n"/>
    </row>
    <row r="246" ht="15.9" customFormat="1" customHeight="1" s="278">
      <c r="A246" s="109" t="n"/>
      <c r="B246" s="278" t="n"/>
      <c r="C246" s="656">
        <f>$I$135</f>
        <v/>
      </c>
      <c r="D246" s="161" t="n"/>
      <c r="E246" s="109" t="n"/>
      <c r="F246" s="161" t="n"/>
      <c r="G246" s="109" t="n"/>
      <c r="H246" s="109" t="n"/>
      <c r="I246" s="44" t="n"/>
      <c r="J246" s="119" t="n"/>
    </row>
    <row r="247" ht="15.9" customFormat="1" customHeight="1" s="278">
      <c r="A247" s="109" t="n"/>
      <c r="B247" s="278" t="n"/>
      <c r="C247" s="657">
        <f>$J$135</f>
        <v/>
      </c>
      <c r="D247" s="161" t="n"/>
      <c r="E247" s="109" t="n"/>
      <c r="F247" s="161" t="n"/>
      <c r="G247" s="109" t="n"/>
      <c r="H247" s="109" t="n"/>
      <c r="I247" s="32" t="n"/>
      <c r="J247" s="40" t="n"/>
    </row>
    <row r="248" ht="15.9" customFormat="1" customHeight="1" s="278">
      <c r="A248" s="109" t="n"/>
      <c r="B248" s="278" t="n"/>
      <c r="C248" s="161" t="n"/>
      <c r="D248" s="161" t="n"/>
      <c r="E248" s="109" t="n"/>
      <c r="F248" s="161" t="n"/>
      <c r="G248" s="109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4" t="n"/>
      <c r="H250" s="109" t="n"/>
      <c r="J250" s="109" t="n"/>
    </row>
    <row r="251" ht="15.9" customFormat="1" customHeight="1" s="278">
      <c r="A251" s="109" t="n"/>
      <c r="B251" s="278" t="n"/>
      <c r="C251" s="278" t="n"/>
      <c r="D251" s="161" t="n"/>
      <c r="E251" s="109" t="n"/>
      <c r="F251" s="109" t="n"/>
      <c r="G251" s="40" t="n"/>
      <c r="H251" s="109" t="n"/>
      <c r="I251" s="501" t="n"/>
      <c r="J251" s="501" t="n"/>
    </row>
    <row r="252" ht="15.9" customFormat="1" customHeight="1" s="278">
      <c r="A252" s="109" t="n"/>
      <c r="B252" s="278" t="n"/>
      <c r="D252" s="161" t="n"/>
      <c r="E252" s="109" t="n"/>
      <c r="F252" s="109" t="n"/>
      <c r="G252" s="109" t="n"/>
      <c r="H252" s="109" t="n"/>
      <c r="I252" s="501" t="n"/>
      <c r="J252" s="501" t="n"/>
    </row>
    <row r="253" ht="15.9" customFormat="1" customHeight="1" s="278">
      <c r="A253" s="44" t="n"/>
      <c r="B253" s="44" t="n"/>
      <c r="D253" s="84" t="n"/>
      <c r="E253" s="44" t="n"/>
      <c r="F253" s="44" t="n"/>
      <c r="G253" s="109" t="n"/>
      <c r="H253" s="109" t="n"/>
      <c r="I253" s="501" t="n"/>
      <c r="J253" s="501" t="n"/>
    </row>
    <row r="254" ht="15.9" customFormat="1" customHeight="1" s="278">
      <c r="A254" s="40" t="n"/>
      <c r="B254" s="40" t="n"/>
      <c r="C254" s="89" t="inlineStr">
        <is>
          <t xml:space="preserve">                          Door Stop Sill</t>
        </is>
      </c>
      <c r="D254" s="85" t="n"/>
      <c r="E254" s="40" t="n"/>
      <c r="F254" s="32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328" t="inlineStr">
        <is>
          <t xml:space="preserve">                          = Frame Width -60.00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542" t="inlineStr">
        <is>
          <t xml:space="preserve">                          ความกว้าง(วงกบ) - 60.00</t>
        </is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6">
        <f>$I$136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657">
        <f>$J$136</f>
        <v/>
      </c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78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287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161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278" t="n"/>
      <c r="D263" s="161" t="n"/>
      <c r="E263" s="109" t="n"/>
      <c r="F263" s="109" t="n"/>
      <c r="G263" s="109" t="n"/>
      <c r="I263" s="501" t="n"/>
      <c r="J263" s="501" t="n"/>
    </row>
    <row r="264" ht="15.9" customFormat="1" customHeight="1" s="278">
      <c r="A264" s="27" t="n"/>
      <c r="B264" s="278" t="n"/>
      <c r="C264" s="89" t="inlineStr">
        <is>
          <t xml:space="preserve">                          JAMB</t>
        </is>
      </c>
      <c r="D264" s="161" t="n"/>
      <c r="E264" s="109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328" t="inlineStr">
        <is>
          <t xml:space="preserve">                                  = FAME HIGHT</t>
        </is>
      </c>
      <c r="D265" s="328" t="n"/>
      <c r="E265" s="328" t="n"/>
      <c r="F265" s="109" t="n"/>
      <c r="G265" s="109" t="n"/>
      <c r="H265" s="109" t="n"/>
      <c r="I265" s="501" t="n"/>
      <c r="J265" s="501" t="n"/>
    </row>
    <row r="266" ht="15.9" customFormat="1" customHeight="1" s="278">
      <c r="A266" s="27" t="n"/>
      <c r="B266" s="278" t="n"/>
      <c r="C266" s="542" t="inlineStr">
        <is>
          <t xml:space="preserve">                          ความสูง (วงกบ)</t>
        </is>
      </c>
      <c r="D266" s="542" t="n"/>
      <c r="E266" s="542" t="n"/>
      <c r="F266" s="109" t="n"/>
      <c r="G266" s="109" t="n"/>
      <c r="H266" s="109" t="n"/>
      <c r="J266" s="109" t="n"/>
    </row>
    <row r="267" ht="15.9" customFormat="1" customHeight="1" s="278">
      <c r="A267" s="27" t="n"/>
      <c r="B267" s="278" t="n"/>
      <c r="C267" s="656">
        <f>$I$137</f>
        <v/>
      </c>
      <c r="D267" s="161" t="n"/>
      <c r="E267" s="109" t="n"/>
      <c r="F267" s="109" t="n"/>
      <c r="G267" s="278" t="n"/>
      <c r="H267" s="278" t="n"/>
      <c r="J267" s="109" t="n"/>
    </row>
    <row r="268" ht="15.9" customFormat="1" customHeight="1" s="278">
      <c r="A268" s="27" t="n"/>
      <c r="B268" s="278" t="n"/>
      <c r="C268" s="657">
        <f>$J$137+$J$138</f>
        <v/>
      </c>
      <c r="D268" s="161" t="n"/>
      <c r="E268" s="10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B270" s="278" t="n"/>
      <c r="D270" s="89" t="n"/>
      <c r="E270" s="89" t="n"/>
      <c r="F270" s="109" t="n"/>
      <c r="G270" s="109" t="n"/>
      <c r="H270" s="109" t="n"/>
      <c r="J270" s="109" t="n"/>
    </row>
    <row r="271" ht="15.9" customFormat="1" customHeight="1" s="278">
      <c r="A271" s="27" t="n"/>
      <c r="D271" s="328" t="n"/>
      <c r="E271" s="328" t="n"/>
      <c r="F271" s="109" t="n"/>
      <c r="G271" s="109" t="n"/>
      <c r="H271" s="109" t="n"/>
      <c r="J271" s="109" t="n"/>
    </row>
    <row r="272" ht="15.9" customFormat="1" customHeight="1" s="278">
      <c r="A272" s="27" t="n"/>
      <c r="B272" s="278" t="n"/>
      <c r="D272" s="328" t="n"/>
      <c r="E272" s="328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278" t="n"/>
      <c r="D273" s="161" t="n"/>
      <c r="E273" s="109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89" t="inlineStr">
        <is>
          <t xml:space="preserve">                          Door Stop Jamb</t>
        </is>
      </c>
      <c r="D274" s="162" t="n"/>
      <c r="E274" s="501" t="n"/>
      <c r="F274" s="109" t="n"/>
      <c r="G274" s="109" t="n"/>
      <c r="I274" s="501" t="n"/>
      <c r="J274" s="501" t="n"/>
    </row>
    <row r="275" ht="15.9" customFormat="1" customHeight="1" s="278">
      <c r="A275" s="27" t="n"/>
      <c r="B275" s="278" t="n"/>
      <c r="C275" s="328" t="inlineStr">
        <is>
          <t xml:space="preserve">                          = FAME HIGHT - 96</t>
        </is>
      </c>
      <c r="D275" s="328" t="n"/>
      <c r="E275" s="328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542" t="inlineStr">
        <is>
          <t xml:space="preserve">                          ความสูง (วงกบ) - 96</t>
        </is>
      </c>
      <c r="D276" s="542" t="n"/>
      <c r="E276" s="542" t="n"/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6">
        <f>$I$139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C278" s="657">
        <f>$J$139+$J$140</f>
        <v/>
      </c>
      <c r="F278" s="109" t="n"/>
      <c r="G278" s="109" t="n"/>
      <c r="I278" s="109" t="n"/>
      <c r="J278" s="501" t="n"/>
    </row>
    <row r="279" ht="15.9" customFormat="1" customHeight="1" s="278">
      <c r="A279" s="27" t="n"/>
      <c r="B279" s="278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C280" s="278" t="n"/>
      <c r="D280" s="161" t="n"/>
      <c r="E280" s="109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J281" s="109" t="n"/>
    </row>
    <row r="282" ht="15.9" customFormat="1" customHeight="1" s="278">
      <c r="A282" s="27" t="n"/>
      <c r="B282" s="278" t="n"/>
      <c r="F282" s="109" t="n"/>
      <c r="G282" s="109" t="n"/>
      <c r="H282" s="109" t="n"/>
      <c r="I282" s="162" t="n"/>
      <c r="J282" s="501" t="n"/>
    </row>
    <row r="283" ht="15.9" customFormat="1" customHeight="1" s="278">
      <c r="A283" s="27" t="n"/>
      <c r="B283" s="278" t="n"/>
      <c r="C283" s="89" t="inlineStr">
        <is>
          <t xml:space="preserve">                          Sash</t>
        </is>
      </c>
      <c r="F283" s="109" t="n"/>
      <c r="G283" s="109" t="n"/>
      <c r="H283" s="109" t="n"/>
      <c r="I283" s="109" t="n"/>
      <c r="J283" s="501" t="n"/>
    </row>
    <row r="284" ht="15.9" customFormat="1" customHeight="1" s="278">
      <c r="A284" s="27" t="n"/>
      <c r="B284" s="278" t="n"/>
      <c r="C284" s="94" t="inlineStr">
        <is>
          <t xml:space="preserve">                          = ((Frame Width - 185-(113.25 × 13))/14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542" t="inlineStr">
        <is>
          <t xml:space="preserve">                          ((ความกว้างวงกบ - 185-(113.25 × 13))/14</t>
        </is>
      </c>
      <c r="D285" s="161" t="n"/>
      <c r="E285" s="109" t="n"/>
      <c r="F285" s="109" t="n"/>
      <c r="G285" s="109" t="n"/>
      <c r="H285" s="109" t="n"/>
      <c r="I285" s="501" t="n"/>
      <c r="J285" s="501" t="n"/>
    </row>
    <row r="286" ht="15.9" customFormat="1" customHeight="1" s="278">
      <c r="A286" s="27" t="n"/>
      <c r="B286" s="278" t="n"/>
      <c r="C286" s="328" t="inlineStr">
        <is>
          <t xml:space="preserve">                          = FAME HIGHT - 92.00</t>
        </is>
      </c>
      <c r="D286" s="328" t="n"/>
      <c r="E286" s="328" t="n"/>
      <c r="F286" s="109" t="n"/>
      <c r="G286" s="109" t="n"/>
      <c r="I286" s="501" t="n"/>
      <c r="J286" s="501" t="n"/>
    </row>
    <row r="287" ht="15.9" customFormat="1" customHeight="1" s="23">
      <c r="A287" s="27" t="n"/>
      <c r="B287" s="278" t="n"/>
      <c r="C287" s="542" t="inlineStr">
        <is>
          <t xml:space="preserve">                          ความสูง (วงกบ) - 92.00</t>
        </is>
      </c>
      <c r="D287" s="542" t="n"/>
      <c r="E287" s="542" t="n"/>
      <c r="F287" s="109" t="n"/>
      <c r="G287" s="109" t="n"/>
      <c r="H287" s="278" t="n"/>
      <c r="I287" s="109" t="n"/>
      <c r="J287" s="109" t="n"/>
    </row>
    <row r="288" ht="15.9" customFormat="1" customHeight="1" s="278">
      <c r="A288" s="27" t="n"/>
      <c r="B288" s="278" t="n"/>
      <c r="C288" s="656">
        <f>$I$141</f>
        <v/>
      </c>
      <c r="F288" s="109" t="n"/>
      <c r="G288" s="109" t="n"/>
      <c r="I288" s="44" t="n"/>
      <c r="J288" s="119" t="n"/>
    </row>
    <row r="289" ht="15.9" customFormat="1" customHeight="1" s="278">
      <c r="A289" s="27" t="n"/>
      <c r="B289" s="278" t="n"/>
      <c r="C289" s="657">
        <f>$J$141+$J$142</f>
        <v/>
      </c>
      <c r="D289" s="161" t="n"/>
      <c r="E289" s="109" t="n"/>
      <c r="F289" s="109" t="n"/>
      <c r="G289" s="109" t="n"/>
      <c r="H289" s="161" t="n"/>
      <c r="I289" s="32" t="n"/>
      <c r="J289" s="40" t="n"/>
    </row>
    <row r="290" ht="15.9" customFormat="1" customHeight="1" s="278">
      <c r="A290" s="27" t="n"/>
      <c r="B290" s="278" t="n"/>
      <c r="C290" s="656">
        <f>$I$143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657">
        <f>$J$143+$J$144+$J$145+$J$146</f>
        <v/>
      </c>
      <c r="D291" s="161" t="n"/>
      <c r="E291" s="109" t="n"/>
      <c r="F291" s="109" t="n"/>
      <c r="G291" s="109" t="n"/>
      <c r="H291" s="109" t="n"/>
      <c r="I291" s="501" t="n"/>
      <c r="J291" s="501" t="n"/>
    </row>
    <row r="292" ht="15.9" customFormat="1" customHeight="1" s="278">
      <c r="A292" s="27" t="n"/>
      <c r="B292" s="278" t="n"/>
      <c r="C292" s="278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23" t="n"/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89" t="inlineStr">
        <is>
          <t xml:space="preserve">                          Glazing Bead</t>
        </is>
      </c>
      <c r="D294" s="161" t="n"/>
      <c r="E294" s="109" t="n"/>
      <c r="F294" s="109" t="n"/>
      <c r="G294" s="109" t="n"/>
      <c r="H294" s="109" t="n"/>
      <c r="I294" s="109" t="n"/>
      <c r="J294" s="501" t="n"/>
    </row>
    <row r="295" ht="15.9" customFormat="1" customHeight="1" s="278">
      <c r="A295" s="27" t="n"/>
      <c r="B295" s="278" t="n"/>
      <c r="C295" s="94" t="inlineStr">
        <is>
          <t xml:space="preserve">                          = ((Frame Width - 185-(113.25 × 13))/14</t>
        </is>
      </c>
      <c r="D295" s="161" t="n"/>
      <c r="E295" s="109" t="n"/>
      <c r="F295" s="109" t="n"/>
      <c r="G295" s="44" t="n"/>
      <c r="H295" s="44" t="n"/>
      <c r="I295" s="109" t="n"/>
      <c r="J295" s="501" t="n"/>
    </row>
    <row r="296" ht="15.9" customFormat="1" customHeight="1" s="278">
      <c r="A296" s="27" t="n"/>
      <c r="B296" s="278" t="n"/>
      <c r="C296" s="542" t="inlineStr">
        <is>
          <t xml:space="preserve">                          ((ความกว้างวงกบ - 185-(113.25 × 13))/14</t>
        </is>
      </c>
      <c r="D296" s="328" t="n"/>
      <c r="E296" s="328" t="n"/>
      <c r="F296" s="109" t="n"/>
      <c r="G296" s="40" t="n"/>
      <c r="H296" s="32" t="n"/>
      <c r="I296" s="109" t="n"/>
      <c r="J296" s="501" t="n"/>
    </row>
    <row r="297" ht="15.9" customFormat="1" customHeight="1" s="278">
      <c r="A297" s="101" t="n"/>
      <c r="B297" s="278" t="n"/>
      <c r="C297" s="328" t="inlineStr">
        <is>
          <t xml:space="preserve">                          = FAME HIGHT - 242.00</t>
        </is>
      </c>
      <c r="D297" s="542" t="n"/>
      <c r="E297" s="542" t="n"/>
      <c r="F297" s="109" t="n"/>
      <c r="G297" s="109" t="n"/>
      <c r="H297" s="109" t="n"/>
      <c r="I297" s="109" t="n"/>
      <c r="J297" s="501" t="n"/>
    </row>
    <row r="298" ht="15.9" customFormat="1" customHeight="1" s="278">
      <c r="A298" s="44" t="n"/>
      <c r="B298" s="44" t="n"/>
      <c r="C298" s="542" t="inlineStr">
        <is>
          <t xml:space="preserve">                          ความสูง (วงกบ) - 242.00</t>
        </is>
      </c>
      <c r="D298" s="86" t="n"/>
      <c r="E298" s="79" t="n"/>
      <c r="F298" s="44" t="n"/>
      <c r="G298" s="109" t="n"/>
      <c r="H298" s="109" t="n"/>
      <c r="I298" s="109" t="n"/>
      <c r="J298" s="501" t="n"/>
    </row>
    <row r="299" ht="15.9" customFormat="1" customHeight="1" s="278">
      <c r="A299" s="40" t="n"/>
      <c r="B299" s="40" t="n"/>
      <c r="C299" s="656">
        <f>$I$147</f>
        <v/>
      </c>
      <c r="D299" s="87" t="n"/>
      <c r="E299" s="80" t="n"/>
      <c r="F299" s="32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7">
        <f>$J$147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6">
        <f>$I$148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C302" s="657">
        <f>$J$148</f>
        <v/>
      </c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D305" s="161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89" t="inlineStr">
        <is>
          <t xml:space="preserve">                          Sash Stop</t>
        </is>
      </c>
      <c r="D306" s="161" t="n"/>
      <c r="E306" s="109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328" t="inlineStr">
        <is>
          <t xml:space="preserve">                          = FAME HIGHT - 92.00</t>
        </is>
      </c>
      <c r="D307" s="328" t="n"/>
      <c r="E307" s="328" t="n"/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542" t="inlineStr">
        <is>
          <t xml:space="preserve">                          ความสูง (วงกบ) - 92.00</t>
        </is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6">
        <f>$I$149</f>
        <v/>
      </c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657">
        <f>$J$149+$J$150</f>
        <v/>
      </c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C312" s="328" t="n"/>
      <c r="D312" s="328" t="n"/>
      <c r="E312" s="328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109" t="n"/>
      <c r="B313" s="278" t="n"/>
      <c r="D313" s="161" t="n"/>
      <c r="F313" s="109" t="n"/>
      <c r="G313" s="109" t="n"/>
      <c r="H313" s="109" t="n"/>
      <c r="I313" s="109" t="n"/>
      <c r="J313" s="501" t="n"/>
    </row>
    <row r="314" ht="15.9" customFormat="1" customHeight="1" s="278">
      <c r="A314" s="27" t="n"/>
      <c r="B314" s="278" t="n"/>
      <c r="D314" s="162" t="n"/>
      <c r="E314" s="501" t="n"/>
      <c r="F314" s="109" t="n"/>
      <c r="G314" s="109" t="n"/>
      <c r="H314" s="109" t="n"/>
      <c r="I314" s="27" t="n"/>
      <c r="J314" s="99">
        <f>LEFT($J$111,14)&amp;"-03"</f>
        <v/>
      </c>
    </row>
    <row r="315" ht="12.75" customHeight="1" s="344">
      <c r="A315" s="109" t="n"/>
      <c r="B315" s="406" t="n"/>
      <c r="C315" s="406" t="n"/>
      <c r="D315" s="83" t="n"/>
      <c r="E315" s="27" t="n"/>
      <c r="F315" s="27" t="n"/>
      <c r="G315" s="27" t="n"/>
      <c r="H315" s="27" t="n"/>
      <c r="I315" s="179" t="n"/>
      <c r="J315" s="179" t="n"/>
    </row>
    <row r="316" ht="30" customHeight="1" s="344">
      <c r="I316" s="95" t="n"/>
      <c r="J316" s="90">
        <f>$J$2</f>
        <v/>
      </c>
      <c r="K316" s="35" t="n"/>
      <c r="L316" s="35" t="n"/>
      <c r="M316" s="2" t="n"/>
      <c r="N316" s="2" t="n"/>
    </row>
    <row r="317" ht="24.9" customHeight="1" s="344">
      <c r="C317" s="5" t="n"/>
      <c r="D317" s="95" t="n"/>
      <c r="E317" s="95" t="n"/>
      <c r="F317" s="95" t="n"/>
      <c r="G317" s="95" t="n"/>
      <c r="H317" s="95" t="n"/>
      <c r="I317" s="28" t="n"/>
      <c r="J317" s="91">
        <f>$J$3</f>
        <v/>
      </c>
      <c r="K317" s="35" t="n"/>
      <c r="L317" s="35" t="n"/>
      <c r="M317" s="2" t="n"/>
      <c r="N317" s="2" t="n"/>
    </row>
    <row r="318" ht="24.9" customHeight="1" s="344">
      <c r="C318" s="28" t="n"/>
      <c r="D318" s="28" t="n"/>
      <c r="E318" s="28" t="n"/>
      <c r="F318" s="28" t="n"/>
      <c r="G318" s="28" t="n"/>
      <c r="H318" s="28" t="n"/>
      <c r="I318" s="28" t="n"/>
      <c r="J318" s="91">
        <f>$J$4</f>
        <v/>
      </c>
      <c r="M318" s="4" t="n"/>
      <c r="N318" s="4" t="n"/>
    </row>
    <row r="319" ht="15" customFormat="1" customHeight="1" s="278" thickBot="1">
      <c r="A319" s="78" t="n"/>
      <c r="B319" s="72" t="n"/>
      <c r="C319" s="28" t="n"/>
      <c r="D319" s="28" t="n"/>
      <c r="E319" s="28" t="n"/>
      <c r="F319" s="28" t="n"/>
      <c r="G319" s="28" t="n"/>
      <c r="H319" s="28" t="n"/>
      <c r="I319" s="78" t="n"/>
      <c r="J319" s="113" t="n"/>
      <c r="K319" s="4" t="n"/>
      <c r="L319" s="4" t="n"/>
      <c r="M319" s="4" t="n"/>
      <c r="N319" s="4" t="n"/>
    </row>
    <row r="320" ht="24.9" customHeight="1" s="344" thickBot="1">
      <c r="A320" s="633" t="inlineStr">
        <is>
          <t>OUTSIDE FRAME ASSEMBLY</t>
        </is>
      </c>
      <c r="B320" s="634" t="n"/>
      <c r="C320" s="634" t="n"/>
      <c r="D320" s="634" t="n"/>
      <c r="E320" s="634" t="n"/>
      <c r="F320" s="634" t="n"/>
      <c r="G320" s="634" t="n"/>
      <c r="H320" s="634" t="n"/>
      <c r="I320" s="634" t="n"/>
      <c r="J320" s="635" t="n"/>
      <c r="K320" s="4" t="n"/>
      <c r="L320" s="4" t="n"/>
      <c r="M320" s="4" t="n"/>
      <c r="N320" s="4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278" t="n"/>
      <c r="D325" s="161" t="n"/>
      <c r="E325" s="35" t="n"/>
      <c r="F325" s="161" t="n"/>
      <c r="G325" s="94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35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109" t="n"/>
      <c r="F327" s="161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3" t="n"/>
      <c r="G328" s="109" t="n"/>
      <c r="H328" s="94" t="n"/>
      <c r="I328" s="109" t="n"/>
      <c r="J328" s="109" t="n"/>
    </row>
    <row r="329" ht="15" customFormat="1" customHeight="1" s="278">
      <c r="A329" s="109" t="n"/>
      <c r="B329" s="278" t="n"/>
      <c r="C329" s="161" t="n"/>
      <c r="D329" s="161" t="n"/>
      <c r="E329" s="35" t="n"/>
      <c r="F329" s="161" t="n"/>
      <c r="G329" s="109" t="n"/>
      <c r="H329" s="94" t="n"/>
      <c r="I329" s="93" t="n"/>
      <c r="J329" s="109" t="n"/>
    </row>
    <row r="330" ht="15" customFormat="1" customHeight="1" s="278">
      <c r="A330" s="72" t="n"/>
      <c r="B330" s="278" t="n"/>
      <c r="C330" s="93" t="n"/>
      <c r="D330" s="161" t="n"/>
      <c r="E330" s="109" t="n"/>
      <c r="F330" s="505" t="n"/>
      <c r="H330" s="507" t="n"/>
      <c r="I330" s="163" t="n"/>
      <c r="J330" s="109" t="n"/>
    </row>
    <row r="331" ht="15" customFormat="1" customHeight="1" s="278">
      <c r="A331" s="532" t="n"/>
      <c r="B331" s="72" t="n"/>
      <c r="C331" s="163" t="n"/>
      <c r="D331" s="161" t="n"/>
      <c r="E331" s="109" t="n"/>
      <c r="F331" s="507" t="n"/>
      <c r="H331" s="507" t="n"/>
      <c r="I331" s="161" t="n"/>
      <c r="J331" s="109" t="n"/>
    </row>
    <row r="332" ht="15" customFormat="1" customHeight="1" s="278">
      <c r="A332" s="64">
        <f>A18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" customFormat="1" customHeight="1" s="278">
      <c r="A333" s="76">
        <f>A19</f>
        <v/>
      </c>
      <c r="B333" s="532" t="n"/>
      <c r="C333" s="161" t="n"/>
      <c r="D333" s="161" t="n"/>
      <c r="E333" s="109" t="n"/>
      <c r="F333" s="507" t="n"/>
      <c r="G333" s="507" t="n"/>
      <c r="H333" s="507" t="n"/>
      <c r="I333" s="109" t="n"/>
      <c r="J333" s="109" t="n"/>
    </row>
    <row r="334" ht="15.9" customFormat="1" customHeight="1" s="278">
      <c r="A334" s="109" t="n"/>
      <c r="B334" s="63" t="n"/>
      <c r="C334" s="93" t="n"/>
      <c r="D334" s="161" t="n"/>
      <c r="E334" s="109" t="n"/>
      <c r="F334" s="507" t="n"/>
      <c r="H334" s="507" t="n"/>
      <c r="I334" s="109" t="n"/>
      <c r="J334" s="109" t="n"/>
    </row>
    <row r="335" ht="15.9" customFormat="1" customHeight="1" s="278">
      <c r="A335" s="72" t="n"/>
      <c r="B335" s="109" t="n"/>
      <c r="C335" s="161" t="n"/>
      <c r="D335" s="161" t="n"/>
      <c r="E335" s="109" t="n"/>
      <c r="F335" s="37" t="n"/>
      <c r="G335" s="278" t="n"/>
      <c r="H335" s="109" t="n"/>
      <c r="I335" s="109" t="n"/>
      <c r="J335" s="109" t="n"/>
    </row>
    <row r="336" ht="15.9" customFormat="1" customHeight="1" s="278">
      <c r="A336" s="44" t="n"/>
      <c r="C336" s="43" t="n"/>
      <c r="D336" s="161" t="n"/>
      <c r="E336" s="109" t="n"/>
      <c r="F336" s="109" t="n"/>
      <c r="G336" s="109" t="n"/>
      <c r="H336" s="109" t="n"/>
      <c r="I336" s="44" t="n"/>
      <c r="J336" s="119" t="n"/>
    </row>
    <row r="337" ht="15.9" customFormat="1" customHeight="1" s="278">
      <c r="A337" s="40" t="n"/>
      <c r="C337" s="44" t="n"/>
      <c r="D337" s="84" t="n"/>
      <c r="E337" s="44" t="n"/>
      <c r="F337" s="44" t="n"/>
      <c r="G337" s="44" t="n"/>
      <c r="H337" s="44" t="n"/>
      <c r="I337" s="32" t="n"/>
      <c r="J337" s="40" t="n"/>
    </row>
    <row r="338" ht="15.9" customFormat="1" customHeight="1" s="278">
      <c r="A338" s="109" t="n"/>
      <c r="C338" s="161" t="n"/>
      <c r="D338" s="85" t="n"/>
      <c r="E338" s="40" t="n"/>
      <c r="F338" s="32" t="n"/>
      <c r="G338" s="40" t="n"/>
      <c r="H338" s="32" t="n"/>
      <c r="I338" s="501" t="n"/>
      <c r="J338" s="501" t="n"/>
    </row>
    <row r="339" ht="15.9" customFormat="1" customHeight="1" s="278">
      <c r="A339" s="109" t="n"/>
      <c r="C339" s="163" t="n"/>
      <c r="D339" s="161" t="n"/>
      <c r="E339" s="109" t="n"/>
      <c r="F339" s="161" t="n"/>
      <c r="G339" s="109" t="n"/>
      <c r="H339" s="109" t="n"/>
      <c r="I339" s="501" t="n"/>
      <c r="J339" s="501" t="n"/>
    </row>
    <row r="340" ht="15.9" customFormat="1" customHeight="1" s="278">
      <c r="A340" s="109" t="n"/>
      <c r="B340" s="278" t="n"/>
      <c r="C340" s="161" t="n"/>
      <c r="D340" s="161" t="n"/>
      <c r="E340" s="109" t="n"/>
      <c r="F340" s="161" t="n"/>
      <c r="G340" s="109" t="n"/>
      <c r="H340" s="109" t="n"/>
      <c r="I340" s="162" t="n"/>
      <c r="J340" s="162" t="n"/>
    </row>
    <row r="341" ht="15.9" customFormat="1" customHeight="1" s="278">
      <c r="A341" s="109" t="n"/>
      <c r="B341" s="278" t="n"/>
      <c r="C341" s="44" t="n"/>
      <c r="D341" s="161" t="n"/>
      <c r="E341" s="109" t="n"/>
      <c r="F341" s="161" t="n"/>
      <c r="G341" s="109" t="n"/>
      <c r="H341" s="162" t="n"/>
      <c r="I341" s="161" t="n"/>
      <c r="J341" s="161" t="n"/>
    </row>
    <row r="342" ht="15.9" customFormat="1" customHeight="1" s="278">
      <c r="A342" s="109" t="n"/>
      <c r="B342" s="278" t="n"/>
      <c r="C342" s="93" t="n"/>
      <c r="D342" s="161" t="n"/>
      <c r="E342" s="109" t="n"/>
      <c r="F342" s="161" t="n"/>
      <c r="G342" s="109" t="n"/>
      <c r="H342" s="161" t="n"/>
      <c r="I342" s="161" t="n"/>
      <c r="J342" s="161" t="n"/>
    </row>
    <row r="343" ht="15.9" customFormat="1" customHeight="1" s="278">
      <c r="A343" s="109" t="n"/>
      <c r="B343" s="278" t="n"/>
      <c r="C343" s="163" t="n"/>
      <c r="D343" s="161" t="n"/>
      <c r="E343" s="109" t="n"/>
      <c r="F343" s="161" t="n"/>
      <c r="G343" s="109" t="n"/>
      <c r="H343" s="161" t="n"/>
      <c r="I343" s="109" t="n"/>
      <c r="J343" s="501" t="n"/>
    </row>
    <row r="344" ht="15.9" customFormat="1" customHeight="1" s="278">
      <c r="A344" s="109" t="n"/>
      <c r="B344" s="278" t="n"/>
      <c r="C344" s="161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278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44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1" t="n"/>
      <c r="D349" s="161" t="n"/>
      <c r="E349" s="109" t="n"/>
      <c r="F349" s="161" t="n"/>
      <c r="G349" s="109" t="n"/>
      <c r="H349" s="109" t="n"/>
      <c r="I349" s="501" t="n"/>
      <c r="J349" s="501" t="n"/>
    </row>
    <row r="350" ht="15.9" customFormat="1" customHeight="1" s="278">
      <c r="A350" s="109" t="n"/>
      <c r="B350" s="278" t="n"/>
      <c r="C350" s="163" t="n"/>
      <c r="D350" s="161" t="n"/>
      <c r="E350" s="109" t="n"/>
      <c r="F350" s="161" t="n"/>
      <c r="G350" s="109" t="n"/>
      <c r="H350" s="109" t="n"/>
      <c r="I350" s="109" t="n"/>
      <c r="J350" s="501" t="n"/>
    </row>
    <row r="351" ht="15.9" customFormat="1" customHeight="1" s="278">
      <c r="A351" s="109" t="n"/>
      <c r="B351" s="278" t="n"/>
      <c r="C351" s="161" t="n"/>
      <c r="D351" s="161" t="n"/>
      <c r="E351" s="109" t="n"/>
      <c r="F351" s="161" t="n"/>
      <c r="G351" s="109" t="n"/>
      <c r="H351" s="109" t="n"/>
      <c r="I351" s="501" t="n"/>
      <c r="J351" s="501" t="n"/>
    </row>
    <row r="352" ht="15.9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9" t="n"/>
      <c r="I352" s="501" t="n"/>
      <c r="J352" s="501" t="n"/>
    </row>
    <row r="353" ht="15" customFormat="1" customHeight="1" s="278">
      <c r="A353" s="109" t="n"/>
      <c r="B353" s="278" t="n"/>
      <c r="C353" s="278" t="n"/>
      <c r="D353" s="161" t="n"/>
      <c r="E353" s="109" t="n"/>
      <c r="F353" s="109" t="n"/>
      <c r="G353" s="109" t="n"/>
      <c r="H353" s="107" t="n"/>
      <c r="I353" s="501" t="n"/>
      <c r="J353" s="501" t="n"/>
    </row>
    <row r="354" ht="15.9" customFormat="1" customHeight="1" s="23">
      <c r="A354" s="109" t="n"/>
      <c r="B354" s="278" t="n"/>
      <c r="C354" s="278" t="n"/>
      <c r="D354" s="161" t="n"/>
      <c r="E354" s="109" t="n"/>
      <c r="F354" s="109" t="n"/>
      <c r="G354" s="109" t="n"/>
      <c r="H354" s="109" t="n"/>
      <c r="I354" s="109" t="n"/>
      <c r="J354" s="109" t="n"/>
    </row>
    <row r="355" ht="15.9" customFormat="1" customHeight="1" s="278">
      <c r="A355" s="44" t="n"/>
      <c r="B355" s="278" t="n"/>
      <c r="C355" s="278" t="n"/>
      <c r="D355" s="161" t="n"/>
      <c r="E355" s="109" t="n"/>
      <c r="F355" s="109" t="n"/>
      <c r="G355" s="109" t="n"/>
      <c r="H355" s="109" t="n"/>
      <c r="I355" s="44" t="n"/>
      <c r="J355" s="119" t="n"/>
    </row>
    <row r="356" ht="15.9" customFormat="1" customHeight="1" s="278">
      <c r="A356" s="40" t="n"/>
      <c r="B356" s="44" t="n"/>
      <c r="C356" s="44" t="n"/>
      <c r="D356" s="84" t="n"/>
      <c r="E356" s="44" t="n"/>
      <c r="F356" s="44" t="n"/>
      <c r="G356" s="44" t="n"/>
      <c r="H356" s="44" t="n"/>
      <c r="I356" s="32" t="n"/>
      <c r="J356" s="40" t="n"/>
    </row>
    <row r="357" ht="15.9" customFormat="1" customHeight="1" s="278">
      <c r="A357" s="27" t="n"/>
      <c r="B357" s="40" t="n"/>
      <c r="C357" s="44" t="n"/>
      <c r="D357" s="85" t="n"/>
      <c r="E357" s="40" t="n"/>
      <c r="F357" s="32" t="n"/>
      <c r="G357" s="40" t="n"/>
      <c r="H357" s="32" t="n"/>
      <c r="I357" s="501" t="n"/>
      <c r="J357" s="501" t="n"/>
    </row>
    <row r="358" ht="15.9" customFormat="1" customHeight="1" s="278">
      <c r="A358" s="27" t="n"/>
      <c r="B358" s="278" t="n"/>
      <c r="C358" s="93" t="n"/>
      <c r="D358" s="161" t="n"/>
      <c r="E358" s="109" t="n"/>
      <c r="F358" s="109" t="n"/>
      <c r="G358" s="109" t="n"/>
      <c r="H358" s="93" t="n"/>
      <c r="I358" s="163" t="n"/>
      <c r="J358" s="163" t="n"/>
    </row>
    <row r="359" ht="15.9" customFormat="1" customHeight="1" s="278">
      <c r="A359" s="27" t="n"/>
      <c r="B359" s="278" t="n"/>
      <c r="C359" s="163" t="n"/>
      <c r="D359" s="161" t="n"/>
      <c r="E359" s="109" t="n"/>
      <c r="F359" s="109" t="n"/>
      <c r="G359" s="109" t="n"/>
      <c r="H359" s="163" t="n"/>
      <c r="I359" s="161" t="n"/>
      <c r="J359" s="161" t="n"/>
    </row>
    <row r="360" ht="15.9" customFormat="1" customHeight="1" s="278">
      <c r="A360" s="27" t="n"/>
      <c r="B360" s="278" t="n"/>
      <c r="C360" s="161" t="n"/>
      <c r="D360" s="161" t="n"/>
      <c r="E360" s="109" t="n"/>
      <c r="F360" s="109" t="n"/>
      <c r="G360" s="109" t="n"/>
      <c r="H360" s="161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78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287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161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B368" s="278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B371" s="278" t="n"/>
      <c r="C371" s="278" t="n"/>
      <c r="D371" s="161" t="n"/>
      <c r="E371" s="109" t="n"/>
      <c r="F371" s="109" t="n"/>
      <c r="G371" s="109" t="n"/>
      <c r="H371" s="109" t="n"/>
      <c r="I371" s="501" t="n"/>
      <c r="J371" s="501" t="n"/>
    </row>
    <row r="372" ht="15.9" customFormat="1" customHeight="1" s="278">
      <c r="A372" s="27" t="n"/>
      <c r="D372" s="161" t="n"/>
      <c r="E372" s="109" t="n"/>
      <c r="F372" s="109" t="n"/>
      <c r="G372" s="278" t="n"/>
      <c r="H372" s="278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109" t="n"/>
      <c r="I375" s="501" t="n"/>
      <c r="J375" s="501" t="n"/>
    </row>
    <row r="376" ht="15.9" customFormat="1" customHeight="1" s="278">
      <c r="A376" s="27" t="n"/>
      <c r="B376" s="278" t="n"/>
      <c r="C376" s="278" t="n"/>
      <c r="D376" s="161" t="n"/>
      <c r="E376" s="109" t="n"/>
      <c r="F376" s="109" t="n"/>
      <c r="G376" s="109" t="n"/>
      <c r="H376" s="93" t="n"/>
      <c r="I376" s="163" t="n"/>
      <c r="J376" s="163" t="n"/>
    </row>
    <row r="377" ht="15.9" customFormat="1" customHeight="1" s="278">
      <c r="A377" s="27" t="n"/>
      <c r="B377" s="278" t="n"/>
      <c r="C377" s="63" t="n"/>
      <c r="D377" s="161" t="n"/>
      <c r="E377" s="109" t="n"/>
      <c r="F377" s="109" t="n"/>
      <c r="G377" s="109" t="n"/>
      <c r="H377" s="163" t="n"/>
      <c r="I377" s="161" t="n"/>
      <c r="J377" s="161" t="n"/>
    </row>
    <row r="378" ht="15.9" customFormat="1" customHeight="1" s="278">
      <c r="A378" s="27" t="n"/>
      <c r="B378" s="278" t="n"/>
      <c r="C378" s="287" t="n"/>
      <c r="D378" s="161" t="n"/>
      <c r="E378" s="109" t="n"/>
      <c r="F378" s="109" t="n"/>
      <c r="G378" s="109" t="n"/>
      <c r="H378" s="161" t="n"/>
      <c r="I378" s="501" t="n"/>
      <c r="J378" s="501" t="n"/>
    </row>
    <row r="379" ht="15.9" customFormat="1" customHeight="1" s="278">
      <c r="A379" s="27" t="n"/>
      <c r="B379" s="278" t="n"/>
      <c r="C379" s="161" t="n"/>
      <c r="D379" s="161" t="n"/>
      <c r="E379" s="109" t="n"/>
      <c r="F379" s="109" t="n"/>
      <c r="G379" s="109" t="n"/>
      <c r="H379" s="93" t="n"/>
      <c r="I379" s="163" t="n"/>
      <c r="J379" s="163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3" t="n"/>
      <c r="I380" s="161" t="n"/>
      <c r="J380" s="16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61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501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09" t="n"/>
      <c r="J387" s="501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09" t="n"/>
      <c r="I388" s="164" t="n"/>
      <c r="J388" s="164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164" t="n"/>
      <c r="I389" s="302" t="n"/>
      <c r="J389" s="302" t="n"/>
    </row>
    <row r="390" ht="15.9" customFormat="1" customHeight="1" s="278">
      <c r="A390" s="27" t="n"/>
      <c r="B390" s="278" t="n"/>
      <c r="C390" s="278" t="n"/>
      <c r="D390" s="161" t="n"/>
      <c r="E390" s="109" t="n"/>
      <c r="F390" s="109" t="n"/>
      <c r="G390" s="109" t="n"/>
      <c r="H390" s="302" t="n"/>
      <c r="I390" s="161" t="n"/>
      <c r="J390" s="161" t="n"/>
    </row>
    <row r="391" ht="15.9" customFormat="1" customHeight="1" s="278">
      <c r="A391" s="27" t="n"/>
      <c r="B391" s="278" t="n"/>
      <c r="C391" s="63" t="n"/>
      <c r="D391" s="161" t="n"/>
      <c r="E391" s="109" t="n"/>
      <c r="F391" s="109" t="n"/>
      <c r="G391" s="109" t="n"/>
      <c r="H391" s="161" t="n"/>
      <c r="I391" s="501" t="n"/>
      <c r="J391" s="501" t="n"/>
    </row>
    <row r="392" ht="15.9" customFormat="1" customHeight="1" s="278">
      <c r="A392" s="27" t="n"/>
      <c r="B392" s="278" t="n"/>
      <c r="C392" s="287" t="n"/>
      <c r="D392" s="161" t="n"/>
      <c r="E392" s="109" t="n"/>
      <c r="F392" s="109" t="n"/>
      <c r="G392" s="109" t="n"/>
      <c r="H392" s="109" t="n"/>
      <c r="I392" s="109" t="n"/>
      <c r="J392" s="501" t="n"/>
    </row>
    <row r="393" ht="15.9" customFormat="1" customHeight="1" s="278">
      <c r="A393" s="27" t="n"/>
      <c r="B393" s="278" t="n"/>
      <c r="C393" s="161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27" t="n"/>
      <c r="B395" s="278" t="n"/>
      <c r="C395" s="278" t="n"/>
      <c r="D395" s="161" t="n"/>
      <c r="E395" s="109" t="n"/>
      <c r="F395" s="109" t="n"/>
      <c r="G395" s="109" t="n"/>
      <c r="H395" s="109" t="n"/>
      <c r="I395" s="501" t="n"/>
      <c r="J395" s="501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78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3">
      <c r="A404" s="101" t="n"/>
      <c r="B404" s="278" t="n"/>
      <c r="C404" s="278" t="n"/>
      <c r="D404" s="161" t="n"/>
      <c r="E404" s="109" t="n"/>
      <c r="F404" s="109" t="n"/>
      <c r="G404" s="109" t="n"/>
      <c r="H404" s="109" t="n"/>
      <c r="I404" s="109" t="n"/>
      <c r="J404" s="109" t="n"/>
    </row>
    <row r="405" ht="15.9" customFormat="1" customHeight="1" s="278">
      <c r="A405" s="44" t="n"/>
      <c r="B405" s="278" t="n"/>
      <c r="C405" s="278" t="n"/>
      <c r="D405" s="161" t="n"/>
      <c r="E405" s="109" t="n"/>
      <c r="F405" s="109" t="n"/>
      <c r="G405" s="109" t="n"/>
      <c r="H405" s="109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44" t="n"/>
      <c r="B418" s="44" t="n"/>
      <c r="C418" s="44" t="n"/>
      <c r="D418" s="84" t="n"/>
      <c r="E418" s="44" t="n"/>
      <c r="F418" s="44" t="n"/>
      <c r="G418" s="44" t="n"/>
      <c r="H418" s="44" t="n"/>
      <c r="I418" s="44" t="n"/>
      <c r="J418" s="119" t="n"/>
    </row>
    <row r="419" ht="15.9" customFormat="1" customHeight="1" s="278">
      <c r="A419" s="109" t="n"/>
      <c r="B419" s="44" t="n"/>
      <c r="C419" s="44" t="n"/>
      <c r="D419" s="84" t="n"/>
      <c r="E419" s="44" t="n"/>
      <c r="F419" s="44" t="n"/>
      <c r="G419" s="44" t="n"/>
      <c r="H419" s="44" t="n"/>
      <c r="I419" s="501" t="n"/>
      <c r="J419" s="501" t="n"/>
      <c r="K419" s="71" t="n"/>
    </row>
    <row r="420" ht="15.9" customFormat="1" customHeight="1" s="278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501" t="n"/>
    </row>
    <row r="421" ht="18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99">
        <f>LEFT($J$111,14)&amp;"-04"</f>
        <v/>
      </c>
      <c r="K421" s="37" t="n"/>
      <c r="L421" s="37" t="n"/>
      <c r="M421" s="2" t="n"/>
      <c r="N421" s="2" t="n"/>
    </row>
    <row r="422" ht="12.75" customHeight="1" s="344">
      <c r="A422" s="109" t="n"/>
      <c r="B422" s="278" t="n"/>
      <c r="C422" s="278" t="n"/>
      <c r="D422" s="161" t="n"/>
      <c r="E422" s="109" t="n"/>
      <c r="F422" s="109" t="n"/>
      <c r="G422" s="109" t="n"/>
      <c r="H422" s="109" t="n"/>
      <c r="I422" s="109" t="n"/>
      <c r="J422" s="114" t="n"/>
      <c r="K422" s="37" t="n"/>
      <c r="L422" s="37" t="n"/>
      <c r="M422" s="2" t="n"/>
      <c r="N422" s="2" t="n"/>
    </row>
    <row r="423" ht="30" customHeight="1" s="344">
      <c r="B423" s="278" t="n"/>
      <c r="C423" s="278" t="n"/>
      <c r="D423" s="161" t="n"/>
      <c r="E423" s="109" t="n"/>
      <c r="F423" s="109" t="n"/>
      <c r="G423" s="109" t="n"/>
      <c r="H423" s="109" t="n"/>
      <c r="I423" s="95" t="n"/>
      <c r="J423" s="90">
        <f>J2</f>
        <v/>
      </c>
      <c r="K423" s="35" t="n"/>
      <c r="L423" s="35" t="n"/>
      <c r="M423" s="2" t="n"/>
      <c r="N423" s="2" t="n"/>
    </row>
    <row r="424" ht="24.9" customHeight="1" s="344">
      <c r="C424" s="5" t="n"/>
      <c r="D424" s="95" t="n"/>
      <c r="E424" s="95" t="n"/>
      <c r="F424" s="95" t="n"/>
      <c r="G424" s="95" t="n"/>
      <c r="H424" s="95" t="n"/>
      <c r="I424" s="28" t="n"/>
      <c r="J424" s="91">
        <f>J3</f>
        <v/>
      </c>
      <c r="K424" s="35" t="n"/>
      <c r="L424" s="35" t="n"/>
      <c r="M424" s="2" t="n"/>
      <c r="N424" s="2" t="n"/>
    </row>
    <row r="425" ht="24.9" customHeight="1" s="344">
      <c r="C425" s="28" t="n"/>
      <c r="D425" s="28" t="n"/>
      <c r="E425" s="28" t="n"/>
      <c r="F425" s="28" t="n"/>
      <c r="G425" s="28" t="n"/>
      <c r="H425" s="28" t="n"/>
      <c r="I425" s="28" t="n"/>
      <c r="J425" s="91">
        <f>J4</f>
        <v/>
      </c>
      <c r="M425" s="4" t="n"/>
      <c r="N425" s="4" t="n"/>
    </row>
    <row r="426" ht="15" customFormat="1" customHeight="1" s="278" thickBot="1">
      <c r="A426" s="78" t="n"/>
      <c r="B426" s="72" t="n"/>
      <c r="C426" s="28" t="n"/>
      <c r="D426" s="28" t="n"/>
      <c r="E426" s="28" t="n"/>
      <c r="F426" s="28" t="n"/>
      <c r="G426" s="28" t="n"/>
      <c r="H426" s="28" t="n"/>
      <c r="I426" s="78" t="n"/>
      <c r="J426" s="100" t="n"/>
      <c r="K426" s="4" t="n"/>
      <c r="L426" s="4" t="n"/>
      <c r="M426" s="4" t="n"/>
      <c r="N426" s="4" t="n"/>
    </row>
    <row r="427" ht="24.9" customFormat="1" customHeight="1" s="278" thickBot="1">
      <c r="A427" s="633" t="inlineStr">
        <is>
          <t>INSIDE SASH ASSEMBLY</t>
        </is>
      </c>
      <c r="B427" s="634" t="n"/>
      <c r="C427" s="634" t="n"/>
      <c r="D427" s="634" t="n"/>
      <c r="E427" s="634" t="n"/>
      <c r="F427" s="634" t="n"/>
      <c r="G427" s="634" t="n"/>
      <c r="H427" s="634" t="n"/>
      <c r="I427" s="634" t="n"/>
      <c r="J427" s="635" t="n"/>
      <c r="K427" s="4" t="n"/>
      <c r="L427" s="4" t="n"/>
      <c r="M427" s="4" t="n"/>
      <c r="N427" s="4" t="n"/>
    </row>
    <row r="428" ht="15" customFormat="1" customHeight="1" s="278">
      <c r="A428" s="278" t="n"/>
      <c r="B428" s="194" t="n"/>
      <c r="C428" s="194" t="n"/>
      <c r="D428" s="194" t="n"/>
      <c r="E428" s="194" t="n"/>
      <c r="F428" s="194" t="n"/>
      <c r="G428" s="194" t="n"/>
      <c r="H428" s="194" t="n"/>
      <c r="I428" s="278" t="n"/>
      <c r="K428" s="278" t="n"/>
      <c r="L428" s="278" t="n"/>
      <c r="M428" s="278" t="n"/>
      <c r="N428" s="278" t="n"/>
    </row>
    <row r="429" ht="15" customFormat="1" customHeight="1" s="278">
      <c r="A429" s="63" t="n"/>
      <c r="B429" s="278" t="n"/>
      <c r="C429" s="278" t="n"/>
      <c r="D429" s="278" t="n"/>
      <c r="E429" s="278" t="n"/>
      <c r="F429" s="278" t="n"/>
      <c r="G429" s="278" t="n"/>
      <c r="H429" s="278" t="n"/>
      <c r="I429" s="44" t="n"/>
      <c r="J429" s="119" t="n"/>
    </row>
    <row r="430" ht="15" customFormat="1" customHeight="1" s="278">
      <c r="A430" s="109" t="n"/>
      <c r="B430" s="72" t="n"/>
      <c r="C430" s="278" t="n"/>
      <c r="D430" s="161" t="n"/>
      <c r="E430" s="35" t="n"/>
      <c r="F430" s="72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G431" s="278" t="n"/>
      <c r="H431" s="44" t="n"/>
      <c r="I431" s="44" t="n"/>
      <c r="J431" s="119" t="n"/>
    </row>
    <row r="432" ht="15" customFormat="1" customHeight="1" s="278">
      <c r="A432" s="109" t="n"/>
      <c r="B432" s="278" t="n"/>
      <c r="C432" s="278" t="n"/>
      <c r="D432" s="161" t="n"/>
      <c r="E432" s="35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109" t="n"/>
      <c r="F433" s="161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3" t="n"/>
      <c r="H434" s="44" t="n"/>
      <c r="I434" s="44" t="n"/>
      <c r="J434" s="119" t="n"/>
    </row>
    <row r="435" ht="15" customFormat="1" customHeight="1" s="278">
      <c r="A435" s="109" t="n"/>
      <c r="B435" s="278" t="n"/>
      <c r="C435" s="161" t="n"/>
      <c r="D435" s="161" t="n"/>
      <c r="E435" s="35" t="n"/>
      <c r="F435" s="161" t="n"/>
      <c r="H435" s="44" t="n"/>
      <c r="I435" s="44" t="n"/>
      <c r="J435" s="119" t="n"/>
    </row>
    <row r="436" ht="15" customFormat="1" customHeight="1" s="278">
      <c r="A436" s="72" t="n"/>
      <c r="B436" s="278" t="n"/>
      <c r="C436" s="93" t="n"/>
      <c r="D436" s="161" t="n"/>
      <c r="E436" s="109" t="n"/>
      <c r="F436" s="69" t="n"/>
      <c r="H436" s="44" t="n"/>
      <c r="I436" s="44" t="n"/>
      <c r="J436" s="119" t="n"/>
    </row>
    <row r="437" ht="15" customFormat="1" customHeight="1" s="278">
      <c r="A437" s="532" t="n"/>
      <c r="B437" s="72" t="n"/>
      <c r="C437" s="163" t="n"/>
      <c r="D437" s="161" t="n"/>
      <c r="E437" s="109" t="n"/>
      <c r="F437" s="324" t="n"/>
      <c r="H437" s="44" t="n"/>
      <c r="I437" s="44" t="n"/>
      <c r="J437" s="119" t="n"/>
    </row>
    <row r="438" ht="15" customFormat="1" customHeight="1" s="278"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" customFormat="1" customHeight="1" s="278">
      <c r="A439" s="64">
        <f>A18</f>
        <v/>
      </c>
      <c r="B439" s="532" t="n"/>
      <c r="C439" s="161" t="n"/>
      <c r="D439" s="161" t="n"/>
      <c r="E439" s="109" t="n"/>
      <c r="F439" s="507" t="n"/>
      <c r="H439" s="44" t="n"/>
      <c r="I439" s="44" t="n"/>
      <c r="J439" s="119" t="n"/>
    </row>
    <row r="440" ht="15.9" customFormat="1" customHeight="1" s="278">
      <c r="A440" s="76">
        <f>A19</f>
        <v/>
      </c>
      <c r="C440" s="93" t="n"/>
      <c r="D440" s="161" t="n"/>
      <c r="E440" s="109" t="n"/>
      <c r="F440" s="324" t="n"/>
      <c r="H440" s="44" t="n"/>
      <c r="I440" s="44" t="n"/>
      <c r="J440" s="119" t="n"/>
    </row>
    <row r="441" ht="15.9" customFormat="1" customHeight="1" s="278">
      <c r="A441" s="72" t="n"/>
      <c r="C441" s="161" t="n"/>
      <c r="D441" s="161" t="n"/>
      <c r="E441" s="109" t="n"/>
      <c r="F441" s="37" t="n"/>
      <c r="H441" s="44" t="n"/>
      <c r="I441" s="44" t="n"/>
      <c r="J441" s="119" t="n"/>
    </row>
    <row r="442" ht="15.9" customFormat="1" customHeight="1" s="278">
      <c r="A442" s="44" t="n"/>
      <c r="B442" s="278" t="n"/>
      <c r="C442" s="43" t="n"/>
      <c r="D442" s="161" t="n"/>
      <c r="E442" s="109" t="n"/>
      <c r="F442" s="109" t="n"/>
      <c r="H442" s="44" t="n"/>
      <c r="I442" s="44" t="n"/>
      <c r="J442" s="119" t="n"/>
    </row>
    <row r="443" ht="15.9" customFormat="1" customHeight="1" s="278">
      <c r="A443" s="40" t="n"/>
      <c r="C443" s="44" t="n"/>
      <c r="D443" s="84" t="n"/>
      <c r="E443" s="44" t="n"/>
      <c r="F443" s="44" t="n"/>
      <c r="H443" s="44" t="n"/>
      <c r="I443" s="44" t="n"/>
      <c r="J443" s="119" t="n"/>
    </row>
    <row r="444" ht="35.1" customFormat="1" customHeight="1" s="278">
      <c r="A444" s="109" t="n"/>
      <c r="C444" s="161" t="n"/>
      <c r="D444" s="85" t="n"/>
      <c r="E444" s="40" t="n"/>
      <c r="F444" s="32" t="n"/>
      <c r="H444" s="44" t="n"/>
      <c r="I444" s="501" t="n"/>
      <c r="J444" s="501" t="n"/>
    </row>
    <row r="445" ht="15.6" customHeight="1" s="344">
      <c r="B445" s="64" t="n"/>
      <c r="C445" s="163" t="n"/>
      <c r="D445" s="161" t="n"/>
      <c r="E445" s="109" t="n"/>
      <c r="F445" s="161" t="n"/>
      <c r="G445" s="109" t="n"/>
      <c r="H445" s="109" t="n"/>
    </row>
    <row r="450" ht="15.9" customFormat="1" customHeight="1" s="278">
      <c r="A450" s="109" t="n"/>
      <c r="D450" s="345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278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44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1" t="n"/>
      <c r="D455" s="161" t="n"/>
      <c r="E455" s="109" t="n"/>
      <c r="F455" s="161" t="n"/>
      <c r="G455" s="109" t="n"/>
      <c r="H455" s="109" t="n"/>
      <c r="I455" s="501" t="n"/>
      <c r="J455" s="501" t="n"/>
    </row>
    <row r="456" ht="15.9" customFormat="1" customHeight="1" s="278">
      <c r="A456" s="109" t="n"/>
      <c r="B456" s="278" t="n"/>
      <c r="C456" s="163" t="n"/>
      <c r="D456" s="161" t="n"/>
      <c r="E456" s="109" t="n"/>
      <c r="F456" s="161" t="n"/>
      <c r="G456" s="109" t="n"/>
      <c r="H456" s="109" t="n"/>
      <c r="I456" s="109" t="n"/>
      <c r="J456" s="501" t="n"/>
    </row>
    <row r="457" ht="15.9" customFormat="1" customHeight="1" s="278">
      <c r="A457" s="109" t="n"/>
      <c r="B457" s="278" t="n"/>
      <c r="C457" s="161" t="n"/>
      <c r="D457" s="161" t="n"/>
      <c r="E457" s="109" t="n"/>
      <c r="F457" s="161" t="n"/>
      <c r="G457" s="109" t="n"/>
      <c r="H457" s="109" t="n"/>
      <c r="I457" s="501" t="n"/>
      <c r="J457" s="501" t="n"/>
    </row>
    <row r="458" ht="15.9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9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7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" customFormat="1" customHeight="1" s="278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501" t="n"/>
      <c r="J476" s="501" t="n"/>
    </row>
    <row r="477" ht="15.9" customFormat="1" customHeight="1" s="23">
      <c r="A477" s="109" t="n"/>
      <c r="B477" s="278" t="n"/>
      <c r="C477" s="278" t="n"/>
      <c r="D477" s="161" t="n"/>
      <c r="E477" s="109" t="n"/>
      <c r="F477" s="109" t="n"/>
      <c r="G477" s="109" t="n"/>
      <c r="H477" s="109" t="n"/>
      <c r="I477" s="109" t="n"/>
      <c r="J477" s="109" t="n"/>
    </row>
    <row r="478" ht="15.9" customFormat="1" customHeight="1" s="278">
      <c r="A478" s="44" t="n"/>
      <c r="B478" s="278" t="n"/>
      <c r="C478" s="278" t="n"/>
      <c r="D478" s="161" t="n"/>
      <c r="E478" s="109" t="n"/>
      <c r="F478" s="109" t="n"/>
      <c r="G478" s="109" t="n"/>
      <c r="H478" s="109" t="n"/>
      <c r="I478" s="44" t="n"/>
      <c r="J478" s="119" t="n"/>
    </row>
    <row r="479" ht="15.9" customFormat="1" customHeight="1" s="278">
      <c r="A479" s="40" t="n"/>
      <c r="B479" s="44" t="n"/>
      <c r="C479" s="44" t="n"/>
      <c r="D479" s="84" t="n"/>
      <c r="E479" s="44" t="n"/>
      <c r="F479" s="44" t="n"/>
      <c r="G479" s="44" t="n"/>
      <c r="H479" s="44" t="n"/>
      <c r="I479" s="32" t="n"/>
      <c r="J479" s="40" t="n"/>
    </row>
    <row r="480" ht="15.9" customFormat="1" customHeight="1" s="278">
      <c r="A480" s="27" t="n"/>
      <c r="B480" s="40" t="n"/>
      <c r="C480" s="44" t="n"/>
      <c r="D480" s="85" t="n"/>
      <c r="E480" s="40" t="n"/>
      <c r="F480" s="32" t="n"/>
      <c r="G480" s="40" t="n"/>
      <c r="H480" s="32" t="n"/>
      <c r="I480" s="501" t="n"/>
      <c r="J480" s="501" t="n"/>
    </row>
    <row r="481" ht="15.9" customFormat="1" customHeight="1" s="278">
      <c r="A481" s="27" t="n"/>
      <c r="B481" s="278" t="n"/>
      <c r="C481" s="93" t="n"/>
      <c r="D481" s="161" t="n"/>
      <c r="E481" s="109" t="n"/>
      <c r="F481" s="109" t="n"/>
      <c r="G481" s="109" t="n"/>
      <c r="H481" s="93" t="n"/>
      <c r="I481" s="287" t="n"/>
      <c r="J481" s="302" t="n"/>
    </row>
    <row r="482" ht="15.9" customFormat="1" customHeight="1" s="278">
      <c r="A482" s="27" t="n"/>
      <c r="B482" s="278" t="n"/>
      <c r="C482" s="163" t="n"/>
      <c r="D482" s="161" t="n"/>
      <c r="E482" s="109" t="n"/>
      <c r="F482" s="109" t="n"/>
      <c r="G482" s="109" t="n"/>
      <c r="H482" s="287" t="n"/>
      <c r="I482" s="278" t="n"/>
      <c r="J482" s="109" t="n"/>
    </row>
    <row r="483" ht="15.9" customFormat="1" customHeight="1" s="278">
      <c r="A483" s="27" t="n"/>
      <c r="B483" s="278" t="n"/>
      <c r="C483" s="161" t="n"/>
      <c r="D483" s="161" t="n"/>
      <c r="E483" s="109" t="n"/>
      <c r="F483" s="109" t="n"/>
      <c r="G483" s="109" t="n"/>
      <c r="H483" s="278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78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287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161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B491" s="278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B494" s="278" t="n"/>
      <c r="C494" s="278" t="n"/>
      <c r="D494" s="161" t="n"/>
      <c r="E494" s="109" t="n"/>
      <c r="F494" s="109" t="n"/>
      <c r="G494" s="109" t="n"/>
      <c r="H494" s="109" t="n"/>
      <c r="I494" s="501" t="n"/>
      <c r="J494" s="501" t="n"/>
    </row>
    <row r="495" ht="15.9" customFormat="1" customHeight="1" s="278">
      <c r="A495" s="27" t="n"/>
      <c r="D495" s="161" t="n"/>
      <c r="E495" s="109" t="n"/>
      <c r="F495" s="109" t="n"/>
      <c r="G495" s="278" t="n"/>
      <c r="H495" s="278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109" t="n"/>
      <c r="I498" s="501" t="n"/>
      <c r="J498" s="501" t="n"/>
    </row>
    <row r="499" ht="15.9" customFormat="1" customHeight="1" s="278">
      <c r="A499" s="27" t="n"/>
      <c r="B499" s="278" t="n"/>
      <c r="C499" s="278" t="n"/>
      <c r="D499" s="161" t="n"/>
      <c r="E499" s="109" t="n"/>
      <c r="F499" s="109" t="n"/>
      <c r="G499" s="109" t="n"/>
      <c r="H499" s="93" t="n"/>
      <c r="I499" s="287" t="n"/>
      <c r="J499" s="302" t="n"/>
    </row>
    <row r="500" ht="15.9" customFormat="1" customHeight="1" s="278">
      <c r="A500" s="27" t="n"/>
      <c r="B500" s="278" t="n"/>
      <c r="C500" s="63" t="n"/>
      <c r="D500" s="161" t="n"/>
      <c r="E500" s="109" t="n"/>
      <c r="F500" s="109" t="n"/>
      <c r="G500" s="109" t="n"/>
      <c r="H500" s="287" t="n"/>
      <c r="I500" s="278" t="n"/>
      <c r="J500" s="109" t="n"/>
    </row>
    <row r="501" ht="15.9" customFormat="1" customHeight="1" s="278">
      <c r="A501" s="27" t="n"/>
      <c r="B501" s="278" t="n"/>
      <c r="C501" s="287" t="n"/>
      <c r="D501" s="161" t="n"/>
      <c r="E501" s="109" t="n"/>
      <c r="F501" s="109" t="n"/>
      <c r="G501" s="109" t="n"/>
      <c r="H501" s="278" t="n"/>
      <c r="I501" s="501" t="n"/>
      <c r="J501" s="501" t="n"/>
    </row>
    <row r="502" ht="15.9" customFormat="1" customHeight="1" s="278">
      <c r="A502" s="27" t="n"/>
      <c r="B502" s="278" t="n"/>
      <c r="C502" s="161" t="n"/>
      <c r="D502" s="161" t="n"/>
      <c r="E502" s="109" t="n"/>
      <c r="F502" s="109" t="n"/>
      <c r="G502" s="109" t="n"/>
      <c r="H502" s="93" t="n"/>
      <c r="I502" s="287" t="n"/>
      <c r="J502" s="302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87" t="n"/>
      <c r="I503" s="278" t="n"/>
      <c r="J503" s="109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278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501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27" t="n"/>
      <c r="B512" s="278" t="n"/>
      <c r="C512" s="278" t="n"/>
      <c r="D512" s="161" t="n"/>
      <c r="E512" s="109" t="n"/>
      <c r="F512" s="109" t="n"/>
      <c r="G512" s="109" t="n"/>
      <c r="H512" s="109" t="n"/>
      <c r="I512" s="109" t="n"/>
      <c r="J512" s="501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44" t="n"/>
      <c r="C514" s="44" t="n"/>
      <c r="D514" s="84" t="n"/>
      <c r="E514" s="44" t="n"/>
      <c r="F514" s="44" t="n"/>
      <c r="G514" s="44" t="n"/>
      <c r="H514" s="44" t="n"/>
      <c r="I514" s="44" t="n"/>
      <c r="J514" s="119" t="n"/>
    </row>
    <row r="515" ht="15.9" customFormat="1" customHeight="1" s="278">
      <c r="A515" s="44" t="n"/>
      <c r="B515" s="44" t="n"/>
      <c r="C515" s="44" t="n"/>
      <c r="D515" s="84" t="n"/>
      <c r="E515" s="44" t="n"/>
      <c r="F515" s="44" t="n"/>
      <c r="G515" s="44" t="n"/>
      <c r="H515" s="44" t="n"/>
      <c r="I515" s="44" t="n"/>
      <c r="J515" s="119" t="n"/>
    </row>
    <row r="516" ht="15.9" customFormat="1" customHeight="1" s="278">
      <c r="B516" s="44" t="n"/>
      <c r="C516" s="44" t="n"/>
      <c r="D516" s="84" t="n"/>
      <c r="E516" s="44" t="n"/>
      <c r="F516" s="44" t="n"/>
      <c r="G516" s="44" t="n"/>
      <c r="H516" s="44" t="n"/>
    </row>
    <row r="517" ht="15.9" customFormat="1" customHeight="1" s="278" thickBot="1"/>
    <row r="518" ht="24.9" customFormat="1" customHeight="1" s="278" thickBot="1">
      <c r="A518" s="633" t="inlineStr">
        <is>
          <t>GLASS</t>
        </is>
      </c>
      <c r="B518" s="634" t="n"/>
      <c r="C518" s="634" t="n"/>
      <c r="D518" s="634" t="n"/>
      <c r="E518" s="634" t="n"/>
      <c r="F518" s="634" t="n"/>
      <c r="G518" s="634" t="n"/>
      <c r="H518" s="634" t="n"/>
      <c r="I518" s="634" t="n"/>
      <c r="J518" s="635" t="n"/>
    </row>
    <row r="519" ht="35.1" customFormat="1" customHeight="1" s="278" thickBot="1">
      <c r="A519" s="146" t="inlineStr">
        <is>
          <t>ITEM</t>
        </is>
      </c>
      <c r="B519" s="147" t="inlineStr">
        <is>
          <t>DESCRIPTION</t>
        </is>
      </c>
      <c r="C519" s="103" t="inlineStr">
        <is>
          <t>DESCRIPTION</t>
        </is>
      </c>
      <c r="D519" s="104" t="inlineStr">
        <is>
          <t>HEIGHT</t>
        </is>
      </c>
      <c r="E519" s="103" t="inlineStr">
        <is>
          <t>KG/m</t>
        </is>
      </c>
      <c r="F519" s="579" t="inlineStr">
        <is>
          <t>FORMULA</t>
        </is>
      </c>
      <c r="G519" s="305" t="n"/>
      <c r="H519" s="104" t="inlineStr">
        <is>
          <t>FORMULA</t>
        </is>
      </c>
      <c r="I519" s="104" t="inlineStr">
        <is>
          <t>WIDTH</t>
        </is>
      </c>
      <c r="J519" s="115" t="inlineStr">
        <is>
          <t>QTY</t>
        </is>
      </c>
      <c r="N519" s="249" t="inlineStr">
        <is>
          <t>DESCRIPTION</t>
        </is>
      </c>
      <c r="O519" s="249" t="inlineStr">
        <is>
          <t>DESCRIPTION</t>
        </is>
      </c>
    </row>
    <row r="520" ht="15.9" customFormat="1" customHeight="1" s="278">
      <c r="A520" s="150">
        <f>IF(C520="","",1)</f>
        <v/>
      </c>
      <c r="B520" s="138">
        <f>IF($D$127=5,N520,IF($D$127=6,N521,IF($D$127=8,N522,IF($D$127=10,N523,IF($D$127=12,N524,IF($D$127=14,N525,IF($D$127=18,N526,IF($D$127=20,N527,IF($D$127=22,N528,)))))))))</f>
        <v/>
      </c>
      <c r="C520" s="138">
        <f>IF($D$127=5,O520,IF($D$127=6,O521,IF($D$127=8,O522,IF($D$127=10,O523,IF($D$127=12,O524,IF($D$127=14,O525,IF($D$127=18,O526,IF($D$127=20,O527,IF($D$127=22,O528,)))))))))</f>
        <v/>
      </c>
      <c r="D520" s="124">
        <f>$J$123-215</f>
        <v/>
      </c>
      <c r="E520" s="186" t="inlineStr">
        <is>
          <t>-</t>
        </is>
      </c>
      <c r="F520" s="658" t="inlineStr">
        <is>
          <t>Height - 215</t>
        </is>
      </c>
      <c r="G520" s="659" t="n"/>
      <c r="H520" s="186" t="inlineStr">
        <is>
          <t>((W-185-(113.25 × 13)/14)-13</t>
        </is>
      </c>
      <c r="I520" s="124">
        <f>(($J$126-185-(113.25*13))/14)-13</f>
        <v/>
      </c>
      <c r="J520" s="151">
        <f>$J$120*14</f>
        <v/>
      </c>
      <c r="N520" s="415" t="inlineStr">
        <is>
          <t>กระจก 5 mm (สูง) (กว้าง)</t>
        </is>
      </c>
      <c r="O520" s="415" t="inlineStr">
        <is>
          <t>GLASS thk.5 mm (H) (W)</t>
        </is>
      </c>
    </row>
    <row r="521" ht="15.9" customFormat="1" customHeight="1" s="278">
      <c r="A521" s="152" t="n"/>
      <c r="B521" s="140" t="n"/>
      <c r="C521" s="140" t="n"/>
      <c r="D521" s="139" t="inlineStr">
        <is>
          <t xml:space="preserve"> </t>
        </is>
      </c>
      <c r="E521" s="143" t="n"/>
      <c r="F521" s="155" t="n"/>
      <c r="G521" s="156" t="n"/>
      <c r="H521" s="140" t="n"/>
      <c r="I521" s="130" t="n"/>
      <c r="J521" s="153" t="n"/>
      <c r="N521" s="415" t="inlineStr">
        <is>
          <t>กระจก 6 mm (สูง) (กว้าง)</t>
        </is>
      </c>
      <c r="O521" s="415" t="inlineStr">
        <is>
          <t>GLASS thk.6 mm (H) (W)</t>
        </is>
      </c>
    </row>
    <row r="522" ht="15.9" customFormat="1" customHeight="1" s="278">
      <c r="A522" s="152" t="n"/>
      <c r="B522" s="140" t="n"/>
      <c r="C522" s="140" t="n"/>
      <c r="D522" s="139" t="n"/>
      <c r="E522" s="143" t="n"/>
      <c r="F522" s="155" t="n"/>
      <c r="G522" s="156" t="n"/>
      <c r="H522" s="143" t="n"/>
      <c r="I522" s="130" t="n"/>
      <c r="J522" s="153" t="n"/>
      <c r="N522" s="415" t="inlineStr">
        <is>
          <t>กระจก 8 mm (สูง) (กว้าง)</t>
        </is>
      </c>
      <c r="O522" s="415" t="inlineStr">
        <is>
          <t>GLASS thk.8 mm (H) (W)</t>
        </is>
      </c>
    </row>
    <row r="523" ht="15.9" customFormat="1" customHeight="1" s="278">
      <c r="A523" s="143">
        <f>IF(B523="","",+A521+1)</f>
        <v/>
      </c>
      <c r="B523" s="140" t="n"/>
      <c r="C523" s="140" t="n"/>
      <c r="D523" s="139" t="n"/>
      <c r="E523" s="143" t="n"/>
      <c r="F523" s="155" t="n"/>
      <c r="G523" s="572" t="n"/>
      <c r="H523" s="143" t="n"/>
      <c r="I523" s="144" t="n"/>
      <c r="J523" s="130" t="n"/>
      <c r="N523" s="415" t="inlineStr">
        <is>
          <t>กระจก 10 mm (สูง) (กว้าง)</t>
        </is>
      </c>
      <c r="O523" s="415" t="inlineStr">
        <is>
          <t>GLASS thk.10 mm (H) (W)</t>
        </is>
      </c>
    </row>
    <row r="524" ht="15.9" customFormat="1" customHeight="1" s="278">
      <c r="A524" s="240">
        <f>IF(B524="","",+A523+1)</f>
        <v/>
      </c>
      <c r="B524" s="142" t="n"/>
      <c r="C524" s="142" t="n"/>
      <c r="D524" s="141" t="n"/>
      <c r="E524" s="240" t="n"/>
      <c r="F524" s="158" t="n"/>
      <c r="G524" s="159" t="n"/>
      <c r="H524" s="240" t="n"/>
      <c r="I524" s="145" t="n"/>
      <c r="J524" s="136" t="n"/>
      <c r="N524" s="415" t="inlineStr">
        <is>
          <t>กระจก 12 mm (สูง) (กว้าง)</t>
        </is>
      </c>
      <c r="O524" s="415" t="inlineStr">
        <is>
          <t>GLASS thk.12 mm (H) (W)</t>
        </is>
      </c>
    </row>
    <row r="525" ht="15.9" customFormat="1" customHeight="1" s="278">
      <c r="A525" s="109" t="n"/>
      <c r="B525" s="278" t="n"/>
      <c r="C525" s="278" t="n"/>
      <c r="D525" s="161" t="n"/>
      <c r="E525" s="109" t="n"/>
      <c r="F525" s="109" t="n"/>
      <c r="G525" s="109" t="n"/>
      <c r="H525" s="109" t="n"/>
      <c r="I525" s="109" t="n"/>
      <c r="J525" s="501" t="n"/>
      <c r="N525" s="415" t="inlineStr">
        <is>
          <t>กระจก 14 mm (สูง) (กว้าง)</t>
        </is>
      </c>
      <c r="O525" s="415" t="inlineStr">
        <is>
          <t>GLASS thk.14 mm (H) (W)</t>
        </is>
      </c>
    </row>
    <row r="526">
      <c r="J526" s="99">
        <f>LEFT($J$111,14)&amp;"-05"</f>
        <v/>
      </c>
      <c r="M526" s="278" t="n"/>
      <c r="N526" s="415" t="inlineStr">
        <is>
          <t>กระจก 18 mm (สูง) (กว้าง)</t>
        </is>
      </c>
      <c r="O526" s="415" t="inlineStr">
        <is>
          <t>GLASS thk.18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 t="n"/>
      <c r="N527" s="415" t="inlineStr">
        <is>
          <t>กระจก 20 mm (สูง) (กว้าง)</t>
        </is>
      </c>
      <c r="O527" s="415" t="inlineStr">
        <is>
          <t>GLASS thk.20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M528" s="278" t="n"/>
      <c r="N528" s="415" t="inlineStr">
        <is>
          <t>กระจก 22 mm (สูง) (กว้าง)</t>
        </is>
      </c>
      <c r="O528" s="415" t="inlineStr">
        <is>
          <t>GLASS thk.22 mm (H) (W)</t>
        </is>
      </c>
      <c r="P528" s="278" t="n"/>
      <c r="Q528" s="278" t="n"/>
      <c r="R528" s="278" t="n"/>
      <c r="S528" s="278" t="n"/>
      <c r="T528" s="278" t="n"/>
      <c r="U528" s="278" t="n"/>
      <c r="V528" s="278" t="n"/>
    </row>
  </sheetData>
  <mergeCells count="47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I157:J158"/>
    <mergeCell ref="D123:G123"/>
    <mergeCell ref="A117:J117"/>
    <mergeCell ref="J123:J124"/>
    <mergeCell ref="I156:J156"/>
    <mergeCell ref="H157:H158"/>
    <mergeCell ref="A518:J518"/>
    <mergeCell ref="F331:G331"/>
    <mergeCell ref="H159:H160"/>
    <mergeCell ref="A320:J320"/>
    <mergeCell ref="H169:H170"/>
    <mergeCell ref="H120:I121"/>
    <mergeCell ref="I159:J159"/>
    <mergeCell ref="F334:G334"/>
    <mergeCell ref="F330:G330"/>
    <mergeCell ref="D119:G119"/>
    <mergeCell ref="H126:I127"/>
    <mergeCell ref="I152:J152"/>
    <mergeCell ref="C308:E308"/>
    <mergeCell ref="A6:J6"/>
    <mergeCell ref="I155:J155"/>
    <mergeCell ref="A427:J427"/>
    <mergeCell ref="I170:J170"/>
    <mergeCell ref="D161:D166"/>
    <mergeCell ref="D167:D168"/>
    <mergeCell ref="J120:J121"/>
    <mergeCell ref="I166:J166"/>
    <mergeCell ref="I164:J165"/>
    <mergeCell ref="A125:B125"/>
    <mergeCell ref="D157:D158"/>
    <mergeCell ref="I153:J153"/>
    <mergeCell ref="J126:J127"/>
    <mergeCell ref="D159:D160"/>
    <mergeCell ref="D169:D170"/>
    <mergeCell ref="F520:G520"/>
    <mergeCell ref="D125:G125"/>
    <mergeCell ref="H123:I124"/>
    <mergeCell ref="A213:J213"/>
  </mergeCells>
  <dataValidations count="4">
    <dataValidation sqref="C206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7" min="0" max="9" man="1"/>
    <brk id="314" min="0" max="16383" man="1"/>
    <brk id="421" min="0" max="9" man="1"/>
  </rowBreaks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 codeName="Sheet39">
    <tabColor theme="5" tint="-0.249977111117893"/>
    <outlinePr summaryBelow="1" summaryRight="1"/>
    <pageSetUpPr/>
  </sheetPr>
  <dimension ref="A2:AJ529"/>
  <sheetViews>
    <sheetView showGridLines="0" view="pageBreakPreview" topLeftCell="A151" zoomScale="75" zoomScaleNormal="75" zoomScaleSheetLayoutView="75" workbookViewId="0">
      <selection activeCell="AB156" sqref="AB156"/>
    </sheetView>
  </sheetViews>
  <sheetFormatPr baseColWidth="8" defaultRowHeight="14.4" outlineLevelRow="1"/>
  <cols>
    <col width="7" customWidth="1" style="344" min="1" max="1"/>
    <col width="40.6640625" customWidth="1" style="344" min="2" max="2"/>
    <col width="54.6640625" customWidth="1" style="344" min="3" max="3"/>
    <col width="13.44140625" customWidth="1" style="345" min="4" max="4"/>
    <col hidden="1" outlineLevel="1" width="7.44140625" customWidth="1" style="344" min="5" max="5"/>
    <col collapsed="1" width="19.6640625" customWidth="1" style="344" min="6" max="6"/>
    <col width="7.5546875" customWidth="1" style="344" min="7" max="7"/>
    <col width="31.5546875" bestFit="1" customWidth="1" style="344" min="8" max="8"/>
    <col width="15.109375" customWidth="1" style="344" min="9" max="9"/>
    <col width="11.6640625" customWidth="1" style="112" min="10" max="10"/>
    <col hidden="1" outlineLevel="1" width="22.5546875" customWidth="1" style="344" min="14" max="14"/>
    <col hidden="1" outlineLevel="1" width="25.6640625" customWidth="1" style="344" min="15" max="15"/>
    <col hidden="1" outlineLevel="1" width="34.6640625" customWidth="1" style="344" min="16" max="16"/>
    <col hidden="1" outlineLevel="1" width="9.33203125" customWidth="1" style="344" min="17" max="17"/>
    <col hidden="1" outlineLevel="1" width="13.88671875" customWidth="1" style="344" min="18" max="18"/>
    <col hidden="1" outlineLevel="1" width="17.6640625" customWidth="1" style="344" min="19" max="19"/>
    <col hidden="1" outlineLevel="1" width="15" customWidth="1" style="344" min="20" max="20"/>
    <col hidden="1" outlineLevel="1" width="26.44140625" customWidth="1" style="344" min="21" max="21"/>
    <col hidden="1" outlineLevel="1" width="10.6640625" customWidth="1" style="344" min="22" max="22"/>
    <col hidden="1" outlineLevel="1" width="10.5546875" customWidth="1" style="344" min="23" max="23"/>
    <col collapsed="1" width="9.109375" customWidth="1" style="344" min="24" max="24"/>
  </cols>
  <sheetData>
    <row r="1" ht="12.75" customHeight="1" s="344"/>
    <row r="2" ht="30" customHeight="1" s="344">
      <c r="C2" s="5" t="n"/>
      <c r="D2" s="95" t="n"/>
      <c r="E2" s="95" t="n"/>
      <c r="F2" s="95" t="n"/>
      <c r="G2" s="95" t="n"/>
      <c r="H2" s="95" t="n"/>
      <c r="I2" s="95" t="n"/>
      <c r="J2" s="90" t="inlineStr">
        <is>
          <t>HOMELIFE</t>
        </is>
      </c>
      <c r="K2" s="37" t="n"/>
      <c r="L2" s="37" t="n"/>
      <c r="M2" s="2" t="n"/>
      <c r="N2" s="2" t="n"/>
    </row>
    <row r="3" ht="24.9" customHeight="1" s="344">
      <c r="F3" s="91" t="n"/>
      <c r="G3" s="91" t="n"/>
      <c r="I3" s="91" t="n"/>
      <c r="J3" s="91" t="inlineStr">
        <is>
          <t>Fabricators Guide</t>
        </is>
      </c>
      <c r="K3" s="91" t="n"/>
      <c r="L3" s="91" t="n"/>
      <c r="M3" s="2" t="n"/>
      <c r="N3" s="2" t="n"/>
    </row>
    <row r="4" ht="24.9" customHeight="1" s="344">
      <c r="B4" s="72" t="n"/>
      <c r="C4" s="28" t="n"/>
      <c r="D4" s="28" t="n"/>
      <c r="E4" s="28" t="n"/>
      <c r="F4" s="28" t="n"/>
      <c r="G4" s="28" t="n"/>
      <c r="H4" s="28" t="n"/>
      <c r="I4" s="28" t="n"/>
      <c r="J4" s="91" t="inlineStr">
        <is>
          <t xml:space="preserve">240 Series Bi Fold Door </t>
        </is>
      </c>
      <c r="K4" s="35" t="n"/>
    </row>
    <row r="5" ht="12.75" customHeight="1" s="344" thickBot="1">
      <c r="A5" s="78" t="n"/>
      <c r="B5" s="78" t="n"/>
      <c r="C5" s="78" t="n"/>
      <c r="D5" s="82" t="n"/>
      <c r="E5" s="78" t="n"/>
      <c r="F5" s="78" t="n"/>
      <c r="G5" s="78" t="n"/>
      <c r="H5" s="78" t="n"/>
      <c r="I5" s="78" t="n"/>
      <c r="J5" s="100" t="n"/>
      <c r="M5" s="4" t="n"/>
      <c r="N5" s="4" t="n"/>
    </row>
    <row r="6" ht="24.9" customHeight="1" s="344" thickBot="1">
      <c r="A6" s="633" t="inlineStr">
        <is>
          <t xml:space="preserve"> 101.6 x 35mm FRAME - 300 PASCAL SILL</t>
        </is>
      </c>
      <c r="B6" s="634" t="n"/>
      <c r="C6" s="634" t="n"/>
      <c r="D6" s="634" t="n"/>
      <c r="E6" s="634" t="n"/>
      <c r="F6" s="634" t="n"/>
      <c r="G6" s="634" t="n"/>
      <c r="H6" s="634" t="n"/>
      <c r="I6" s="634" t="n"/>
      <c r="J6" s="635" t="n"/>
      <c r="K6" s="4" t="n"/>
      <c r="L6" s="4" t="n"/>
      <c r="M6" s="4" t="n"/>
      <c r="N6" s="4" t="n"/>
    </row>
    <row r="7" ht="15" customHeight="1" s="344"/>
    <row r="8" ht="15" customHeight="1" s="344"/>
    <row r="9" ht="15" customHeight="1" s="344"/>
    <row r="10" ht="15" customHeight="1" s="344"/>
    <row r="11" ht="15" customHeight="1" s="344"/>
    <row r="12" ht="15" customHeight="1" s="344"/>
    <row r="13" ht="15" customHeight="1" s="344"/>
    <row r="14" ht="15" customHeight="1" s="344"/>
    <row r="15" ht="15" customHeight="1" s="344"/>
    <row r="16" ht="15" customHeight="1" s="344"/>
    <row r="17" ht="15" customHeight="1" s="344"/>
    <row r="18" ht="18.75" customHeight="1" s="344">
      <c r="A18" s="88" t="inlineStr">
        <is>
          <t>240-15 Panel (7L8R)</t>
        </is>
      </c>
    </row>
    <row r="19" ht="15" customHeight="1" s="344">
      <c r="A19" s="76" t="inlineStr">
        <is>
          <t xml:space="preserve">Outside Bi Fold Door </t>
        </is>
      </c>
    </row>
    <row r="20" ht="15" customHeight="1" s="344"/>
    <row r="21" ht="15" customHeight="1" s="344"/>
    <row r="22" ht="15" customHeight="1" s="344"/>
    <row r="23" ht="15" customHeight="1" s="344"/>
    <row r="24" ht="15" customHeight="1" s="344"/>
    <row r="25" ht="15" customHeight="1" s="344"/>
    <row r="26" ht="15" customHeight="1" s="344"/>
    <row r="27" ht="15" customHeight="1" s="344"/>
    <row r="28" ht="15" customHeight="1" s="344"/>
    <row r="29" ht="15" customHeight="1" s="344"/>
    <row r="30" ht="15" customHeight="1" s="344"/>
    <row r="31" ht="15" customHeight="1" s="344"/>
    <row r="32" ht="15" customHeight="1" s="344"/>
    <row r="33" ht="15" customHeight="1" s="344"/>
    <row r="34" ht="15" customHeight="1" s="344"/>
    <row r="35" ht="15" customHeight="1" s="344"/>
    <row r="36" ht="15" customHeight="1" s="344"/>
    <row r="37" ht="15" customHeight="1" s="344"/>
    <row r="38" ht="15" customHeight="1" s="344"/>
    <row r="39" ht="15" customHeight="1" s="344"/>
    <row r="40" ht="15" customHeight="1" s="344"/>
    <row r="41" ht="15" customHeight="1" s="344"/>
    <row r="42" ht="15" customHeight="1" s="344"/>
    <row r="43" ht="15" customHeight="1" s="344"/>
    <row r="44" ht="15" customHeight="1" s="344"/>
    <row r="45" ht="15" customHeight="1" s="344"/>
    <row r="46" ht="15" customHeight="1" s="344">
      <c r="G46" s="10" t="n"/>
    </row>
    <row r="47" ht="15" customHeight="1" s="344">
      <c r="G47" s="10" t="n"/>
    </row>
    <row r="48" ht="15" customHeight="1" s="344">
      <c r="G48" s="10" t="n"/>
    </row>
    <row r="49" ht="15" customHeight="1" s="344">
      <c r="G49" s="10" t="n"/>
    </row>
    <row r="50" ht="15" customHeight="1" s="344">
      <c r="G50" s="10" t="n"/>
    </row>
    <row r="51" ht="15" customHeight="1" s="344">
      <c r="G51" s="10" t="n"/>
    </row>
    <row r="52" ht="15" customHeight="1" s="344">
      <c r="G52" s="10" t="n"/>
    </row>
    <row r="53" ht="15" customHeight="1" s="344">
      <c r="G53" s="10" t="n"/>
    </row>
    <row r="54" ht="15" customHeight="1" s="344">
      <c r="G54" s="10" t="n"/>
    </row>
    <row r="55" ht="15" customHeight="1" s="344">
      <c r="G55" s="10" t="n"/>
    </row>
    <row r="56" ht="15" customHeight="1" s="344"/>
    <row r="57" ht="15" customHeight="1" s="344"/>
    <row r="58" ht="15" customHeight="1" s="344"/>
    <row r="59" ht="15" customHeight="1" s="344"/>
    <row r="60" ht="15" customHeight="1" s="344"/>
    <row r="61" ht="15" customHeight="1" s="344"/>
    <row r="62" ht="15" customHeight="1" s="344"/>
    <row r="63" ht="15" customHeight="1" s="344"/>
    <row r="64" ht="15" customHeight="1" s="344"/>
    <row r="65" ht="15" customHeight="1" s="344"/>
    <row r="66" ht="15" customHeight="1" s="344"/>
    <row r="67" ht="15" customHeight="1" s="344"/>
    <row r="68" ht="15" customHeight="1" s="344"/>
    <row r="69" ht="15" customHeight="1" s="344"/>
    <row r="70" ht="15" customHeight="1" s="344"/>
    <row r="71" ht="15" customHeight="1" s="344"/>
    <row r="72" ht="15" customHeight="1" s="344"/>
    <row r="73" ht="15" customHeight="1" s="344"/>
    <row r="74" ht="15" customHeight="1" s="344"/>
    <row r="75" ht="15" customHeight="1" s="344"/>
    <row r="76" ht="15" customHeight="1" s="344"/>
    <row r="77" ht="15" customHeight="1" s="344"/>
    <row r="78" ht="15" customHeight="1" s="344"/>
    <row r="79" ht="15" customHeight="1" s="344"/>
    <row r="80" ht="15" customHeight="1" s="344"/>
    <row r="81" ht="15" customHeight="1" s="344"/>
    <row r="82" ht="15" customHeight="1" s="344"/>
    <row r="83" ht="15" customHeight="1" s="344"/>
    <row r="84" ht="15" customHeight="1" s="344"/>
    <row r="85" ht="15" customHeight="1" s="344"/>
    <row r="86" ht="15" customHeight="1" s="344"/>
    <row r="87" ht="15" customHeight="1" s="344"/>
    <row r="88" ht="15" customHeight="1" s="344"/>
    <row r="89" ht="15" customHeight="1" s="344"/>
    <row r="90" ht="15" customHeight="1" s="344"/>
    <row r="91" ht="15" customHeight="1" s="344"/>
    <row r="92" ht="15" customHeight="1" s="344"/>
    <row r="93" ht="15" customHeight="1" s="344"/>
    <row r="94" ht="15" customHeight="1" s="344"/>
    <row r="95" ht="15" customHeight="1" s="344"/>
    <row r="96" ht="15" customHeight="1" s="344"/>
    <row r="97" ht="15" customHeight="1" s="344"/>
    <row r="98" ht="15" customHeight="1" s="344"/>
    <row r="99" ht="15" customHeight="1" s="344"/>
    <row r="100" ht="15" customHeight="1" s="344"/>
    <row r="101" ht="15" customHeight="1" s="344"/>
    <row r="102" ht="15" customHeight="1" s="344"/>
    <row r="103" ht="15" customHeight="1" s="344"/>
    <row r="104" ht="15" customHeight="1" s="344"/>
    <row r="105" ht="15" customHeight="1" s="344"/>
    <row r="106" ht="15" customHeight="1" s="344"/>
    <row r="107" ht="15" customHeight="1" s="344"/>
    <row r="108" ht="15" customHeight="1" s="344"/>
    <row r="109" ht="15" customHeight="1" s="344"/>
    <row r="110" ht="15" customHeight="1" s="344"/>
    <row r="111" ht="15" customHeight="1" s="344">
      <c r="J111" s="99" t="inlineStr">
        <is>
          <t>FG-240-15P7L8R-01</t>
        </is>
      </c>
      <c r="K111" s="70" t="n"/>
    </row>
    <row r="112" ht="15" customHeight="1" s="344">
      <c r="G112" s="10" t="n"/>
      <c r="H112" s="10" t="n"/>
      <c r="I112" s="70" t="n"/>
      <c r="L112" s="10" t="n"/>
    </row>
    <row r="113" ht="30" customHeight="1" s="344">
      <c r="C113" s="5" t="n"/>
      <c r="D113" s="95" t="n"/>
      <c r="E113" s="95" t="n"/>
      <c r="F113" s="95" t="n"/>
      <c r="G113" s="95" t="n"/>
      <c r="H113" s="95" t="n"/>
      <c r="I113" s="95" t="n"/>
      <c r="J113" s="90">
        <f>$J$2</f>
        <v/>
      </c>
      <c r="K113" s="37" t="n"/>
      <c r="L113" s="37" t="n"/>
      <c r="M113" s="2" t="n"/>
    </row>
    <row r="114" ht="24.9" customHeight="1" s="344">
      <c r="C114" s="28" t="n"/>
      <c r="D114" s="28" t="n"/>
      <c r="E114" s="28" t="n"/>
      <c r="F114" s="28" t="n"/>
      <c r="G114" s="28" t="n"/>
      <c r="H114" s="28" t="n"/>
      <c r="I114" s="28" t="n"/>
      <c r="J114" s="91">
        <f>$J$3</f>
        <v/>
      </c>
      <c r="K114" s="35" t="n"/>
      <c r="L114" s="35" t="n"/>
      <c r="M114" s="2" t="n"/>
    </row>
    <row r="115" ht="24.9" customHeight="1" s="344">
      <c r="B115" s="72" t="n"/>
      <c r="C115" s="28" t="n"/>
      <c r="D115" s="28" t="n"/>
      <c r="E115" s="28" t="n"/>
      <c r="F115" s="28" t="n"/>
      <c r="G115" s="28" t="n"/>
      <c r="H115" s="28" t="n"/>
      <c r="I115" s="28" t="n"/>
      <c r="J115" s="91">
        <f>$J$4</f>
        <v/>
      </c>
      <c r="L115" s="35" t="n"/>
      <c r="M115" s="2" t="n"/>
    </row>
    <row r="116" ht="12.75" customHeight="1" s="344" thickBot="1">
      <c r="A116" s="78" t="n"/>
      <c r="B116" s="78" t="n"/>
      <c r="C116" s="78" t="n"/>
      <c r="D116" s="82" t="n"/>
      <c r="E116" s="78" t="n"/>
      <c r="F116" s="78" t="n"/>
      <c r="G116" s="78" t="n"/>
      <c r="H116" s="78" t="n"/>
      <c r="I116" s="78" t="n"/>
      <c r="J116" s="113" t="n"/>
      <c r="K116" s="35" t="n"/>
      <c r="M116" s="4" t="n"/>
    </row>
    <row r="117" ht="24.9" customFormat="1" customHeight="1" s="278" thickBot="1">
      <c r="A117" s="633" t="inlineStr">
        <is>
          <t>101.6 x35mm Frame 300 Pascal sill</t>
        </is>
      </c>
      <c r="B117" s="634" t="n"/>
      <c r="C117" s="634" t="n"/>
      <c r="D117" s="634" t="n"/>
      <c r="E117" s="634" t="n"/>
      <c r="F117" s="634" t="n"/>
      <c r="G117" s="634" t="n"/>
      <c r="H117" s="634" t="n"/>
      <c r="I117" s="634" t="n"/>
      <c r="J117" s="635" t="n"/>
      <c r="K117" s="35" t="n"/>
      <c r="L117" s="4" t="n"/>
      <c r="M117" s="4" t="n"/>
    </row>
    <row r="118" ht="18" customFormat="1" customHeight="1" s="278">
      <c r="A118" s="109" t="n"/>
      <c r="C118" s="72" t="n"/>
      <c r="D118" s="161" t="n"/>
      <c r="E118" s="35" t="n"/>
      <c r="J118" s="532" t="n"/>
      <c r="K118" s="35" t="n"/>
      <c r="L118" s="278" t="n"/>
      <c r="M118" s="278" t="n"/>
      <c r="N118" s="247" t="inlineStr">
        <is>
          <t>Glass size</t>
        </is>
      </c>
      <c r="O118" s="109" t="inlineStr">
        <is>
          <t>FRAME SEAL</t>
        </is>
      </c>
      <c r="P118" s="247" t="inlineStr">
        <is>
          <t>Finish</t>
        </is>
      </c>
    </row>
    <row r="119" ht="15" customFormat="1" customHeight="1" s="278">
      <c r="A119" s="109" t="n"/>
      <c r="C119" s="110" t="inlineStr">
        <is>
          <t>Project Name :</t>
        </is>
      </c>
      <c r="D119" s="637" t="n"/>
      <c r="E119" s="638" t="n"/>
      <c r="F119" s="638" t="n"/>
      <c r="G119" s="639" t="n"/>
      <c r="I119" s="94" t="n"/>
      <c r="J119" s="109" t="n"/>
      <c r="N119" s="247" t="n">
        <v>5</v>
      </c>
      <c r="O119" s="109" t="inlineStr">
        <is>
          <t>Standard</t>
        </is>
      </c>
      <c r="P119" s="335" t="inlineStr">
        <is>
          <t>Mill Finish</t>
        </is>
      </c>
    </row>
    <row r="120" ht="15" customFormat="1" customHeight="1" s="278">
      <c r="A120" s="109" t="n"/>
      <c r="C120" s="424" t="inlineStr">
        <is>
          <t xml:space="preserve">ชื่อโครงการ   </t>
        </is>
      </c>
      <c r="D120" s="278" t="n"/>
      <c r="H120" s="519" t="inlineStr">
        <is>
          <t>Quantity
จำนวน</t>
        </is>
      </c>
      <c r="J120" s="366" t="n">
        <v>1</v>
      </c>
      <c r="N120" s="248" t="n">
        <v>6</v>
      </c>
      <c r="O120" s="109" t="inlineStr">
        <is>
          <t>Soumdproof</t>
        </is>
      </c>
      <c r="P120" s="336" t="inlineStr">
        <is>
          <t>Natural Anodise</t>
        </is>
      </c>
    </row>
    <row r="121" ht="15" customFormat="1" customHeight="1" s="278">
      <c r="A121" s="109" t="n"/>
      <c r="C121" s="110" t="inlineStr">
        <is>
          <t>Frame Thickness :</t>
        </is>
      </c>
      <c r="D121" s="637" t="inlineStr">
        <is>
          <t>Standard (มาตรฐาน)</t>
        </is>
      </c>
      <c r="E121" s="638" t="n"/>
      <c r="F121" s="638" t="n"/>
      <c r="G121" s="639" t="n"/>
      <c r="J121" s="640" t="n"/>
      <c r="N121" s="248" t="n">
        <v>8</v>
      </c>
      <c r="P121" s="336" t="inlineStr">
        <is>
          <t>SMS White</t>
        </is>
      </c>
    </row>
    <row r="122" ht="15" customFormat="1" customHeight="1" s="278">
      <c r="A122" s="109" t="n"/>
      <c r="C122" s="424" t="inlineStr">
        <is>
          <t xml:space="preserve">ความหนาเฟรม   </t>
        </is>
      </c>
      <c r="D122" s="161" t="n"/>
      <c r="H122" s="101" t="n"/>
      <c r="I122" s="101" t="n"/>
      <c r="J122" s="109" t="n"/>
      <c r="N122" s="248" t="n">
        <v>10</v>
      </c>
      <c r="P122" s="336" t="inlineStr">
        <is>
          <t>SMS Black</t>
        </is>
      </c>
    </row>
    <row r="123" ht="15" customFormat="1" customHeight="1" s="278">
      <c r="A123" s="109" t="n"/>
      <c r="C123" s="110" t="inlineStr">
        <is>
          <t>Finish :</t>
        </is>
      </c>
      <c r="D123" s="637" t="inlineStr">
        <is>
          <t>Grey sahara</t>
        </is>
      </c>
      <c r="E123" s="638" t="n"/>
      <c r="F123" s="638" t="n"/>
      <c r="G123" s="639" t="n"/>
      <c r="H123" s="519" t="inlineStr">
        <is>
          <t>Height
ความสูง</t>
        </is>
      </c>
      <c r="J123" s="366" t="n">
        <v>2500</v>
      </c>
      <c r="N123" s="248" t="n">
        <v>12</v>
      </c>
      <c r="P123" s="335" t="inlineStr">
        <is>
          <t>Black Anodise</t>
        </is>
      </c>
    </row>
    <row r="124" ht="15" customFormat="1" customHeight="1" s="278">
      <c r="A124" s="109" t="n"/>
      <c r="C124" s="423" t="inlineStr">
        <is>
          <t xml:space="preserve">สีอลูมิเนียม   </t>
        </is>
      </c>
      <c r="D124" s="161" t="n"/>
      <c r="J124" s="640" t="n"/>
      <c r="N124" s="248" t="n">
        <v>14</v>
      </c>
      <c r="P124" s="335" t="inlineStr">
        <is>
          <t>Grey Sahara</t>
        </is>
      </c>
    </row>
    <row r="125" ht="15" customFormat="1" customHeight="1" s="278">
      <c r="A125" s="532" t="n"/>
      <c r="C125" s="111" t="inlineStr">
        <is>
          <t>Hardware colour :</t>
        </is>
      </c>
      <c r="D125" s="637" t="inlineStr">
        <is>
          <t>Silver</t>
        </is>
      </c>
      <c r="E125" s="638" t="n"/>
      <c r="F125" s="638" t="n"/>
      <c r="G125" s="639" t="n"/>
      <c r="H125" s="101" t="n"/>
      <c r="I125" s="101" t="n"/>
      <c r="J125" s="109" t="n"/>
      <c r="K125" s="507" t="n"/>
      <c r="L125" s="507" t="n"/>
      <c r="N125" s="248" t="n">
        <v>18</v>
      </c>
      <c r="P125" s="335" t="inlineStr">
        <is>
          <t>Aztec Grey</t>
        </is>
      </c>
    </row>
    <row r="126" ht="15" customFormat="1" customHeight="1" s="278">
      <c r="A126" s="532" t="n"/>
      <c r="B126" s="532" t="n"/>
      <c r="C126" s="423" t="inlineStr">
        <is>
          <t xml:space="preserve">สีฮาร์ดแวร์   </t>
        </is>
      </c>
      <c r="D126" s="161" t="n"/>
      <c r="H126" s="519" t="inlineStr">
        <is>
          <t>Width
ความกว้าง</t>
        </is>
      </c>
      <c r="J126" s="366" t="n">
        <v>2000</v>
      </c>
      <c r="K126" s="507" t="n"/>
      <c r="L126" s="507" t="n"/>
      <c r="N126" s="248" t="n">
        <v>20</v>
      </c>
      <c r="P126" s="335" t="inlineStr">
        <is>
          <t>Golden Teak Wood Grain</t>
        </is>
      </c>
    </row>
    <row r="127" ht="15" customFormat="1" customHeight="1" s="278">
      <c r="A127" s="532" t="n"/>
      <c r="B127" s="532" t="n"/>
      <c r="C127" s="110" t="inlineStr">
        <is>
          <t>Glass :</t>
        </is>
      </c>
      <c r="D127" s="641" t="n">
        <v>5</v>
      </c>
      <c r="E127" s="638" t="n"/>
      <c r="F127" s="638" t="n"/>
      <c r="G127" s="639" t="n"/>
      <c r="J127" s="640" t="n"/>
      <c r="N127" s="248" t="n">
        <v>22</v>
      </c>
      <c r="P127" s="335" t="inlineStr">
        <is>
          <t>Custom Colours</t>
        </is>
      </c>
    </row>
    <row r="128" ht="18.75" customFormat="1" customHeight="1" s="278">
      <c r="C128" s="423" t="inlineStr">
        <is>
          <t xml:space="preserve">กระจก   </t>
        </is>
      </c>
      <c r="I128" s="109" t="n"/>
      <c r="J128" s="109" t="n"/>
    </row>
    <row r="129" ht="15" customFormat="1" customHeight="1" s="278">
      <c r="A129" s="88">
        <f>A18</f>
        <v/>
      </c>
      <c r="C129" s="110" t="inlineStr">
        <is>
          <t>Frame Seal:</t>
        </is>
      </c>
      <c r="D129" s="637" t="inlineStr">
        <is>
          <t>Standard</t>
        </is>
      </c>
      <c r="E129" s="638" t="n"/>
      <c r="F129" s="638" t="n"/>
      <c r="G129" s="639" t="n"/>
      <c r="H129" s="109" t="n"/>
      <c r="I129" s="109" t="n"/>
      <c r="J129" s="109" t="n"/>
    </row>
    <row r="130" ht="18.75" customFormat="1" customHeight="1" s="278" thickBot="1">
      <c r="A130" s="76">
        <f>A19</f>
        <v/>
      </c>
      <c r="B130" s="22" t="n"/>
      <c r="C130" s="423" t="inlineStr">
        <is>
          <t xml:space="preserve">ยางเฟรม </t>
        </is>
      </c>
      <c r="D130" s="161" t="n"/>
      <c r="E130" s="109" t="n"/>
      <c r="F130" s="109" t="n"/>
      <c r="G130" s="109" t="n"/>
      <c r="H130" s="109" t="n"/>
      <c r="I130" s="109" t="n"/>
      <c r="J130" s="109" t="n"/>
    </row>
    <row r="131" ht="24.9" customFormat="1" customHeight="1" s="278" thickBot="1">
      <c r="A131" s="642" t="inlineStr">
        <is>
          <t>PARTS LIST EXTRUSIONS</t>
        </is>
      </c>
      <c r="B131" s="634" t="n"/>
      <c r="C131" s="634" t="n"/>
      <c r="D131" s="634" t="n"/>
      <c r="E131" s="634" t="n"/>
      <c r="F131" s="634" t="n"/>
      <c r="G131" s="634" t="n"/>
      <c r="H131" s="634" t="n"/>
      <c r="I131" s="634" t="n"/>
      <c r="J131" s="635" t="n"/>
    </row>
    <row r="132" ht="35.1" customFormat="1" customHeight="1" s="278" thickBot="1">
      <c r="A132" s="102" t="inlineStr">
        <is>
          <t>ITEM</t>
        </is>
      </c>
      <c r="B132" s="103" t="inlineStr">
        <is>
          <t>THAI</t>
        </is>
      </c>
      <c r="C132" s="103" t="inlineStr">
        <is>
          <t>DESCRIPTION</t>
        </is>
      </c>
      <c r="D132" s="103" t="inlineStr">
        <is>
          <t>DIE NO.</t>
        </is>
      </c>
      <c r="E132" s="103" t="inlineStr">
        <is>
          <t>KG/m</t>
        </is>
      </c>
      <c r="F132" s="104" t="inlineStr">
        <is>
          <t>BAR 
DRAWING</t>
        </is>
      </c>
      <c r="G132" s="103" t="inlineStr">
        <is>
          <t>QTY</t>
        </is>
      </c>
      <c r="H132" s="104" t="inlineStr">
        <is>
          <t>CUTTING 
FORMULA</t>
        </is>
      </c>
      <c r="I132" s="104" t="inlineStr">
        <is>
          <t>CUTTING
(mm)</t>
        </is>
      </c>
      <c r="J132" s="115" t="inlineStr">
        <is>
          <t>QTY/SET</t>
        </is>
      </c>
      <c r="N132" s="101" t="inlineStr">
        <is>
          <t>GLAZING BEAD</t>
        </is>
      </c>
      <c r="O132" s="249" t="inlineStr">
        <is>
          <t>THAI</t>
        </is>
      </c>
      <c r="P132" s="249" t="inlineStr">
        <is>
          <t>DESCRIPTION</t>
        </is>
      </c>
      <c r="Q132" s="249" t="inlineStr">
        <is>
          <t>DIE NO.</t>
        </is>
      </c>
      <c r="R132" s="249" t="inlineStr">
        <is>
          <t>KG/m</t>
        </is>
      </c>
      <c r="S132" s="250" t="inlineStr">
        <is>
          <t>BAR 
DRAWING</t>
        </is>
      </c>
      <c r="T132" s="249" t="inlineStr">
        <is>
          <t>QTY</t>
        </is>
      </c>
      <c r="U132" s="250" t="inlineStr">
        <is>
          <t>CUTTING 
FORMULA</t>
        </is>
      </c>
      <c r="V132" s="250" t="inlineStr">
        <is>
          <t>CUTTING
(mm)</t>
        </is>
      </c>
      <c r="W132" s="249" t="inlineStr">
        <is>
          <t>QTY/SET</t>
        </is>
      </c>
    </row>
    <row r="133" ht="18" customFormat="1" customHeight="1" s="278">
      <c r="A133" s="186">
        <f>IF(B133="","",1)</f>
        <v/>
      </c>
      <c r="B133" s="138" t="inlineStr">
        <is>
          <t>เฟรมบน</t>
        </is>
      </c>
      <c r="C133" s="138" t="inlineStr">
        <is>
          <t>HEAD</t>
        </is>
      </c>
      <c r="D133" s="137" t="inlineStr">
        <is>
          <t>B24001</t>
        </is>
      </c>
      <c r="E133" s="186" t="n">
        <v>1.603</v>
      </c>
      <c r="F133" s="137" t="inlineStr">
        <is>
          <t>B24001-001</t>
        </is>
      </c>
      <c r="G133" s="186" t="n">
        <v>1</v>
      </c>
      <c r="H133" s="186" t="inlineStr">
        <is>
          <t>W-60</t>
        </is>
      </c>
      <c r="I133" s="124">
        <f>$J$126-60</f>
        <v/>
      </c>
      <c r="J133" s="125">
        <f>$J$120*G133</f>
        <v/>
      </c>
      <c r="N133" s="101" t="inlineStr">
        <is>
          <t>H</t>
        </is>
      </c>
      <c r="O133" s="281" t="inlineStr">
        <is>
          <t>5-6mm คิ้วตบกระจกแนวนอน</t>
        </is>
      </c>
      <c r="P133" s="281" t="inlineStr">
        <is>
          <t>5-6mm GLAZING BEAD HORIZONTAL</t>
        </is>
      </c>
      <c r="Q133" s="284" t="inlineStr">
        <is>
          <t>B24008</t>
        </is>
      </c>
      <c r="R133" s="283" t="n">
        <v>0.231</v>
      </c>
      <c r="S133" s="284" t="inlineStr">
        <is>
          <t>B24008-001</t>
        </is>
      </c>
      <c r="T133" s="283" t="n">
        <v>30</v>
      </c>
      <c r="U133" s="283" t="inlineStr">
        <is>
          <t>(W-185-(113.25 × 14))/15</t>
        </is>
      </c>
      <c r="V133" s="307">
        <f>($J$126-185-(113.25*14))/15</f>
        <v/>
      </c>
      <c r="W133" s="286">
        <f>$J$120*T133</f>
        <v/>
      </c>
    </row>
    <row r="134" ht="18" customFormat="1" customHeight="1" s="278">
      <c r="A134" s="143">
        <f>IF(B134="","",+A133+1)</f>
        <v/>
      </c>
      <c r="B134" s="140" t="inlineStr">
        <is>
          <t>บังใบบน</t>
        </is>
      </c>
      <c r="C134" s="140" t="inlineStr">
        <is>
          <t>DOOR STOP HEAD</t>
        </is>
      </c>
      <c r="D134" s="139" t="inlineStr">
        <is>
          <t>B24002</t>
        </is>
      </c>
      <c r="E134" s="143" t="n">
        <v>0.278</v>
      </c>
      <c r="F134" s="139" t="inlineStr">
        <is>
          <t>B24002-001</t>
        </is>
      </c>
      <c r="G134" s="143" t="n">
        <v>1</v>
      </c>
      <c r="H134" s="143" t="inlineStr">
        <is>
          <t>W-86</t>
        </is>
      </c>
      <c r="I134" s="130">
        <f>$J$126-86</f>
        <v/>
      </c>
      <c r="J134" s="131">
        <f>$J$120*G134</f>
        <v/>
      </c>
      <c r="N134" s="101" t="n"/>
      <c r="O134" s="140" t="inlineStr">
        <is>
          <t>8-12mm คิ้วตบกระจกแนวนอน</t>
        </is>
      </c>
      <c r="P134" s="140" t="inlineStr">
        <is>
          <t>8-12mm GLAZING BEAD HORIZONTAL</t>
        </is>
      </c>
      <c r="Q134" s="140" t="inlineStr">
        <is>
          <t>B24016</t>
        </is>
      </c>
      <c r="R134" s="143" t="n">
        <v>0.215</v>
      </c>
      <c r="S134" s="140" t="inlineStr">
        <is>
          <t>B24016-001</t>
        </is>
      </c>
      <c r="T134" s="143" t="n">
        <v>30</v>
      </c>
      <c r="U134" s="143" t="inlineStr">
        <is>
          <t>(W-185-(113.25 × 14))/15</t>
        </is>
      </c>
      <c r="V134" s="178">
        <f>($J$126-185-(113.25*14))/15</f>
        <v/>
      </c>
      <c r="W134" s="131">
        <f>$J$120*T134</f>
        <v/>
      </c>
    </row>
    <row r="135" ht="18" customFormat="1" customHeight="1" s="278">
      <c r="A135" s="143">
        <f>IF(B135="","",+A134+1)</f>
        <v/>
      </c>
      <c r="B135" s="140" t="inlineStr">
        <is>
          <t xml:space="preserve">เฟรมล่าง </t>
        </is>
      </c>
      <c r="C135" s="140" t="inlineStr">
        <is>
          <t>SILL</t>
        </is>
      </c>
      <c r="D135" s="139" t="inlineStr">
        <is>
          <t>B24003</t>
        </is>
      </c>
      <c r="E135" s="143" t="n">
        <v>1.603</v>
      </c>
      <c r="F135" s="139" t="inlineStr">
        <is>
          <t>B24003-001</t>
        </is>
      </c>
      <c r="G135" s="143" t="n">
        <v>1</v>
      </c>
      <c r="H135" s="143" t="inlineStr">
        <is>
          <t>W-60</t>
        </is>
      </c>
      <c r="I135" s="130">
        <f>$J$126-60</f>
        <v/>
      </c>
      <c r="J135" s="131">
        <f>$J$120*G135</f>
        <v/>
      </c>
      <c r="N135" s="101" t="n"/>
      <c r="O135" s="142" t="inlineStr">
        <is>
          <t>14-22mm คิ้วตบกระจกแนวนอน</t>
        </is>
      </c>
      <c r="P135" s="142" t="inlineStr">
        <is>
          <t>14-22mm GLAZING BEAD HORIZONTAL</t>
        </is>
      </c>
      <c r="Q135" s="142" t="inlineStr">
        <is>
          <t>B24013</t>
        </is>
      </c>
      <c r="R135" s="240" t="n">
        <v>0.17</v>
      </c>
      <c r="S135" s="142" t="inlineStr">
        <is>
          <t>B24013-001</t>
        </is>
      </c>
      <c r="T135" s="240" t="n">
        <v>30</v>
      </c>
      <c r="U135" s="240" t="inlineStr">
        <is>
          <t>(W-185-(113.25 × 14))/15</t>
        </is>
      </c>
      <c r="V135" s="308">
        <f>($J$126-185-(113.25*14))/15</f>
        <v/>
      </c>
      <c r="W135" s="293">
        <f>$J$120*T135</f>
        <v/>
      </c>
    </row>
    <row r="136" ht="18" customFormat="1" customHeight="1" s="278">
      <c r="A136" s="143">
        <f>IF(B136="","",+A135+1)</f>
        <v/>
      </c>
      <c r="B136" s="140" t="inlineStr">
        <is>
          <t>ตัวตับธรณี</t>
        </is>
      </c>
      <c r="C136" s="140" t="inlineStr">
        <is>
          <t>DOOR STOP SILL</t>
        </is>
      </c>
      <c r="D136" s="139" t="inlineStr">
        <is>
          <t>B24004</t>
        </is>
      </c>
      <c r="E136" s="143" t="n">
        <v>0.516</v>
      </c>
      <c r="F136" s="139" t="inlineStr">
        <is>
          <t>B24004-001</t>
        </is>
      </c>
      <c r="G136" s="143" t="n">
        <v>1</v>
      </c>
      <c r="H136" s="143" t="inlineStr">
        <is>
          <t>W-60</t>
        </is>
      </c>
      <c r="I136" s="130">
        <f>$J$126-60</f>
        <v/>
      </c>
      <c r="J136" s="131">
        <f>$J$120*G136</f>
        <v/>
      </c>
      <c r="N136" s="101" t="inlineStr">
        <is>
          <t>V</t>
        </is>
      </c>
      <c r="O136" s="281" t="inlineStr">
        <is>
          <t>5-6mm คิ้วตบกระจกแนวตั้ง</t>
        </is>
      </c>
      <c r="P136" s="281" t="inlineStr">
        <is>
          <t>5-6mm GLAZING BEAD VERTICAL</t>
        </is>
      </c>
      <c r="Q136" s="284" t="inlineStr">
        <is>
          <t>B24008</t>
        </is>
      </c>
      <c r="R136" s="283" t="n">
        <v>0.231</v>
      </c>
      <c r="S136" s="284" t="inlineStr">
        <is>
          <t>B24008-002</t>
        </is>
      </c>
      <c r="T136" s="283" t="n">
        <v>30</v>
      </c>
      <c r="U136" s="283" t="inlineStr">
        <is>
          <t>H-242</t>
        </is>
      </c>
      <c r="V136" s="288">
        <f>$J$123-242</f>
        <v/>
      </c>
      <c r="W136" s="286">
        <f>$J$120*T136</f>
        <v/>
      </c>
    </row>
    <row r="137" ht="18" customFormat="1" customHeight="1" s="278">
      <c r="A137" s="143">
        <f>IF(B137="","",+A136+1)</f>
        <v/>
      </c>
      <c r="B137" s="140" t="inlineStr">
        <is>
          <t>เฟรมข้าง (ซ้าย)</t>
        </is>
      </c>
      <c r="C137" s="140" t="inlineStr">
        <is>
          <t>JAMB (L)</t>
        </is>
      </c>
      <c r="D137" s="139" t="inlineStr">
        <is>
          <t>B24005</t>
        </is>
      </c>
      <c r="E137" s="143" t="n">
        <v>0.893</v>
      </c>
      <c r="F137" s="139" t="inlineStr">
        <is>
          <t>B24005-001L</t>
        </is>
      </c>
      <c r="G137" s="143" t="n">
        <v>1</v>
      </c>
      <c r="H137" s="143" t="inlineStr">
        <is>
          <t>H</t>
        </is>
      </c>
      <c r="I137" s="130">
        <f>$J$123</f>
        <v/>
      </c>
      <c r="J137" s="131">
        <f>$J$120*G137</f>
        <v/>
      </c>
      <c r="N137" s="101" t="n"/>
      <c r="O137" s="140" t="inlineStr">
        <is>
          <t>8-12mm คิ้วตบกระจกแนวตั้ง</t>
        </is>
      </c>
      <c r="P137" s="140" t="inlineStr">
        <is>
          <t>8-12mm GLAZING BEAD VERTICAL</t>
        </is>
      </c>
      <c r="Q137" s="140" t="inlineStr">
        <is>
          <t>B24016</t>
        </is>
      </c>
      <c r="R137" s="143" t="n">
        <v>0.215</v>
      </c>
      <c r="S137" s="140" t="inlineStr">
        <is>
          <t>B24016-002</t>
        </is>
      </c>
      <c r="T137" s="143" t="n">
        <v>30</v>
      </c>
      <c r="U137" s="143" t="inlineStr">
        <is>
          <t>H-242</t>
        </is>
      </c>
      <c r="V137" s="130">
        <f>$J$123-242</f>
        <v/>
      </c>
      <c r="W137" s="131">
        <f>$J$120*T137</f>
        <v/>
      </c>
    </row>
    <row r="138" ht="18" customFormat="1" customHeight="1" s="278">
      <c r="A138" s="143">
        <f>IF(B138="","",+A137+1)</f>
        <v/>
      </c>
      <c r="B138" s="140" t="inlineStr">
        <is>
          <t>เฟรมข้าง (ขวา)</t>
        </is>
      </c>
      <c r="C138" s="140" t="inlineStr">
        <is>
          <t>JAMB (R)</t>
        </is>
      </c>
      <c r="D138" s="139" t="inlineStr">
        <is>
          <t>B24005</t>
        </is>
      </c>
      <c r="E138" s="143" t="n">
        <v>0.893</v>
      </c>
      <c r="F138" s="139" t="inlineStr">
        <is>
          <t>B24005-002R</t>
        </is>
      </c>
      <c r="G138" s="143" t="n">
        <v>1</v>
      </c>
      <c r="H138" s="143" t="inlineStr">
        <is>
          <t>H</t>
        </is>
      </c>
      <c r="I138" s="130">
        <f>$J$123</f>
        <v/>
      </c>
      <c r="J138" s="131">
        <f>$J$120*G138</f>
        <v/>
      </c>
      <c r="N138" s="101" t="n"/>
      <c r="O138" s="142" t="inlineStr">
        <is>
          <t>14-22mm คิ้วตบกระจกแนวตั้ง</t>
        </is>
      </c>
      <c r="P138" s="142" t="inlineStr">
        <is>
          <t>14-22mm GLAZING BEAD VERTICAL</t>
        </is>
      </c>
      <c r="Q138" s="141" t="inlineStr">
        <is>
          <t>B24013</t>
        </is>
      </c>
      <c r="R138" s="240" t="n">
        <v>0.17</v>
      </c>
      <c r="S138" s="142" t="inlineStr">
        <is>
          <t>B24013-002</t>
        </is>
      </c>
      <c r="T138" s="240" t="n">
        <v>30</v>
      </c>
      <c r="U138" s="240" t="inlineStr">
        <is>
          <t>H-242</t>
        </is>
      </c>
      <c r="V138" s="136">
        <f>$J$123-242</f>
        <v/>
      </c>
      <c r="W138" s="293">
        <f>$J$120*T138</f>
        <v/>
      </c>
    </row>
    <row r="139" ht="18" customFormat="1" customHeight="1" s="278">
      <c r="A139" s="143">
        <f>IF(B139="","",+A138+1)</f>
        <v/>
      </c>
      <c r="B139" s="140" t="inlineStr">
        <is>
          <t>บังใบข้าง (ซ้าย)</t>
        </is>
      </c>
      <c r="C139" s="140" t="inlineStr">
        <is>
          <t>DOOR STOP JAMB (L)</t>
        </is>
      </c>
      <c r="D139" s="139" t="inlineStr">
        <is>
          <t>B24006</t>
        </is>
      </c>
      <c r="E139" s="143" t="n">
        <v>0.235</v>
      </c>
      <c r="F139" s="139" t="inlineStr">
        <is>
          <t>B24006-001L</t>
        </is>
      </c>
      <c r="G139" s="143" t="n">
        <v>1</v>
      </c>
      <c r="H139" s="143" t="inlineStr">
        <is>
          <t>H-96</t>
        </is>
      </c>
      <c r="I139" s="130">
        <f>$J$123-96</f>
        <v/>
      </c>
      <c r="J139" s="131">
        <f>$J$120*G139</f>
        <v/>
      </c>
      <c r="N139" s="287" t="n"/>
    </row>
    <row r="140" ht="18" customFormat="1" customHeight="1" s="278">
      <c r="A140" s="143">
        <f>IF(B140="","",+A139+1)</f>
        <v/>
      </c>
      <c r="B140" s="140" t="inlineStr">
        <is>
          <t>บังใบข้าง (ขวา)</t>
        </is>
      </c>
      <c r="C140" s="140" t="inlineStr">
        <is>
          <t>DOOR STOP JAMB (R)</t>
        </is>
      </c>
      <c r="D140" s="139" t="inlineStr">
        <is>
          <t>B24006</t>
        </is>
      </c>
      <c r="E140" s="143" t="n">
        <v>0.235</v>
      </c>
      <c r="F140" s="139" t="inlineStr">
        <is>
          <t>B24006-002R</t>
        </is>
      </c>
      <c r="G140" s="143" t="n">
        <v>1</v>
      </c>
      <c r="H140" s="143" t="inlineStr">
        <is>
          <t>H-96</t>
        </is>
      </c>
      <c r="I140" s="130">
        <f>$J$123-96</f>
        <v/>
      </c>
      <c r="J140" s="131">
        <f>$J$120*G140</f>
        <v/>
      </c>
      <c r="N140" s="287" t="n"/>
    </row>
    <row r="141" ht="18" customFormat="1" customHeight="1" s="278">
      <c r="A141" s="143">
        <f>IF(B141="","",+A140+1)</f>
        <v/>
      </c>
      <c r="B141" s="140" t="inlineStr">
        <is>
          <t>ขวางบน</t>
        </is>
      </c>
      <c r="C141" s="140" t="inlineStr">
        <is>
          <t>SASH (Hor) (T)</t>
        </is>
      </c>
      <c r="D141" s="139" t="inlineStr">
        <is>
          <t>B24007</t>
        </is>
      </c>
      <c r="E141" s="143" t="n">
        <v>1.106</v>
      </c>
      <c r="F141" s="139" t="inlineStr">
        <is>
          <t>B24007-001</t>
        </is>
      </c>
      <c r="G141" s="143" t="n">
        <v>15</v>
      </c>
      <c r="H141" s="683" t="inlineStr">
        <is>
          <t>45° (W-60-(15+1)×4)/15</t>
        </is>
      </c>
      <c r="I141" s="178">
        <f>($J$126-60-(15+1)*4)/15</f>
        <v/>
      </c>
      <c r="J141" s="131">
        <f>$J$120*G141</f>
        <v/>
      </c>
      <c r="N141" s="287" t="n"/>
    </row>
    <row r="142" ht="18" customFormat="1" customHeight="1" s="278">
      <c r="A142" s="143">
        <f>IF(B142="","",+A141+1)</f>
        <v/>
      </c>
      <c r="B142" s="140" t="inlineStr">
        <is>
          <t>ขวางล่าง</t>
        </is>
      </c>
      <c r="C142" s="140" t="inlineStr">
        <is>
          <t>SASH (Hor) (B)</t>
        </is>
      </c>
      <c r="D142" s="139" t="inlineStr">
        <is>
          <t>B24007</t>
        </is>
      </c>
      <c r="E142" s="143" t="n">
        <v>1.106</v>
      </c>
      <c r="F142" s="139" t="inlineStr">
        <is>
          <t>B24007-001</t>
        </is>
      </c>
      <c r="G142" s="143" t="n">
        <v>15</v>
      </c>
      <c r="H142" s="683" t="inlineStr">
        <is>
          <t>45° (W-60-(15+1)×4)/15</t>
        </is>
      </c>
      <c r="I142" s="178">
        <f>($J$126-60-(15+1)*4)/15</f>
        <v/>
      </c>
      <c r="J142" s="131">
        <f>$J$120*G142</f>
        <v/>
      </c>
      <c r="N142" s="287" t="n"/>
    </row>
    <row r="143" ht="18" customFormat="1" customHeight="1" s="278">
      <c r="A143" s="143">
        <f>IF(B143="","",+A142+1)</f>
        <v/>
      </c>
      <c r="B143" s="140" t="inlineStr">
        <is>
          <t>เสา</t>
        </is>
      </c>
      <c r="C143" s="140" t="inlineStr">
        <is>
          <t xml:space="preserve">SASH (Ver) </t>
        </is>
      </c>
      <c r="D143" s="139" t="inlineStr">
        <is>
          <t>B24007</t>
        </is>
      </c>
      <c r="E143" s="143" t="n">
        <v>1.106</v>
      </c>
      <c r="F143" s="139" t="inlineStr">
        <is>
          <t>B24007-002</t>
        </is>
      </c>
      <c r="G143" s="143" t="n">
        <v>22</v>
      </c>
      <c r="H143" s="143" t="inlineStr">
        <is>
          <t>H-92</t>
        </is>
      </c>
      <c r="I143" s="130">
        <f>$J$123-92</f>
        <v/>
      </c>
      <c r="J143" s="131">
        <f>$J$120*G143</f>
        <v/>
      </c>
      <c r="N143" s="287" t="n"/>
    </row>
    <row r="144" ht="18" customFormat="1" customHeight="1" s="278">
      <c r="A144" s="143">
        <f>IF(B144="","",+A143+1)</f>
        <v/>
      </c>
      <c r="B144" s="140" t="inlineStr">
        <is>
          <t>เสากุญแจ</t>
        </is>
      </c>
      <c r="C144" s="140" t="inlineStr">
        <is>
          <t xml:space="preserve">SASH (Ver) LOCK </t>
        </is>
      </c>
      <c r="D144" s="139" t="inlineStr">
        <is>
          <t>B24007</t>
        </is>
      </c>
      <c r="E144" s="143" t="n">
        <v>1.106</v>
      </c>
      <c r="F144" s="139" t="inlineStr">
        <is>
          <t>B24007-006R</t>
        </is>
      </c>
      <c r="G144" s="143" t="n">
        <v>4</v>
      </c>
      <c r="H144" s="143" t="inlineStr">
        <is>
          <t>H-92</t>
        </is>
      </c>
      <c r="I144" s="130">
        <f>$J$123-92</f>
        <v/>
      </c>
      <c r="J144" s="131">
        <f>$J$120*G144</f>
        <v/>
      </c>
      <c r="N144" s="287" t="n"/>
    </row>
    <row r="145" ht="18" customFormat="1" customHeight="1" s="278">
      <c r="A145" s="143">
        <f>IF(B145="","",+A144+1)</f>
        <v/>
      </c>
      <c r="B145" s="140" t="inlineStr">
        <is>
          <t>เสากุญแจ</t>
        </is>
      </c>
      <c r="C145" s="140" t="inlineStr">
        <is>
          <t xml:space="preserve">SASH (Ver) LOCK </t>
        </is>
      </c>
      <c r="D145" s="139" t="inlineStr">
        <is>
          <t>B24007</t>
        </is>
      </c>
      <c r="E145" s="143" t="n">
        <v>1.106</v>
      </c>
      <c r="F145" s="139" t="inlineStr">
        <is>
          <t>B24007-005L</t>
        </is>
      </c>
      <c r="G145" s="143" t="n">
        <v>3</v>
      </c>
      <c r="H145" s="143" t="inlineStr">
        <is>
          <t>H-92</t>
        </is>
      </c>
      <c r="I145" s="130">
        <f>$J$123-92</f>
        <v/>
      </c>
      <c r="J145" s="131">
        <f>$J$120*G145</f>
        <v/>
      </c>
      <c r="N145" s="287" t="n"/>
    </row>
    <row r="146" ht="18" customFormat="1" customHeight="1" s="278">
      <c r="A146" s="143">
        <f>IF(B146="","",+A145+1)</f>
        <v/>
      </c>
      <c r="B146" s="140" t="inlineStr">
        <is>
          <t>เสากุญแจมือจับ</t>
        </is>
      </c>
      <c r="C146" s="140" t="inlineStr">
        <is>
          <t>SASH (Ver) LOCK HANDLE</t>
        </is>
      </c>
      <c r="D146" s="139" t="inlineStr">
        <is>
          <t>B24007</t>
        </is>
      </c>
      <c r="E146" s="143" t="n">
        <v>1.106</v>
      </c>
      <c r="F146" s="139" t="inlineStr">
        <is>
          <t>B24007-003L</t>
        </is>
      </c>
      <c r="G146" s="143" t="n">
        <v>1</v>
      </c>
      <c r="H146" s="143" t="inlineStr">
        <is>
          <t>H-92</t>
        </is>
      </c>
      <c r="I146" s="130">
        <f>$J$123-92</f>
        <v/>
      </c>
      <c r="J146" s="131">
        <f>$J$120*G146</f>
        <v/>
      </c>
      <c r="N146" s="287" t="n"/>
    </row>
    <row r="147" ht="18" customFormat="1" customHeight="1" s="278">
      <c r="A147" s="143">
        <f>IF(B147="","",+A146+1)</f>
        <v/>
      </c>
      <c r="B147" s="140">
        <f>IF($D$127=5,O133,IF($D$127=6,O133,IF($D$127=8,O134,IF($D$127=10,O134,IF($D$127=12,O134,IF($D$127=14,O135,IF($D$127=18,O135,IF($D$127=20,O135,IF($D$127=22,O135,)))))))))</f>
        <v/>
      </c>
      <c r="C147" s="140">
        <f>IF($D$127=5,P133,IF($D$127=6,P133,IF($D$127=8,P134,IF($D$127=10,P134,IF($D$127=12,P134,IF($D$127=14,P135,IF($D$127=18,P135,IF($D$127=20,P135,IF($D$127=22,P135,)))))))))</f>
        <v/>
      </c>
      <c r="D147" s="140">
        <f>IF($D$127=5,Q133,IF($D$127=6,Q133,IF($D$127=8,Q134,IF($D$127=10,Q134,IF($D$127=12,Q134,IF($D$127=14,Q135,IF($D$127=18,Q135,IF($D$127=20,Q135,IF($D$127=22,Q135,)))))))))</f>
        <v/>
      </c>
      <c r="E147" s="140">
        <f>IF($D$127=5,R133,IF($D$127=6,R133,IF($D$127=8,R134,IF($D$127=10,R134,IF($D$127=12,R134,IF($D$127=14,R135,IF($D$127=18,R135,IF($D$127=20,R135,IF($D$127=22,R135,)))))))))</f>
        <v/>
      </c>
      <c r="F147" s="140">
        <f>IF($D$127=5,S133,IF($D$127=6,S133,IF($D$127=8,S134,IF($D$127=10,S134,IF($D$127=12,S134,IF($D$127=14,S135,IF($D$127=18,S135,IF($D$127=20,S135,IF($D$127=22,S135,)))))))))</f>
        <v/>
      </c>
      <c r="G147" s="143">
        <f>IF($D$127=5,T133,IF($D$127=6,T133,IF($D$127=8,T134,IF($D$127=10,T134,IF($D$127=12,T134,IF($D$127=14,T135,IF($D$127=18,T135,IF($D$127=20,T135,IF($D$127=22,T135,)))))))))</f>
        <v/>
      </c>
      <c r="H147" s="143">
        <f>IF($D$127=5,U133,IF($D$127=6,U133,IF($D$127=8,U134,IF($D$127=10,U134,IF($D$127=12,U134,IF($D$127=14,U135,IF($D$127=18,U135,IF($D$127=20,U135,IF($D$127=22,U135,)))))))))</f>
        <v/>
      </c>
      <c r="I147" s="178">
        <f>IF($D$127=5,V133,IF($D$127=6,V133,IF($D$127=8,V134,IF($D$127=10,V134,IF($D$127=12,V134,IF($D$127=14,V135,IF($D$127=18,V135,IF($D$127=20,V135,IF($D$127=22,V135,)))))))))</f>
        <v/>
      </c>
      <c r="J147" s="131">
        <f>$J$120*G147</f>
        <v/>
      </c>
      <c r="N147" s="287" t="n"/>
    </row>
    <row r="148" ht="18" customFormat="1" customHeight="1" s="278">
      <c r="A148" s="143">
        <f>IF(B148="","",+A147+1)</f>
        <v/>
      </c>
      <c r="B148" s="140">
        <f>IF($D$127=5,O136,IF($D$127=6,O136,IF($D$127=8,O137,IF($D$127=10,O137,IF($D$127=12,O137,IF($D$127=14,O138,IF($D$127=18,O138,IF($D$127=20,O138,IF($D$127=22,O138,)))))))))</f>
        <v/>
      </c>
      <c r="C148" s="140">
        <f>IF($D$127=5,P136,IF($D$127=6,P136,IF($D$127=8,P137,IF($D$127=10,P137,IF($D$127=12,P137,IF($D$127=14,P138,IF($D$127=18,P138,IF($D$127=20,P138,IF($D$127=22,P138,)))))))))</f>
        <v/>
      </c>
      <c r="D148" s="140">
        <f>IF($D$127=5,Q136,IF($D$127=6,Q136,IF($D$127=8,Q137,IF($D$127=10,Q137,IF($D$127=12,Q137,IF($D$127=14,Q138,IF($D$127=18,Q138,IF($D$127=20,Q138,IF($D$127=22,Q138,)))))))))</f>
        <v/>
      </c>
      <c r="E148" s="140">
        <f>IF($D$127=5,R136,IF($D$127=6,R136,IF($D$127=8,R137,IF($D$127=10,R137,IF($D$127=12,R137,IF($D$127=14,R138,IF($D$127=18,R138,IF($D$127=20,R138,IF($D$127=22,R138,)))))))))</f>
        <v/>
      </c>
      <c r="F148" s="140">
        <f>IF($D$127=5,S136,IF($D$127=6,S136,IF($D$127=8,S137,IF($D$127=10,S137,IF($D$127=12,S137,IF($D$127=14,S138,IF($D$127=18,S138,IF($D$127=20,S138,IF($D$127=22,S138,)))))))))</f>
        <v/>
      </c>
      <c r="G148" s="143">
        <f>IF($D$127=5,T136,IF($D$127=6,T136,IF($D$127=8,T137,IF($D$127=10,T137,IF($D$127=12,T137,IF($D$127=14,T138,IF($D$127=18,T138,IF($D$127=20,T138,IF($D$127=22,T138,)))))))))</f>
        <v/>
      </c>
      <c r="H148" s="143">
        <f>IF($D$127=5,U136,IF($D$127=6,U136,IF($D$127=8,U137,IF($D$127=10,U137,IF($D$127=12,U137,IF($D$127=14,U138,IF($D$127=18,U138,IF($D$127=20,U138,IF($D$127=22,U138,)))))))))</f>
        <v/>
      </c>
      <c r="I148" s="144">
        <f>IF($D$127=5,V136,IF($D$127=6,V136,IF($D$127=8,V137,IF($D$127=10,V137,IF($D$127=12,V137,IF($D$127=14,V138,IF($D$127=18,V138,IF($D$127=20,V138,IF($D$127=22,V138,)))))))))</f>
        <v/>
      </c>
      <c r="J148" s="131">
        <f>$J$120*G148</f>
        <v/>
      </c>
      <c r="N148" s="287" t="n"/>
    </row>
    <row r="149" ht="18" customFormat="1" customHeight="1" s="278">
      <c r="A149" s="143">
        <f>IF(B149="","",+A148+1)</f>
        <v/>
      </c>
      <c r="B149" s="140" t="inlineStr">
        <is>
          <t>บังใบ</t>
        </is>
      </c>
      <c r="C149" s="140" t="inlineStr">
        <is>
          <t>SASH STOP</t>
        </is>
      </c>
      <c r="D149" s="139" t="inlineStr">
        <is>
          <t>B24009</t>
        </is>
      </c>
      <c r="E149" s="143" t="n"/>
      <c r="F149" s="139" t="inlineStr">
        <is>
          <t>B24009-001</t>
        </is>
      </c>
      <c r="G149" s="143" t="n">
        <v>1</v>
      </c>
      <c r="H149" s="143" t="inlineStr">
        <is>
          <t>H-92</t>
        </is>
      </c>
      <c r="I149" s="130">
        <f>$J$123-92</f>
        <v/>
      </c>
      <c r="J149" s="131">
        <f>$J$120*G149</f>
        <v/>
      </c>
      <c r="N149" s="287" t="n"/>
    </row>
    <row r="150" ht="18" customFormat="1" customHeight="1" s="278">
      <c r="A150" s="143">
        <f>IF(B150="","",+A149+1)</f>
        <v/>
      </c>
      <c r="B150" s="140" t="inlineStr">
        <is>
          <t>บังใบ</t>
        </is>
      </c>
      <c r="C150" s="140" t="inlineStr">
        <is>
          <t>SASH STOP</t>
        </is>
      </c>
      <c r="D150" s="139" t="inlineStr">
        <is>
          <t>B24009</t>
        </is>
      </c>
      <c r="E150" s="143" t="n"/>
      <c r="F150" s="139" t="inlineStr">
        <is>
          <t>B24009-002</t>
        </is>
      </c>
      <c r="G150" s="143" t="n">
        <v>1</v>
      </c>
      <c r="H150" s="143" t="inlineStr">
        <is>
          <t>H-92</t>
        </is>
      </c>
      <c r="I150" s="130">
        <f>$J$123-92</f>
        <v/>
      </c>
      <c r="J150" s="131">
        <f>$J$120*G150</f>
        <v/>
      </c>
      <c r="N150" s="287" t="n"/>
    </row>
    <row r="151" ht="18" customFormat="1" customHeight="1" s="278" thickBot="1">
      <c r="A151" s="143">
        <f>IF(B151="","",+A140+1)</f>
        <v/>
      </c>
      <c r="B151" s="207" t="n"/>
      <c r="C151" s="207" t="n"/>
      <c r="D151" s="208" t="n"/>
      <c r="E151" s="209" t="n"/>
      <c r="F151" s="208" t="n"/>
      <c r="G151" s="209" t="n"/>
      <c r="H151" s="209" t="n"/>
      <c r="I151" s="171" t="n"/>
      <c r="J151" s="172">
        <f>$J$120*G151</f>
        <v/>
      </c>
    </row>
    <row r="152" outlineLevel="1" ht="27" customFormat="1" customHeight="1" s="278" thickBot="1">
      <c r="A152" s="169" t="inlineStr">
        <is>
          <t>ITEM</t>
        </is>
      </c>
      <c r="B152" s="169" t="inlineStr">
        <is>
          <t>THAI</t>
        </is>
      </c>
      <c r="C152" s="169" t="inlineStr">
        <is>
          <t>DESCRIPTION</t>
        </is>
      </c>
      <c r="D152" s="169" t="inlineStr">
        <is>
          <t>DIE NO.</t>
        </is>
      </c>
      <c r="E152" s="169" t="inlineStr">
        <is>
          <t>KG/m</t>
        </is>
      </c>
      <c r="F152" s="177" t="inlineStr">
        <is>
          <t>TOTAL
LENGTH/SET(mm)</t>
        </is>
      </c>
      <c r="G152" s="169" t="inlineStr">
        <is>
          <t>LENGTH/SET(m)</t>
        </is>
      </c>
      <c r="H152" s="170" t="inlineStr">
        <is>
          <t>TAKE OFF/6.4M</t>
        </is>
      </c>
      <c r="I152" s="540" t="n"/>
    </row>
    <row r="153" outlineLevel="1" ht="15" customFormat="1" customHeight="1" s="278">
      <c r="A153" s="21">
        <f>IF(B153="","",1)</f>
        <v/>
      </c>
      <c r="B153" s="173">
        <f>B133</f>
        <v/>
      </c>
      <c r="C153" s="173">
        <f>C133</f>
        <v/>
      </c>
      <c r="D153" s="577">
        <f>VLOOKUP(C153,$C$133:$H$151,2,0)</f>
        <v/>
      </c>
      <c r="E153" s="175">
        <f>VLOOKUP(C153,$C$133:$H$151,3,0)</f>
        <v/>
      </c>
      <c r="F153" s="353">
        <f>VLOOKUP(C153,$C$133:$J$151,7,0)</f>
        <v/>
      </c>
      <c r="G153" s="175">
        <f>VLOOKUP(C153,$C$133:$J$151,8,0)</f>
        <v/>
      </c>
      <c r="H153" s="191">
        <f>ROUNDUP((F153*G153)/6400,0)</f>
        <v/>
      </c>
      <c r="I153" s="501" t="n"/>
    </row>
    <row r="154" outlineLevel="1" ht="15" customFormat="1" customHeight="1" s="278">
      <c r="A154" s="213">
        <f>IF(B154="","",+A153+1)</f>
        <v/>
      </c>
      <c r="B154" s="173">
        <f>B134</f>
        <v/>
      </c>
      <c r="C154" s="173">
        <f>C134</f>
        <v/>
      </c>
      <c r="D154" s="577">
        <f>VLOOKUP(C154,$C$133:$H$151,2,0)</f>
        <v/>
      </c>
      <c r="E154" s="175">
        <f>VLOOKUP(C154,$C$133:$H$151,3,0)</f>
        <v/>
      </c>
      <c r="F154" s="353">
        <f>VLOOKUP(C154,$C$133:$I$151,7,0)</f>
        <v/>
      </c>
      <c r="G154" s="175">
        <f>VLOOKUP(C154,$C$133:$J$151,8,0)</f>
        <v/>
      </c>
      <c r="H154" s="192">
        <f>ROUNDUP((F154*G154)/6400,0)</f>
        <v/>
      </c>
      <c r="I154" s="501" t="n"/>
    </row>
    <row r="155" outlineLevel="1" ht="15" customFormat="1" customHeight="1" s="278">
      <c r="A155" s="213">
        <f>IF(B155="","",+A154+1)</f>
        <v/>
      </c>
      <c r="B155" s="173">
        <f>B135</f>
        <v/>
      </c>
      <c r="C155" s="173">
        <f>C135</f>
        <v/>
      </c>
      <c r="D155" s="577">
        <f>VLOOKUP(C155,$C$133:$H$151,2,0)</f>
        <v/>
      </c>
      <c r="E155" s="175">
        <f>VLOOKUP(C155,$C$133:$H$151,3,0)</f>
        <v/>
      </c>
      <c r="F155" s="353">
        <f>VLOOKUP(C155,$C$133:$I$151,7,0)</f>
        <v/>
      </c>
      <c r="G155" s="175">
        <f>VLOOKUP(C155,$C$133:$J$151,8,0)</f>
        <v/>
      </c>
      <c r="H155" s="192">
        <f>ROUNDUP((F155*G155)/6400,0)</f>
        <v/>
      </c>
      <c r="I155" s="501" t="n"/>
    </row>
    <row r="156" outlineLevel="1" ht="15" customFormat="1" customHeight="1" s="278">
      <c r="A156" s="213">
        <f>IF(B156="","",+A155+1)</f>
        <v/>
      </c>
      <c r="B156" s="173">
        <f>B136</f>
        <v/>
      </c>
      <c r="C156" s="173">
        <f>C136</f>
        <v/>
      </c>
      <c r="D156" s="577">
        <f>VLOOKUP(C156,$C$133:$H$151,2,0)</f>
        <v/>
      </c>
      <c r="E156" s="175">
        <f>VLOOKUP(C156,$C$133:$H$151,3,0)</f>
        <v/>
      </c>
      <c r="F156" s="353">
        <f>VLOOKUP(C156,$C$133:$I$151,7,0)</f>
        <v/>
      </c>
      <c r="G156" s="175">
        <f>VLOOKUP(C156,$C$133:$J$151,8,0)</f>
        <v/>
      </c>
      <c r="H156" s="192">
        <f>ROUNDUP((F156*G156)/6400,0)</f>
        <v/>
      </c>
      <c r="I156" s="501" t="n"/>
    </row>
    <row r="157" outlineLevel="1" ht="15" customFormat="1" customHeight="1" s="278">
      <c r="A157" s="213">
        <f>IF(B157="","",+A156+1)</f>
        <v/>
      </c>
      <c r="B157" s="173">
        <f>B137</f>
        <v/>
      </c>
      <c r="C157" s="173">
        <f>C137</f>
        <v/>
      </c>
      <c r="D157" s="643">
        <f>VLOOKUP(C157,$C$133:$H$151,2,0)</f>
        <v/>
      </c>
      <c r="E157" s="175">
        <f>VLOOKUP(C157,$C$133:$H$151,3,0)</f>
        <v/>
      </c>
      <c r="F157" s="353">
        <f>VLOOKUP(C157,$C$133:$I$151,7,0)</f>
        <v/>
      </c>
      <c r="G157" s="175">
        <f>VLOOKUP(C157,$C$133:$J$151,8,0)</f>
        <v/>
      </c>
      <c r="H157" s="516">
        <f>ROUNDUP(((F157*G157)+(F158*G158))/6400,0)</f>
        <v/>
      </c>
      <c r="I157" s="506" t="n"/>
    </row>
    <row r="158" outlineLevel="1" ht="15" customFormat="1" customHeight="1" s="278">
      <c r="A158" s="213">
        <f>IF(B158="","",+A157+1)</f>
        <v/>
      </c>
      <c r="B158" s="173">
        <f>B138</f>
        <v/>
      </c>
      <c r="C158" s="173">
        <f>C138</f>
        <v/>
      </c>
      <c r="D158" s="625" t="n"/>
      <c r="E158" s="175">
        <f>VLOOKUP(C158,$C$133:$H$151,3,0)</f>
        <v/>
      </c>
      <c r="F158" s="353">
        <f>VLOOKUP(C158,$C$133:$I$151,7,0)</f>
        <v/>
      </c>
      <c r="G158" s="175">
        <f>VLOOKUP(C158,$C$133:$J$151,8,0)</f>
        <v/>
      </c>
      <c r="H158" s="644" t="n"/>
    </row>
    <row r="159" outlineLevel="1" ht="15" customFormat="1" customHeight="1" s="278">
      <c r="A159" s="213">
        <f>IF(B159="","",+A158+1)</f>
        <v/>
      </c>
      <c r="B159" s="173">
        <f>B139</f>
        <v/>
      </c>
      <c r="C159" s="173">
        <f>C139</f>
        <v/>
      </c>
      <c r="D159" s="643">
        <f>VLOOKUP(C159,$C$133:$H$151,2,0)</f>
        <v/>
      </c>
      <c r="E159" s="175">
        <f>VLOOKUP(C159,$C$133:$H$151,3,0)</f>
        <v/>
      </c>
      <c r="F159" s="353">
        <f>VLOOKUP(C159,$C$133:$I$151,7,0)</f>
        <v/>
      </c>
      <c r="G159" s="175">
        <f>VLOOKUP(C159,$C$133:$J$151,8,0)</f>
        <v/>
      </c>
      <c r="H159" s="516">
        <f>ROUNDUP(((F159*G159)+(F160*G160))/6400,0)</f>
        <v/>
      </c>
      <c r="I159" s="501" t="n"/>
    </row>
    <row r="160" outlineLevel="1" ht="15" customFormat="1" customHeight="1" s="278">
      <c r="A160" s="213">
        <f>IF(B160="","",+A159+1)</f>
        <v/>
      </c>
      <c r="B160" s="173">
        <f>B140</f>
        <v/>
      </c>
      <c r="C160" s="173">
        <f>C140</f>
        <v/>
      </c>
      <c r="D160" s="625" t="n"/>
      <c r="E160" s="175">
        <f>VLOOKUP(C160,$C$133:$H$151,3,0)</f>
        <v/>
      </c>
      <c r="F160" s="353">
        <f>VLOOKUP(C160,$C$133:$I$151,7,0)</f>
        <v/>
      </c>
      <c r="G160" s="175">
        <f>VLOOKUP(C160,$C$133:$J$151,8,0)</f>
        <v/>
      </c>
      <c r="H160" s="644" t="n"/>
      <c r="I160" s="506" t="n"/>
    </row>
    <row r="161" outlineLevel="1" ht="13.8" customFormat="1" customHeight="1" s="278">
      <c r="A161" s="213">
        <f>IF(B161="","",+A160+1)</f>
        <v/>
      </c>
      <c r="B161" s="173">
        <f>B141</f>
        <v/>
      </c>
      <c r="C161" s="173">
        <f>C141</f>
        <v/>
      </c>
      <c r="D161" s="643">
        <f>VLOOKUP(C161,$C$133:$H$151,2,0)</f>
        <v/>
      </c>
      <c r="E161" s="175">
        <f>VLOOKUP(C161,$C$133:$H$151,3,0)</f>
        <v/>
      </c>
      <c r="F161" s="353">
        <f>VLOOKUP(C161,$C$133:$I$151,7,0)</f>
        <v/>
      </c>
      <c r="G161" s="175">
        <f>VLOOKUP(C161,$C$133:$J$151,8,0)</f>
        <v/>
      </c>
      <c r="H161" s="516">
        <f>ROUNDUP(((F161*G161)+(F162*G162)+(F163*G163)+(F164*G164)+(F165*G165)+(F166*G166))/6400,0)</f>
        <v/>
      </c>
    </row>
    <row r="162" outlineLevel="1" ht="13.8" customFormat="1" customHeight="1" s="278">
      <c r="A162" s="213">
        <f>IF(B162="","",+A161+1)</f>
        <v/>
      </c>
      <c r="B162" s="173">
        <f>B142</f>
        <v/>
      </c>
      <c r="C162" s="173">
        <f>C142</f>
        <v/>
      </c>
      <c r="D162" s="624" t="n"/>
      <c r="E162" s="175">
        <f>VLOOKUP(C162,$C$133:$H$151,3,0)</f>
        <v/>
      </c>
      <c r="F162" s="353">
        <f>VLOOKUP(C162,$C$133:$I$151,7,0)</f>
        <v/>
      </c>
      <c r="G162" s="175">
        <f>VLOOKUP(C162,$C$133:$J$151,8,0)</f>
        <v/>
      </c>
      <c r="H162" s="646" t="n"/>
    </row>
    <row r="163" outlineLevel="1" ht="13.8" customFormat="1" customHeight="1" s="278">
      <c r="A163" s="213">
        <f>IF(B163="","",+A162+1)</f>
        <v/>
      </c>
      <c r="B163" s="173">
        <f>B143</f>
        <v/>
      </c>
      <c r="C163" s="173">
        <f>C143</f>
        <v/>
      </c>
      <c r="D163" s="624" t="n"/>
      <c r="E163" s="175">
        <f>VLOOKUP(C163,$C$133:$H$151,3,0)</f>
        <v/>
      </c>
      <c r="F163" s="353">
        <f>VLOOKUP(C163,$C$133:$I$151,7,0)</f>
        <v/>
      </c>
      <c r="G163" s="175">
        <f>VLOOKUP(C163,$C$133:$J$151,8,0)</f>
        <v/>
      </c>
      <c r="H163" s="646" t="n"/>
    </row>
    <row r="164" outlineLevel="1" ht="13.8" customFormat="1" customHeight="1" s="278">
      <c r="A164" s="213">
        <f>IF(B164="","",+A163+1)</f>
        <v/>
      </c>
      <c r="B164" s="173">
        <f>B144</f>
        <v/>
      </c>
      <c r="C164" s="173">
        <f>C144</f>
        <v/>
      </c>
      <c r="D164" s="624" t="n"/>
      <c r="E164" s="175">
        <f>VLOOKUP(C164,$C$133:$H$151,3,0)</f>
        <v/>
      </c>
      <c r="F164" s="353">
        <f>VLOOKUP(C164,$C$133:$I$151,7,0)</f>
        <v/>
      </c>
      <c r="G164" s="175">
        <f>VLOOKUP(C164,$C$133:$J$151,8,0)</f>
        <v/>
      </c>
      <c r="H164" s="646" t="n"/>
      <c r="I164" s="506" t="n"/>
    </row>
    <row r="165" outlineLevel="1" ht="13.8" customFormat="1" customHeight="1" s="278">
      <c r="A165" s="213">
        <f>IF(B165="","",+A164+1)</f>
        <v/>
      </c>
      <c r="B165" s="173">
        <f>B145</f>
        <v/>
      </c>
      <c r="C165" s="173">
        <f>C145</f>
        <v/>
      </c>
      <c r="D165" s="624" t="n"/>
      <c r="E165" s="175">
        <f>VLOOKUP(C165,$C$133:$H$151,3,0)</f>
        <v/>
      </c>
      <c r="F165" s="353">
        <f>VLOOKUP(C165,$C$133:$I$151,7,0)</f>
        <v/>
      </c>
      <c r="G165" s="175">
        <f>VLOOKUP(C165,$C$133:$J$151,8,0)</f>
        <v/>
      </c>
      <c r="H165" s="646" t="n"/>
    </row>
    <row r="166" outlineLevel="1" ht="15" customFormat="1" customHeight="1" s="278">
      <c r="A166" s="213">
        <f>IF(B166="","",+A165+1)</f>
        <v/>
      </c>
      <c r="B166" s="173">
        <f>B146</f>
        <v/>
      </c>
      <c r="C166" s="173">
        <f>C146</f>
        <v/>
      </c>
      <c r="D166" s="625" t="n"/>
      <c r="E166" s="175">
        <f>VLOOKUP(C166,$C$133:$H$151,3,0)</f>
        <v/>
      </c>
      <c r="F166" s="353">
        <f>VLOOKUP(C166,$C$133:$I$151,7,0)</f>
        <v/>
      </c>
      <c r="G166" s="175">
        <f>VLOOKUP(C166,$C$133:$J$151,8,0)</f>
        <v/>
      </c>
      <c r="H166" s="644" t="n"/>
      <c r="I166" s="501" t="n"/>
    </row>
    <row r="167" outlineLevel="1" ht="15" customFormat="1" customHeight="1" s="278">
      <c r="A167" s="213">
        <f>IF(B167="","",+A166+1)</f>
        <v/>
      </c>
      <c r="B167" s="173">
        <f>B147</f>
        <v/>
      </c>
      <c r="C167" s="173">
        <f>C147</f>
        <v/>
      </c>
      <c r="D167" s="643">
        <f>VLOOKUP(C167,$C$133:$H$151,2,0)</f>
        <v/>
      </c>
      <c r="E167" s="175">
        <f>VLOOKUP(C167,$C$133:$H$151,3,0)</f>
        <v/>
      </c>
      <c r="F167" s="353">
        <f>VLOOKUP(C167,$C$133:$I$151,7,0)</f>
        <v/>
      </c>
      <c r="G167" s="175">
        <f>VLOOKUP(C167,$C$133:$J$151,8,0)</f>
        <v/>
      </c>
      <c r="H167" s="516">
        <f>ROUNDUP(((F167*G167)+(F168*G168))/6400,0)</f>
        <v/>
      </c>
      <c r="I167" s="501" t="n"/>
      <c r="J167" s="501" t="n"/>
    </row>
    <row r="168" outlineLevel="1" ht="15" customFormat="1" customHeight="1" s="278">
      <c r="A168" s="213">
        <f>IF(B168="","",+A167+1)</f>
        <v/>
      </c>
      <c r="B168" s="173">
        <f>B148</f>
        <v/>
      </c>
      <c r="C168" s="173">
        <f>C148</f>
        <v/>
      </c>
      <c r="D168" s="625" t="n"/>
      <c r="E168" s="175">
        <f>VLOOKUP(C168,$C$133:$H$151,3,0)</f>
        <v/>
      </c>
      <c r="F168" s="353">
        <f>VLOOKUP(C168,$C$133:$I$151,7,0)</f>
        <v/>
      </c>
      <c r="G168" s="175">
        <f>VLOOKUP(C168,$C$133:$J$151,8,0)</f>
        <v/>
      </c>
      <c r="H168" s="644" t="n"/>
      <c r="I168" s="501" t="n"/>
      <c r="J168" s="501" t="n"/>
    </row>
    <row r="169" outlineLevel="1" ht="13.8" customFormat="1" customHeight="1" s="278">
      <c r="A169" s="213">
        <f>IF(B169="","",+A168+1)</f>
        <v/>
      </c>
      <c r="B169" s="173">
        <f>B149</f>
        <v/>
      </c>
      <c r="C169" s="173">
        <f>C149</f>
        <v/>
      </c>
      <c r="D169" s="647">
        <f>VLOOKUP(C169,$C$133:$H$151,2,0)</f>
        <v/>
      </c>
      <c r="E169" s="175">
        <f>VLOOKUP(C169,$C$133:$H$151,3,0)</f>
        <v/>
      </c>
      <c r="F169" s="353">
        <f>VLOOKUP(C169,$C$133:$I$151,7,0)</f>
        <v/>
      </c>
      <c r="G169" s="175">
        <f>VLOOKUP(C169,$C$133:$J$151,8,0)</f>
        <v/>
      </c>
      <c r="H169" s="516">
        <f>ROUNDUP(((F169*G169)+(F170*G170))/6400,0)</f>
        <v/>
      </c>
      <c r="I169" s="501" t="n"/>
      <c r="J169" s="501" t="n"/>
    </row>
    <row r="170" outlineLevel="1" ht="15" customFormat="1" customHeight="1" s="23" thickBot="1">
      <c r="A170" s="213">
        <f>IF(B170="","",+A169+1)</f>
        <v/>
      </c>
      <c r="B170" s="173">
        <f>B150</f>
        <v/>
      </c>
      <c r="C170" s="173">
        <f>C150</f>
        <v/>
      </c>
      <c r="D170" s="648" t="n"/>
      <c r="E170" s="175">
        <f>VLOOKUP(C170,$C$133:$H$151,3,0)</f>
        <v/>
      </c>
      <c r="F170" s="353">
        <f>VLOOKUP(C170,$C$133:$I$151,7,0)</f>
        <v/>
      </c>
      <c r="G170" s="175">
        <f>VLOOKUP(C170,$C$133:$J$151,8,0)</f>
        <v/>
      </c>
      <c r="H170" s="644" t="n"/>
      <c r="I170" s="500" t="n"/>
      <c r="K170" s="278" t="n"/>
      <c r="L170" s="278" t="n"/>
      <c r="M170" s="278" t="n"/>
      <c r="N170" s="278" t="n"/>
      <c r="O170" s="278" t="n"/>
      <c r="P170" s="278" t="n"/>
      <c r="Q170" s="278" t="n"/>
      <c r="R170" s="278" t="n"/>
      <c r="S170" s="278" t="n"/>
      <c r="T170" s="278" t="n"/>
      <c r="U170" s="278" t="n"/>
      <c r="V170" s="278" t="n"/>
      <c r="Y170" s="278" t="n"/>
      <c r="Z170" s="278" t="n"/>
      <c r="AA170" s="278" t="n"/>
      <c r="AB170" s="278" t="n"/>
      <c r="AC170" s="278" t="n"/>
      <c r="AD170" s="278" t="n"/>
      <c r="AE170" s="278" t="n"/>
      <c r="AF170" s="278" t="n"/>
      <c r="AG170" s="278" t="n"/>
      <c r="AH170" s="278" t="n"/>
      <c r="AI170" s="278" t="n"/>
      <c r="AJ170" s="278" t="n"/>
    </row>
    <row r="171" ht="24.9" customFormat="1" customHeight="1" s="278" thickBot="1">
      <c r="A171" s="642" t="inlineStr">
        <is>
          <t>PARTS LIST HARDWARE &amp; ACCESSORIES</t>
        </is>
      </c>
      <c r="B171" s="634" t="n"/>
      <c r="C171" s="634" t="n"/>
      <c r="D171" s="634" t="n"/>
      <c r="E171" s="634" t="n"/>
      <c r="F171" s="634" t="n"/>
      <c r="G171" s="634" t="n"/>
      <c r="H171" s="634" t="n"/>
      <c r="I171" s="634" t="n"/>
      <c r="J171" s="635" t="n"/>
    </row>
    <row r="172" ht="35.1" customFormat="1" customHeight="1" s="278" thickBot="1">
      <c r="A172" s="102" t="inlineStr">
        <is>
          <t>ITEM</t>
        </is>
      </c>
      <c r="B172" s="103" t="inlineStr">
        <is>
          <t>THAI</t>
        </is>
      </c>
      <c r="C172" s="103" t="inlineStr">
        <is>
          <t>DESCRIPTION</t>
        </is>
      </c>
      <c r="D172" s="103" t="inlineStr">
        <is>
          <t>PART NO.</t>
        </is>
      </c>
      <c r="E172" s="103" t="inlineStr">
        <is>
          <t>KG/m</t>
        </is>
      </c>
      <c r="F172" s="104" t="inlineStr">
        <is>
          <t>DRAWING</t>
        </is>
      </c>
      <c r="G172" s="103" t="inlineStr">
        <is>
          <t>PER</t>
        </is>
      </c>
      <c r="H172" s="104" t="inlineStr">
        <is>
          <t>QUANTITY</t>
        </is>
      </c>
      <c r="I172" s="104" t="inlineStr">
        <is>
          <t>Pack QTY</t>
        </is>
      </c>
      <c r="J172" s="115" t="inlineStr">
        <is>
          <t>TOTAL</t>
        </is>
      </c>
      <c r="N172" s="101" t="inlineStr">
        <is>
          <t>Glass size</t>
        </is>
      </c>
      <c r="O172" s="246" t="inlineStr">
        <is>
          <t>THAI</t>
        </is>
      </c>
      <c r="P172" s="246" t="inlineStr">
        <is>
          <t>DESCRIPTION</t>
        </is>
      </c>
      <c r="Q172" s="246" t="inlineStr">
        <is>
          <t>PART NO.</t>
        </is>
      </c>
      <c r="R172" s="246" t="inlineStr">
        <is>
          <t>KG/m</t>
        </is>
      </c>
      <c r="S172" s="246" t="inlineStr">
        <is>
          <t>DRAWING</t>
        </is>
      </c>
      <c r="T172" s="246" t="inlineStr">
        <is>
          <t>PER</t>
        </is>
      </c>
      <c r="U172" s="246" t="inlineStr">
        <is>
          <t>QUANTITY</t>
        </is>
      </c>
      <c r="V172" s="246" t="inlineStr">
        <is>
          <t>Pack QTY</t>
        </is>
      </c>
      <c r="W172" s="246" t="inlineStr">
        <is>
          <t>TOTAL</t>
        </is>
      </c>
    </row>
    <row r="173" ht="18" customFormat="1" customHeight="1" s="278">
      <c r="A173" s="200">
        <f>IF(B173="","",1)</f>
        <v/>
      </c>
      <c r="B173" s="140" t="inlineStr">
        <is>
          <t>หมอนรองกระจก</t>
        </is>
      </c>
      <c r="C173" s="140" t="inlineStr">
        <is>
          <t>SETTING BLOCK</t>
        </is>
      </c>
      <c r="D173" s="139" t="inlineStr">
        <is>
          <t>02-037</t>
        </is>
      </c>
      <c r="E173" s="143" t="n"/>
      <c r="F173" s="143" t="inlineStr">
        <is>
          <t>02-037</t>
        </is>
      </c>
      <c r="G173" s="143" t="inlineStr">
        <is>
          <t>PC</t>
        </is>
      </c>
      <c r="H173" s="143" t="n">
        <v>30</v>
      </c>
      <c r="I173" s="130" t="n"/>
      <c r="J173" s="131">
        <f>$J$120*H173</f>
        <v/>
      </c>
      <c r="N173" s="101" t="inlineStr">
        <is>
          <t>5,6,18</t>
        </is>
      </c>
      <c r="O173" s="280" t="inlineStr">
        <is>
          <t>5,6,18 mm ยางรองกระจก</t>
        </is>
      </c>
      <c r="P173" s="415" t="inlineStr">
        <is>
          <t>5,6,18 mm CAPTIVE WEDGE</t>
        </is>
      </c>
      <c r="Q173" s="280" t="inlineStr">
        <is>
          <t>02-022</t>
        </is>
      </c>
      <c r="R173" s="213" t="n"/>
      <c r="S173" s="213" t="inlineStr">
        <is>
          <t>02-022</t>
        </is>
      </c>
      <c r="T173" s="213" t="inlineStr">
        <is>
          <t>M</t>
        </is>
      </c>
      <c r="U173" s="650">
        <f>((($I$141*$G$141)+($I$142*$G$142)+($I$143*$G$143)+($I$144*$G$144)+($I$145*$G$145)+($I$146*$G$146))/1000)*$J$120</f>
        <v/>
      </c>
      <c r="V173" s="650" t="n">
        <v>100</v>
      </c>
      <c r="W173" s="651">
        <f>ROUNDUP((U173)/100,0)</f>
        <v/>
      </c>
    </row>
    <row r="174" ht="18" customFormat="1" customHeight="1" s="278">
      <c r="A174" s="201">
        <f>IF(B174="","",+A173+1)</f>
        <v/>
      </c>
      <c r="B174" s="140" t="inlineStr">
        <is>
          <t>ประเก็นเฟรมบน</t>
        </is>
      </c>
      <c r="C174" s="140" t="inlineStr">
        <is>
          <t>FRAME SEAL BI-FOLD HEAD (L/R)</t>
        </is>
      </c>
      <c r="D174" s="139" t="inlineStr">
        <is>
          <t>02-015</t>
        </is>
      </c>
      <c r="E174" s="143" t="n"/>
      <c r="F174" s="143" t="inlineStr">
        <is>
          <t>02-015</t>
        </is>
      </c>
      <c r="G174" s="143" t="inlineStr">
        <is>
          <t>PC</t>
        </is>
      </c>
      <c r="H174" s="143" t="n">
        <v>2</v>
      </c>
      <c r="I174" s="130" t="n"/>
      <c r="J174" s="131">
        <f>$J$120*H174</f>
        <v/>
      </c>
      <c r="N174" s="101" t="inlineStr">
        <is>
          <t>12,20</t>
        </is>
      </c>
      <c r="O174" s="280" t="inlineStr">
        <is>
          <t>12,20 mm ยางรองกระจก</t>
        </is>
      </c>
      <c r="P174" s="415" t="inlineStr">
        <is>
          <t>12,20 mm CAPTIVE WEDGE</t>
        </is>
      </c>
      <c r="Q174" s="280" t="inlineStr">
        <is>
          <t>02-032</t>
        </is>
      </c>
      <c r="R174" s="213" t="n"/>
      <c r="S174" s="213" t="inlineStr">
        <is>
          <t>02-032</t>
        </is>
      </c>
      <c r="T174" s="213" t="inlineStr">
        <is>
          <t>M</t>
        </is>
      </c>
      <c r="U174" s="650">
        <f>((($I$141*$G$141)+($I$142*$G$142)+($I$143*$G$143)+($I$144*$G$144)+($I$145*$G$145)+($I$146*$G$146))/1000)*$J$120</f>
        <v/>
      </c>
      <c r="V174" s="650" t="n">
        <v>100</v>
      </c>
      <c r="W174" s="651">
        <f>ROUNDUP((U174)/100,0)</f>
        <v/>
      </c>
    </row>
    <row r="175" ht="18" customFormat="1" customHeight="1" s="278">
      <c r="A175" s="201">
        <f>IF(B175="","",+A174+1)</f>
        <v/>
      </c>
      <c r="B175" s="140" t="inlineStr">
        <is>
          <t>ประเก็นเฟรมล่าง</t>
        </is>
      </c>
      <c r="C175" s="140" t="inlineStr">
        <is>
          <t>FRAME SEAL BI-FOLD SILL (L/R)</t>
        </is>
      </c>
      <c r="D175" s="139" t="inlineStr">
        <is>
          <t>02-016</t>
        </is>
      </c>
      <c r="E175" s="143" t="n"/>
      <c r="F175" s="143" t="inlineStr">
        <is>
          <t>02-016</t>
        </is>
      </c>
      <c r="G175" s="143" t="inlineStr">
        <is>
          <t>PC</t>
        </is>
      </c>
      <c r="H175" s="143" t="n">
        <v>2</v>
      </c>
      <c r="I175" s="130" t="n"/>
      <c r="J175" s="131">
        <f>$J$120*H175</f>
        <v/>
      </c>
      <c r="N175" s="101" t="inlineStr">
        <is>
          <t>5,8,10,12,18</t>
        </is>
      </c>
      <c r="O175" s="415" t="inlineStr">
        <is>
          <t>5,8,10,12,18 mmยางอัดกระจก</t>
        </is>
      </c>
      <c r="P175" s="415" t="inlineStr">
        <is>
          <t>5,8,10,12,18 mm ROLL IN WEDGE</t>
        </is>
      </c>
      <c r="Q175" s="280" t="inlineStr">
        <is>
          <t>02-033</t>
        </is>
      </c>
      <c r="R175" s="213" t="n"/>
      <c r="S175" s="213" t="inlineStr">
        <is>
          <t>02-033</t>
        </is>
      </c>
      <c r="T175" s="213" t="inlineStr">
        <is>
          <t>M</t>
        </is>
      </c>
      <c r="U175" s="650">
        <f>((($I$141*$G$141)+($I$142*$G$142)+($I$143*$G$143)+($I$144*$G$144)+($I$145*$G$145)+($I$146*$G$146))/1000)*$J$120</f>
        <v/>
      </c>
      <c r="V175" s="650" t="n">
        <v>100</v>
      </c>
      <c r="W175" s="651">
        <f>ROUNDUP((U175)/100,0)</f>
        <v/>
      </c>
    </row>
    <row r="176" ht="18" customFormat="1" customHeight="1" s="278">
      <c r="A176" s="201">
        <f>IF(B176="","",+A175+1)</f>
        <v/>
      </c>
      <c r="B176" s="140" t="inlineStr">
        <is>
          <t>สกรู × 38</t>
        </is>
      </c>
      <c r="C176" s="140" t="inlineStr">
        <is>
          <t>#8x38 mm. SS PH SELF TAPPING SCREW</t>
        </is>
      </c>
      <c r="D176" s="139" t="n">
        <v>9</v>
      </c>
      <c r="E176" s="143" t="n"/>
      <c r="F176" s="143" t="n">
        <v>9</v>
      </c>
      <c r="G176" s="143" t="inlineStr">
        <is>
          <t>PC</t>
        </is>
      </c>
      <c r="H176" s="143" t="n">
        <v>8</v>
      </c>
      <c r="I176" s="130" t="n"/>
      <c r="J176" s="131">
        <f>$J$120*H176</f>
        <v/>
      </c>
      <c r="N176" s="101" t="inlineStr">
        <is>
          <t>6,20</t>
        </is>
      </c>
      <c r="O176" s="415" t="inlineStr">
        <is>
          <t>6,20 mm ยางอัดกระจก</t>
        </is>
      </c>
      <c r="P176" s="415" t="inlineStr">
        <is>
          <t>6,20 mm ROLL IN WEDGE</t>
        </is>
      </c>
      <c r="Q176" s="280" t="inlineStr">
        <is>
          <t>02-034</t>
        </is>
      </c>
      <c r="R176" s="213" t="n"/>
      <c r="S176" s="213" t="inlineStr">
        <is>
          <t>02-034</t>
        </is>
      </c>
      <c r="T176" s="213" t="inlineStr">
        <is>
          <t>M</t>
        </is>
      </c>
      <c r="U176" s="650">
        <f>((($I$141*$G$141)+($I$142*$G$142)+($I$143*$G$143)+($I$144*$G$144)+($I$145*$G$145)+($I$146*$G$146))/1000)*$J$120</f>
        <v/>
      </c>
      <c r="V176" s="650" t="n">
        <v>100</v>
      </c>
      <c r="W176" s="651">
        <f>ROUNDUP((U176)/100,0)</f>
        <v/>
      </c>
    </row>
    <row r="177" ht="18" customFormat="1" customHeight="1" s="278">
      <c r="A177" s="201">
        <f>IF(B177="","",+A176+1)</f>
        <v/>
      </c>
      <c r="B177" s="140" t="inlineStr">
        <is>
          <t>สกรู × 12</t>
        </is>
      </c>
      <c r="C177" s="140" t="inlineStr">
        <is>
          <t>#8x12 mm. CSK SELF TAPPING SCREW</t>
        </is>
      </c>
      <c r="D177" s="139" t="n">
        <v>9</v>
      </c>
      <c r="E177" s="143" t="n"/>
      <c r="F177" s="143" t="n">
        <v>9</v>
      </c>
      <c r="G177" s="143" t="inlineStr">
        <is>
          <t>PC</t>
        </is>
      </c>
      <c r="H177" s="143" t="n">
        <v>110</v>
      </c>
      <c r="I177" s="130" t="n"/>
      <c r="J177" s="131">
        <f>$J$120*H177</f>
        <v/>
      </c>
      <c r="N177" s="101" t="inlineStr">
        <is>
          <t>8,14</t>
        </is>
      </c>
      <c r="O177" s="415" t="inlineStr">
        <is>
          <t>8,14 mm ยางอัดกระจก</t>
        </is>
      </c>
      <c r="P177" s="415" t="inlineStr">
        <is>
          <t>8,14 mm ROLL IN WEDGE</t>
        </is>
      </c>
      <c r="Q177" s="280" t="inlineStr">
        <is>
          <t>02-045</t>
        </is>
      </c>
      <c r="R177" s="213" t="n"/>
      <c r="S177" s="213" t="inlineStr">
        <is>
          <t>02-045</t>
        </is>
      </c>
      <c r="T177" s="213" t="inlineStr">
        <is>
          <t>M</t>
        </is>
      </c>
      <c r="U177" s="650">
        <f>((($I$141*$G$141)+($I$142*$G$142)+($I$143*$G$143)+($I$144*$G$144)+($I$145*$G$145)+($I$146*$G$146))/1000)*$J$120</f>
        <v/>
      </c>
      <c r="V177" s="650" t="n">
        <v>100</v>
      </c>
      <c r="W177" s="651">
        <f>ROUNDUP((U177)/100,0)</f>
        <v/>
      </c>
    </row>
    <row r="178" ht="18" customFormat="1" customHeight="1" s="278">
      <c r="A178" s="201">
        <f>IF(B178="","",+A177+1)</f>
        <v/>
      </c>
      <c r="B178" s="140" t="inlineStr">
        <is>
          <t>ชุดบานพับระดับเดียวกัน</t>
        </is>
      </c>
      <c r="C178" s="140" t="inlineStr">
        <is>
          <t>Standard Hinge Handle Set</t>
        </is>
      </c>
      <c r="D178" s="139" t="inlineStr">
        <is>
          <t>05-004</t>
        </is>
      </c>
      <c r="E178" s="143" t="n"/>
      <c r="F178" s="143" t="inlineStr">
        <is>
          <t>05-004</t>
        </is>
      </c>
      <c r="G178" s="143" t="inlineStr">
        <is>
          <t>SET</t>
        </is>
      </c>
      <c r="H178" s="143" t="n">
        <v>4</v>
      </c>
      <c r="I178" s="130" t="n"/>
      <c r="J178" s="131">
        <f>$J$120*H178</f>
        <v/>
      </c>
    </row>
    <row r="179" ht="18" customFormat="1" customHeight="1" s="278">
      <c r="A179" s="201">
        <f>IF(B179="","",+A178+1)</f>
        <v/>
      </c>
      <c r="B179" s="140" t="inlineStr">
        <is>
          <t>ชุดบานพับต่างระดับมีมือจับ</t>
        </is>
      </c>
      <c r="C179" s="140" t="inlineStr">
        <is>
          <t>offset Hinge Handle Set</t>
        </is>
      </c>
      <c r="D179" s="139" t="inlineStr">
        <is>
          <t>05-005</t>
        </is>
      </c>
      <c r="E179" s="143" t="n"/>
      <c r="F179" s="143" t="inlineStr">
        <is>
          <t>05-005</t>
        </is>
      </c>
      <c r="G179" s="143" t="inlineStr">
        <is>
          <t>SET</t>
        </is>
      </c>
      <c r="H179" s="143" t="n">
        <v>3</v>
      </c>
      <c r="I179" s="130" t="n"/>
      <c r="J179" s="131">
        <f>$J$120*H179</f>
        <v/>
      </c>
    </row>
    <row r="180" ht="18" customFormat="1" customHeight="1" s="278">
      <c r="A180" s="201">
        <f>IF(B180="","",+A179+1)</f>
        <v/>
      </c>
      <c r="B180" s="140" t="inlineStr">
        <is>
          <t>ชุดล้อแขวนบานตายซ้าย</t>
        </is>
      </c>
      <c r="C180" s="140" t="inlineStr">
        <is>
          <t>Left Hand Pivot Set</t>
        </is>
      </c>
      <c r="D180" s="139" t="inlineStr">
        <is>
          <t>05-006</t>
        </is>
      </c>
      <c r="E180" s="143" t="n"/>
      <c r="F180" s="143" t="inlineStr">
        <is>
          <t>05-006</t>
        </is>
      </c>
      <c r="G180" s="143" t="inlineStr">
        <is>
          <t>SET</t>
        </is>
      </c>
      <c r="H180" s="143" t="n">
        <v>1</v>
      </c>
      <c r="I180" s="130" t="n"/>
      <c r="J180" s="131">
        <f>$J$120*H180</f>
        <v/>
      </c>
    </row>
    <row r="181" ht="18" customFormat="1" customHeight="1" s="278">
      <c r="A181" s="201">
        <f>IF(B181="","",+A180+1)</f>
        <v/>
      </c>
      <c r="B181" s="140" t="inlineStr">
        <is>
          <t>ชุดล้อแขวนบานตายขวา</t>
        </is>
      </c>
      <c r="C181" s="140" t="inlineStr">
        <is>
          <t>Right Hand Pivot Set</t>
        </is>
      </c>
      <c r="D181" s="139" t="inlineStr">
        <is>
          <t>05-007</t>
        </is>
      </c>
      <c r="E181" s="143" t="n"/>
      <c r="F181" s="143" t="inlineStr">
        <is>
          <t>05-007</t>
        </is>
      </c>
      <c r="G181" s="143" t="inlineStr">
        <is>
          <t>SET</t>
        </is>
      </c>
      <c r="H181" s="143" t="n">
        <v>1</v>
      </c>
      <c r="I181" s="130" t="n"/>
      <c r="J181" s="131">
        <f>$J$120*H181</f>
        <v/>
      </c>
    </row>
    <row r="182" ht="18" customFormat="1" customHeight="1" s="278">
      <c r="A182" s="201">
        <f>IF(B182="","",+A181+1)</f>
        <v/>
      </c>
      <c r="B182" s="140" t="inlineStr">
        <is>
          <t>ชุดล้อแขวนบานเปิด</t>
        </is>
      </c>
      <c r="C182" s="140" t="inlineStr">
        <is>
          <t>Right Hand End Carrier Set</t>
        </is>
      </c>
      <c r="D182" s="139" t="inlineStr">
        <is>
          <t>05-009</t>
        </is>
      </c>
      <c r="E182" s="143" t="n"/>
      <c r="F182" s="143" t="inlineStr">
        <is>
          <t>05-009</t>
        </is>
      </c>
      <c r="G182" s="143" t="inlineStr">
        <is>
          <t>SET</t>
        </is>
      </c>
      <c r="H182" s="143" t="n">
        <v>1</v>
      </c>
      <c r="I182" s="130" t="n"/>
      <c r="J182" s="131">
        <f>$J$120*H182</f>
        <v/>
      </c>
      <c r="N182" s="278" t="n"/>
      <c r="O182" s="278" t="n"/>
      <c r="P182" s="278" t="n"/>
      <c r="Q182" s="442" t="n"/>
      <c r="R182" s="442" t="n"/>
      <c r="S182" s="442" t="n"/>
      <c r="T182" s="109" t="n"/>
      <c r="U182" s="109" t="n"/>
      <c r="V182" s="109" t="n"/>
      <c r="W182" s="278" t="n"/>
    </row>
    <row r="183" ht="18" customFormat="1" customHeight="1" s="278">
      <c r="A183" s="201">
        <f>IF(B183="","",+A182+1)</f>
        <v/>
      </c>
      <c r="B183" s="140" t="inlineStr">
        <is>
          <t>ชุดล้อแขวนบานกลาง</t>
        </is>
      </c>
      <c r="C183" s="140" t="inlineStr">
        <is>
          <t>Intermediate Carrier Set</t>
        </is>
      </c>
      <c r="D183" s="139" t="inlineStr">
        <is>
          <t>05-011</t>
        </is>
      </c>
      <c r="E183" s="143" t="n"/>
      <c r="F183" s="143" t="inlineStr">
        <is>
          <t>05-011</t>
        </is>
      </c>
      <c r="G183" s="143" t="inlineStr">
        <is>
          <t>SET</t>
        </is>
      </c>
      <c r="H183" s="143" t="n">
        <v>6</v>
      </c>
      <c r="I183" s="144" t="n"/>
      <c r="J183" s="131">
        <f>$J$120*H183</f>
        <v/>
      </c>
      <c r="N183" s="101" t="inlineStr">
        <is>
          <t>FRAME SEAL</t>
        </is>
      </c>
      <c r="O183" s="246" t="inlineStr">
        <is>
          <t>THAI</t>
        </is>
      </c>
      <c r="P183" s="246" t="inlineStr">
        <is>
          <t>DESCRIPTION</t>
        </is>
      </c>
      <c r="Q183" s="246" t="inlineStr">
        <is>
          <t>PART NO.</t>
        </is>
      </c>
      <c r="R183" s="246" t="inlineStr">
        <is>
          <t>KG/m</t>
        </is>
      </c>
      <c r="S183" s="246" t="inlineStr">
        <is>
          <t>DRAWING</t>
        </is>
      </c>
      <c r="T183" s="246" t="inlineStr">
        <is>
          <t>PER</t>
        </is>
      </c>
      <c r="U183" s="246" t="inlineStr">
        <is>
          <t>QUANTITY</t>
        </is>
      </c>
      <c r="V183" s="246" t="inlineStr">
        <is>
          <t>Pack QTY</t>
        </is>
      </c>
      <c r="W183" s="246" t="inlineStr">
        <is>
          <t>TOTAL</t>
        </is>
      </c>
    </row>
    <row r="184" ht="18" customFormat="1" customHeight="1" s="278">
      <c r="A184" s="201">
        <f>IF(B184="","",+A183+1)</f>
        <v/>
      </c>
      <c r="B184" s="140" t="inlineStr">
        <is>
          <t>ชุดสลักล็อค</t>
        </is>
      </c>
      <c r="C184" s="140" t="inlineStr">
        <is>
          <t>Twin Bolt + Rods</t>
        </is>
      </c>
      <c r="D184" s="139" t="inlineStr">
        <is>
          <t>05-014</t>
        </is>
      </c>
      <c r="E184" s="143" t="n"/>
      <c r="F184" s="143" t="inlineStr">
        <is>
          <t>05-014</t>
        </is>
      </c>
      <c r="G184" s="143" t="inlineStr">
        <is>
          <t>SET</t>
        </is>
      </c>
      <c r="H184" s="143" t="n">
        <v>7</v>
      </c>
      <c r="I184" s="144" t="n"/>
      <c r="J184" s="131">
        <f>$J$120*H184</f>
        <v/>
      </c>
      <c r="N184" s="101" t="inlineStr">
        <is>
          <t>ธรรมดา</t>
        </is>
      </c>
      <c r="O184" s="415" t="inlineStr">
        <is>
          <t>ยางเฟรมกันน้ำ (ธรรมดา)</t>
        </is>
      </c>
      <c r="P184" s="415" t="inlineStr">
        <is>
          <t>FRAME SEAL (Standard)</t>
        </is>
      </c>
      <c r="Q184" s="280" t="inlineStr">
        <is>
          <t>02-026</t>
        </is>
      </c>
      <c r="R184" s="213" t="n"/>
      <c r="S184" s="213" t="inlineStr">
        <is>
          <t>02-026</t>
        </is>
      </c>
      <c r="T184" s="213" t="inlineStr">
        <is>
          <t>M</t>
        </is>
      </c>
      <c r="U184" s="650">
        <f>((($I$134*$G$134)+($I$136*$G$136)+($I$139*$G$139))/1000)*$J$120</f>
        <v/>
      </c>
      <c r="V184" s="650" t="n">
        <v>300</v>
      </c>
      <c r="W184" s="651">
        <f>ROUNDUP((U184)/V184,0)</f>
        <v/>
      </c>
    </row>
    <row r="185" ht="18" customFormat="1" customHeight="1" s="278">
      <c r="A185" s="201">
        <f>IF(B185="","",+A184+1)</f>
        <v/>
      </c>
      <c r="B185" s="140" t="inlineStr">
        <is>
          <t>ชุดมือจับล็อค</t>
        </is>
      </c>
      <c r="C185" s="140" t="inlineStr">
        <is>
          <t>Stainless steel mortise lock,handle,cylinder</t>
        </is>
      </c>
      <c r="D185" s="139" t="inlineStr">
        <is>
          <t>00-024 or 00-027</t>
        </is>
      </c>
      <c r="E185" s="143" t="n"/>
      <c r="F185" s="143" t="inlineStr">
        <is>
          <t>00-024 or 00-027</t>
        </is>
      </c>
      <c r="G185" s="143" t="inlineStr">
        <is>
          <t>SET</t>
        </is>
      </c>
      <c r="H185" s="143" t="n">
        <v>1</v>
      </c>
      <c r="I185" s="130" t="n"/>
      <c r="J185" s="131">
        <f>$J$120*H185</f>
        <v/>
      </c>
      <c r="N185" s="101" t="inlineStr">
        <is>
          <t>กันเสียง</t>
        </is>
      </c>
      <c r="O185" s="415" t="inlineStr">
        <is>
          <t>ยางเฟรมกันน้ำ (กันเสียง)</t>
        </is>
      </c>
      <c r="P185" s="415" t="inlineStr">
        <is>
          <t>FRAME SEAL (Soumdproof)</t>
        </is>
      </c>
      <c r="Q185" s="280" t="inlineStr">
        <is>
          <t>02-025</t>
        </is>
      </c>
      <c r="R185" s="213" t="n"/>
      <c r="S185" s="213" t="inlineStr">
        <is>
          <t>02-025</t>
        </is>
      </c>
      <c r="T185" s="213" t="inlineStr">
        <is>
          <t>M</t>
        </is>
      </c>
      <c r="U185" s="650">
        <f>((($I$134*$G$134)+($I$136*$G$136)+($I$139*$G$139))/1000)*$J$120</f>
        <v/>
      </c>
      <c r="V185" s="650" t="n">
        <v>100</v>
      </c>
      <c r="W185" s="651">
        <f>ROUNDUP((U185)/V185,0)</f>
        <v/>
      </c>
    </row>
    <row r="186" ht="18" customFormat="1" customHeight="1" s="278">
      <c r="A186" s="201">
        <f>IF(B186="","",+A185+1)</f>
        <v/>
      </c>
      <c r="B186" s="140" t="inlineStr">
        <is>
          <t>ตัวประคองสลักล็อค</t>
        </is>
      </c>
      <c r="C186" s="140" t="inlineStr">
        <is>
          <t>Guide twin Bolt Rods</t>
        </is>
      </c>
      <c r="D186" s="139" t="inlineStr">
        <is>
          <t>04-009</t>
        </is>
      </c>
      <c r="E186" s="143" t="n"/>
      <c r="F186" s="143" t="inlineStr">
        <is>
          <t>04-009</t>
        </is>
      </c>
      <c r="G186" s="143" t="inlineStr">
        <is>
          <t>PC</t>
        </is>
      </c>
      <c r="H186" s="143" t="n">
        <v>14</v>
      </c>
      <c r="I186" s="130" t="n"/>
      <c r="J186" s="131">
        <f>$J$120*H186</f>
        <v/>
      </c>
      <c r="N186" s="101" t="inlineStr">
        <is>
          <t>ธรรมดา</t>
        </is>
      </c>
      <c r="O186" s="415" t="inlineStr">
        <is>
          <t>ยางแซชกันน้ำ (ธรรมดา)</t>
        </is>
      </c>
      <c r="P186" s="415" t="inlineStr">
        <is>
          <t>SASH SEAL FOAM (Standard)</t>
        </is>
      </c>
      <c r="Q186" s="280" t="inlineStr">
        <is>
          <t>02-031</t>
        </is>
      </c>
      <c r="R186" s="213" t="n"/>
      <c r="S186" s="213" t="inlineStr">
        <is>
          <t>02-031</t>
        </is>
      </c>
      <c r="T186" s="213" t="inlineStr">
        <is>
          <t>M</t>
        </is>
      </c>
      <c r="U186" s="650">
        <f>((($I$141*$G$141*2)+($I$143*$G$143*2)+($I$144*$G$144*2)+($I$145*($G$145-1)*2))/1000)*$J$120</f>
        <v/>
      </c>
      <c r="V186" s="650" t="n">
        <v>350</v>
      </c>
      <c r="W186" s="651">
        <f>ROUNDUP((U186)/V186,0)</f>
        <v/>
      </c>
    </row>
    <row r="187" ht="18" customFormat="1" customHeight="1" s="278">
      <c r="A187" s="201">
        <f>IF(B187="","",+A186+1)</f>
        <v/>
      </c>
      <c r="B187" s="140" t="inlineStr">
        <is>
          <t>รางเสริมเปลี่ยนล้อ</t>
        </is>
      </c>
      <c r="C187" s="140" t="inlineStr">
        <is>
          <t>35 SERIES TRACK INSERT</t>
        </is>
      </c>
      <c r="D187" s="139" t="inlineStr">
        <is>
          <t>04-004</t>
        </is>
      </c>
      <c r="E187" s="143" t="n"/>
      <c r="F187" s="143" t="inlineStr">
        <is>
          <t>04-004</t>
        </is>
      </c>
      <c r="G187" s="143" t="inlineStr">
        <is>
          <t>PC</t>
        </is>
      </c>
      <c r="H187" s="143" t="n">
        <v>1</v>
      </c>
      <c r="I187" s="130" t="n"/>
      <c r="J187" s="131">
        <f>$J$120*H187</f>
        <v/>
      </c>
      <c r="N187" s="101" t="inlineStr">
        <is>
          <t>กันเสียง</t>
        </is>
      </c>
      <c r="O187" s="415" t="inlineStr">
        <is>
          <t>ยางแซชกันน้ำ (กันเสียง)</t>
        </is>
      </c>
      <c r="P187" s="415" t="inlineStr">
        <is>
          <t>SASH SEAL FOAM (Soumdproof)</t>
        </is>
      </c>
      <c r="Q187" s="280" t="inlineStr">
        <is>
          <t>02-035</t>
        </is>
      </c>
      <c r="R187" s="213" t="n"/>
      <c r="S187" s="213" t="inlineStr">
        <is>
          <t>02-035</t>
        </is>
      </c>
      <c r="T187" s="213" t="inlineStr">
        <is>
          <t>M</t>
        </is>
      </c>
      <c r="U187" s="650">
        <f>((($I$141*$G$141*2)+($I$143*$G$143*2)+($I$144*$G$144*2)+($I$145*($G$145-1)*2))/1000)*$J$120</f>
        <v/>
      </c>
      <c r="V187" s="650" t="n">
        <v>100</v>
      </c>
      <c r="W187" s="651">
        <f>ROUNDUP((U187)/V187,0)</f>
        <v/>
      </c>
    </row>
    <row r="188" ht="18" customFormat="1" customHeight="1" s="278">
      <c r="A188" s="201">
        <f>IF(B188="","",+A187+1)</f>
        <v/>
      </c>
      <c r="B188" s="140" t="inlineStr">
        <is>
          <t>ตัวรับกลอน</t>
        </is>
      </c>
      <c r="C188" s="140" t="inlineStr">
        <is>
          <t xml:space="preserve">FLUSH BOLT RECEIVER </t>
        </is>
      </c>
      <c r="D188" s="139" t="inlineStr">
        <is>
          <t>04-016</t>
        </is>
      </c>
      <c r="E188" s="143" t="n"/>
      <c r="F188" s="143" t="inlineStr">
        <is>
          <t>04-016</t>
        </is>
      </c>
      <c r="G188" s="143" t="inlineStr">
        <is>
          <t>PC</t>
        </is>
      </c>
      <c r="H188" s="143" t="n">
        <v>7</v>
      </c>
      <c r="I188" s="130" t="n"/>
      <c r="J188" s="131">
        <f>$J$120*H188</f>
        <v/>
      </c>
    </row>
    <row r="189" ht="18" customFormat="1" customHeight="1" s="278">
      <c r="A189" s="201">
        <f>IF(B189="","",+A188+1)</f>
        <v/>
      </c>
      <c r="B189" s="140" t="inlineStr">
        <is>
          <t>สักหลาดบังใบ</t>
        </is>
      </c>
      <c r="C189" s="140" t="inlineStr">
        <is>
          <t>MOHAIR FOR SASH STOP</t>
        </is>
      </c>
      <c r="D189" s="139" t="inlineStr">
        <is>
          <t>02-028</t>
        </is>
      </c>
      <c r="E189" s="143" t="n"/>
      <c r="F189" s="143" t="inlineStr">
        <is>
          <t>02-028</t>
        </is>
      </c>
      <c r="G189" s="143" t="inlineStr">
        <is>
          <t>M</t>
        </is>
      </c>
      <c r="H189" s="652">
        <f>((($I$149*$G$149)+($I$150*$G$150))/1000)*$J$120</f>
        <v/>
      </c>
      <c r="I189" s="653" t="n">
        <v>100</v>
      </c>
      <c r="J189" s="655">
        <f>ROUNDUP((H189)/100,0)</f>
        <v/>
      </c>
    </row>
    <row r="190" ht="18" customFormat="1" customHeight="1" s="278">
      <c r="A190" s="201">
        <f>IF(B190="","",+A189+1)</f>
        <v/>
      </c>
      <c r="B190" s="140" t="inlineStr">
        <is>
          <t>สักหลาดเสา</t>
        </is>
      </c>
      <c r="C190" s="140" t="inlineStr">
        <is>
          <t>MOHAIR FOR SASH (Ver)</t>
        </is>
      </c>
      <c r="D190" s="139" t="inlineStr">
        <is>
          <t>02-036</t>
        </is>
      </c>
      <c r="E190" s="143" t="n"/>
      <c r="F190" s="143" t="inlineStr">
        <is>
          <t>02-036</t>
        </is>
      </c>
      <c r="G190" s="143" t="inlineStr">
        <is>
          <t>M</t>
        </is>
      </c>
      <c r="H190" s="652">
        <f>((($I$146*$G$146*2))/1000)*$J$120</f>
        <v/>
      </c>
      <c r="I190" s="653" t="n">
        <v>100</v>
      </c>
      <c r="J190" s="655">
        <f>ROUNDUP((H190)/100,0)</f>
        <v/>
      </c>
    </row>
    <row r="191" ht="18" customFormat="1" customHeight="1" s="278">
      <c r="A191" s="201">
        <f>IF(B191="","",+A190+1)</f>
        <v/>
      </c>
      <c r="B191" s="139">
        <f>IF($D$129="Standard",$O$184,IF($D$129="Soumdproof",$O$185,))</f>
        <v/>
      </c>
      <c r="C191" s="139">
        <f>IF($D$129="Standard",$P$184,IF($D$129="Soumdproof",$P$185,))</f>
        <v/>
      </c>
      <c r="D191" s="139">
        <f>IF($D$129="Standard",$Q$184,IF($D$129="Soumdproof",$Q$185,))</f>
        <v/>
      </c>
      <c r="E191" s="143">
        <f>IF($D$129="Standard",R189,IF($D$129="Soumdproof",R190,))</f>
        <v/>
      </c>
      <c r="F191" s="143">
        <f>IF($D$129="Standard",$S$184,IF($D$129="Soumdproof",$S$185,))</f>
        <v/>
      </c>
      <c r="G191" s="143">
        <f>IF($D$129="Standard",$T$184,IF($D$129="Soumdproof",$T$185,))</f>
        <v/>
      </c>
      <c r="H191" s="652">
        <f>IF($D$129="Standard",$U$184,IF($D$129="Soumdproof",$U$185,))</f>
        <v/>
      </c>
      <c r="I191" s="653">
        <f>IF($D$129="Standard",$V$184,IF($D$129="Soumdproof",$V$185,))</f>
        <v/>
      </c>
      <c r="J191" s="655">
        <f>ROUNDUP((H191)/100,0)</f>
        <v/>
      </c>
    </row>
    <row r="192" ht="18" customFormat="1" customHeight="1" s="278">
      <c r="A192" s="201">
        <f>IF(B192="","",+A191+1)</f>
        <v/>
      </c>
      <c r="B192" s="139">
        <f>IF($D$129="Standard",$O$186,IF($D$129="Soumdproof",$O$187,))</f>
        <v/>
      </c>
      <c r="C192" s="139">
        <f>IF($D$129="Standard",$P$186,IF($D$129="Soumdproof",$P$187,))</f>
        <v/>
      </c>
      <c r="D192" s="139">
        <f>IF($D$129="Standard",$Q$186,IF($D$129="Soumdproof",$Q$187,))</f>
        <v/>
      </c>
      <c r="E192" s="143">
        <f>IF($D$129="Standard",R191,IF($D$129="Soumdproof",R192,))</f>
        <v/>
      </c>
      <c r="F192" s="143">
        <f>IF($D$129="Standard",$S$186,IF($D$129="Soumdproof",$S$187,))</f>
        <v/>
      </c>
      <c r="G192" s="143">
        <f>IF($D$129="Standard",$T$186,IF($D$129="Soumdproof",$T$187,))</f>
        <v/>
      </c>
      <c r="H192" s="652">
        <f>IF($D$129="Standard",$U$186,IF($D$129="Soumdproof",$U$187,))</f>
        <v/>
      </c>
      <c r="I192" s="653">
        <f>IF($D$129="Standard",$V$186,IF($D$129="Soumdproof",$V$187,))</f>
        <v/>
      </c>
      <c r="J192" s="655">
        <f>ROUNDUP((H192)/100,0)</f>
        <v/>
      </c>
    </row>
    <row r="193" ht="18" customHeight="1" s="344">
      <c r="A193" s="201">
        <f>IF(B193="","",+A192+1)</f>
        <v/>
      </c>
      <c r="B193" s="296">
        <f>IF($D$127=5,$O$175,IF($D$127=6,$O$176,IF($D$127=8,$O$177,IF($D$127=10,$O$175,IF($D$127=12,$O$175,IF($D$127=14,$O$177,IF($D$127=18,$O$175,IF($D$127=20,$O$176,IF($D$127=22,"")))))))))</f>
        <v/>
      </c>
      <c r="C193" s="296">
        <f>IF($D$127=5,$P$175,IF($D$127=6,$P$176,IF($D$127=8,$P$177,IF($D$127=10,$P$175,IF($D$127=12,$P$175,IF($D$127=14,$P$177,IF($D$127=18,$P$175,IF($D$127=20,$P$176,IF($D$127=22,"")))))))))</f>
        <v/>
      </c>
      <c r="D193" s="296">
        <f>IF($D$127=5,$Q$175,IF($D$127=6,$Q$176,IF($D$127=8,$Q$177,IF($D$127=10,$Q$175,IF($D$127=12,$Q$175,IF($D$127=14,$Q$177,IF($D$127=18,$Q$175,IF($D$127=20,$Q$176,IF($D$127=22,"")))))))))</f>
        <v/>
      </c>
      <c r="E193" s="296">
        <f>IF($D$127=5,R180,IF($D$127=6,R181,IF($D$127=8,R182,IF($D$127=10,R180,IF($D$127=12,R180,IF($D$127=14,R182,IF($D$127=18,R180,IF($D$127=20,R181,IF($D$127=22,"",)))))))))</f>
        <v/>
      </c>
      <c r="F193" s="242">
        <f>IF($D$127=5,$S$175,IF($D$127=6,$S$176,IF($D$127=8,$S$177,IF($D$127=10,$S$175,IF($D$127=12,$S$175,IF($D$127=14,$S$177,IF($D$127=18,$S$175,IF($D$127=20,$S$176,IF($D$127=22,"")))))))))</f>
        <v/>
      </c>
      <c r="G193" s="242">
        <f>IF($D$127=5,$T$175,IF($D$127=6,$T$176,IF($D$127=8,$T$177,IF($D$127=10,$T$175,IF($D$127=12,$T$175,IF($D$127=14,$T$177,IF($D$127=18,$T$175,IF($D$127=20,$T$176,IF($D$127=22,"")))))))))</f>
        <v/>
      </c>
      <c r="H193" s="652">
        <f>IF($D$127=5,$U$175,IF($D$127=6,$U$176,IF($D$127=8,$U$177,IF($D$127=10,$U$175*2,IF($D$127=12,$U$175,IF($D$127=14,$U$177*2,IF($D$127=18,$U$175,IF($D$127=20,$U$176,IF($D$127=22,"")))))))))</f>
        <v/>
      </c>
      <c r="I193" s="653">
        <f>IF($D$127=5,$V$175,IF($D$127=6,$V$176,IF($D$127=8,$V$177,IF($D$127=10,$V$175,IF($D$127=12,$V$175,IF($D$127=14,$V$177,IF($D$127=18,$V$175,IF($D$127=20,$V$176,IF($D$127=22,"")))))))))</f>
        <v/>
      </c>
      <c r="J193" s="655">
        <f>ROUNDUP((H193)/100,0)</f>
        <v/>
      </c>
      <c r="N193" s="278" t="n"/>
      <c r="O193" s="278" t="n"/>
      <c r="P193" s="278" t="n"/>
      <c r="Q193" s="278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</row>
    <row r="194" ht="18" customFormat="1" customHeight="1" s="278">
      <c r="A194" s="201">
        <f>IF(B194="","",+A193+1)</f>
        <v/>
      </c>
      <c r="B194" s="296">
        <f>IF($D$127=5,$O$173,IF($D$127=6,$O$173,IF($D$127=8,$O$175,IF($D$127=10,"",IF($D$127=12,$O$174,IF($D$127=14,"",IF($D$127=18,$O$173,IF($D$127=20,$O$174,IF($D$127=22,"",)))))))))</f>
        <v/>
      </c>
      <c r="C194" s="296">
        <f>IF($D$127=5,$P$173,IF($D$127=6,$P$173,IF($D$127=8,$P$175,IF($D$127=10,"",IF($D$127=12,$P$174,IF($D$127=14,"",IF($D$127=18,$P$173,IF($D$127=20,$P$174,IF($D$127=22,"",)))))))))</f>
        <v/>
      </c>
      <c r="D194" s="296">
        <f>IF($D$127=5,$Q$173,IF($D$127=6,$Q$173,IF($D$127=8,$Q$175,IF($D$127=10,"",IF($D$127=12,$Q$174,IF($D$127=14,"",IF($D$127=18,$Q$173,IF($D$127=20,$Q$174,IF($D$127=22,"",)))))))))</f>
        <v/>
      </c>
      <c r="E194" s="296">
        <f>IF($D$127=5,R178,IF($D$127=6,R178,IF($D$127=8,R180,IF($D$127=10,"",IF($D$127=12,R179,IF($D$127=14,"",IF($D$127=18,R178,IF($D$127=20,R179,IF($D$127=22,"",)))))))))</f>
        <v/>
      </c>
      <c r="F194" s="242">
        <f>IF($D$127=5,$S$173,IF($D$127=6,$S$173,IF($D$127=8,$S$175,IF($D$127=10,"",IF($D$127=12,$S$174,IF($D$127=14,"",IF($D$127=18,$S$173,IF($D$127=20,$S$174,IF($D$127=22,"",)))))))))</f>
        <v/>
      </c>
      <c r="G194" s="242">
        <f>IF($D$127=5,$T$173,IF($D$127=6,$T$173,IF($D$127=8,$T$175,IF($D$127=10,"",IF($D$127=12,$T$174,IF($D$127=14,"",IF($D$127=18,$T$173,IF($D$127=20,$T$174,IF($D$127=22,"",)))))))))</f>
        <v/>
      </c>
      <c r="H194" s="652">
        <f>IF($D$127=5,$U$173,IF($D$127=6,$U$173,IF($D$127=8,$U$175,IF($D$127=10,"",IF($D$127=12,$U$174,IF($D$127=14,"",IF($D$127=18,$U$173,IF($D$127=20,$U$174,IF($D$127=22,"")))))))))</f>
        <v/>
      </c>
      <c r="I194" s="653">
        <f>IF($D$127=5,$V$173,IF($D$127=6,$V$173,IF($D$127=8,$V$175,IF($D$127=10,"",IF($D$127=12,$V$174,IF($D$127=14,"",IF($D$127=18,$V$173,IF($D$127=20,$V$174,IF($D$127=22,"",)))))))))</f>
        <v/>
      </c>
      <c r="J194" s="655">
        <f>ROUNDUP((H194)/100,0)</f>
        <v/>
      </c>
    </row>
    <row r="195" ht="18" customFormat="1" customHeight="1" s="278">
      <c r="A195" s="201">
        <f>IF(B195="","",+A194+1)</f>
        <v/>
      </c>
      <c r="B195" s="140" t="n"/>
      <c r="C195" s="140" t="n"/>
      <c r="D195" s="139" t="n"/>
      <c r="E195" s="143" t="n"/>
      <c r="F195" s="143" t="n"/>
      <c r="G195" s="143" t="n"/>
      <c r="H195" s="143" t="n"/>
      <c r="I195" s="130" t="n"/>
      <c r="J195" s="131">
        <f>$J$120*H195</f>
        <v/>
      </c>
    </row>
    <row r="196" ht="18" customFormat="1" customHeight="1" s="278">
      <c r="A196" s="201">
        <f>IF(B196="","",+A195+1)</f>
        <v/>
      </c>
      <c r="B196" s="140" t="n"/>
      <c r="C196" s="140" t="n"/>
      <c r="D196" s="139" t="n"/>
      <c r="E196" s="143" t="n"/>
      <c r="F196" s="143" t="n"/>
      <c r="G196" s="143" t="n"/>
      <c r="H196" s="143" t="n"/>
      <c r="I196" s="130" t="n"/>
      <c r="J196" s="131">
        <f>$J$120*H196</f>
        <v/>
      </c>
    </row>
    <row r="197" ht="18" customFormat="1" customHeight="1" s="278">
      <c r="A197" s="201">
        <f>IF(B197="","",+A196+1)</f>
        <v/>
      </c>
      <c r="B197" s="140" t="n"/>
      <c r="C197" s="140" t="n"/>
      <c r="D197" s="139" t="n"/>
      <c r="E197" s="143" t="n"/>
      <c r="F197" s="143" t="n"/>
      <c r="G197" s="143" t="n"/>
      <c r="H197" s="143" t="n"/>
      <c r="I197" s="130" t="n"/>
      <c r="J197" s="131">
        <f>$J$120*H197</f>
        <v/>
      </c>
    </row>
    <row r="198" ht="18" customFormat="1" customHeight="1" s="278">
      <c r="A198" s="201">
        <f>IF(B198="","",+A197+1)</f>
        <v/>
      </c>
      <c r="B198" s="140" t="n"/>
      <c r="C198" s="140" t="n"/>
      <c r="D198" s="139" t="n"/>
      <c r="E198" s="143" t="n"/>
      <c r="F198" s="143" t="n"/>
      <c r="G198" s="143" t="n"/>
      <c r="H198" s="143" t="n"/>
      <c r="I198" s="130" t="n"/>
      <c r="J198" s="131" t="n"/>
    </row>
    <row r="199" ht="18" customFormat="1" customHeight="1" s="278">
      <c r="A199" s="201">
        <f>IF(B199="","",+A198+1)</f>
        <v/>
      </c>
      <c r="B199" s="140" t="n"/>
      <c r="C199" s="140" t="n"/>
      <c r="D199" s="139" t="n"/>
      <c r="E199" s="143" t="n"/>
      <c r="F199" s="143" t="n"/>
      <c r="G199" s="143" t="n"/>
      <c r="H199" s="143" t="n"/>
      <c r="I199" s="144" t="n"/>
      <c r="J199" s="131">
        <f>$J$120*H199</f>
        <v/>
      </c>
    </row>
    <row r="200" ht="18" customFormat="1" customHeight="1" s="278">
      <c r="A200" s="201">
        <f>IF(B200="","",+A199+1)</f>
        <v/>
      </c>
      <c r="B200" s="140" t="n"/>
      <c r="C200" s="140" t="n"/>
      <c r="D200" s="139" t="n"/>
      <c r="E200" s="143" t="n"/>
      <c r="F200" s="143" t="n"/>
      <c r="G200" s="143" t="n"/>
      <c r="H200" s="143" t="n"/>
      <c r="I200" s="144" t="n"/>
      <c r="J200" s="131">
        <f>$J$120*H200</f>
        <v/>
      </c>
    </row>
    <row r="201" ht="18" customFormat="1" customHeight="1" s="278">
      <c r="A201" s="201">
        <f>IF(B201="","",+A200+1)</f>
        <v/>
      </c>
      <c r="B201" s="140" t="n"/>
      <c r="C201" s="140" t="n"/>
      <c r="D201" s="139" t="n"/>
      <c r="E201" s="143" t="n"/>
      <c r="F201" s="143" t="n"/>
      <c r="G201" s="143" t="n"/>
      <c r="H201" s="143" t="n"/>
      <c r="I201" s="130" t="n"/>
      <c r="J201" s="131">
        <f>$J$120*H201</f>
        <v/>
      </c>
    </row>
    <row r="202" ht="18" customFormat="1" customHeight="1" s="278">
      <c r="A202" s="201">
        <f>IF(B202="","",+A201+1)</f>
        <v/>
      </c>
      <c r="B202" s="140" t="n"/>
      <c r="C202" s="140" t="n"/>
      <c r="D202" s="139" t="n"/>
      <c r="E202" s="143" t="n"/>
      <c r="F202" s="143" t="n"/>
      <c r="G202" s="143" t="n"/>
      <c r="H202" s="143" t="n"/>
      <c r="I202" s="130" t="n"/>
      <c r="J202" s="131">
        <f>$J$120*H202</f>
        <v/>
      </c>
    </row>
    <row r="203" ht="18" customFormat="1" customHeight="1" s="278">
      <c r="A203" s="201">
        <f>IF(B203="","",+A202+1)</f>
        <v/>
      </c>
      <c r="B203" s="140" t="n"/>
      <c r="C203" s="140" t="n"/>
      <c r="D203" s="139" t="n"/>
      <c r="E203" s="143" t="n"/>
      <c r="F203" s="143" t="n"/>
      <c r="G203" s="143" t="n"/>
      <c r="H203" s="143" t="n"/>
      <c r="I203" s="130" t="n"/>
      <c r="J203" s="131">
        <f>$J$120*H203</f>
        <v/>
      </c>
    </row>
    <row r="204" ht="18" customFormat="1" customHeight="1" s="278">
      <c r="A204" s="317">
        <f>IF(B204="","",+A203+1)</f>
        <v/>
      </c>
      <c r="B204" s="142" t="n"/>
      <c r="C204" s="142" t="n"/>
      <c r="D204" s="141" t="n"/>
      <c r="E204" s="240" t="n"/>
      <c r="F204" s="240" t="n"/>
      <c r="G204" s="240" t="n"/>
      <c r="H204" s="240" t="n"/>
      <c r="I204" s="136" t="n"/>
      <c r="J204" s="293">
        <f>$J$120*H204</f>
        <v/>
      </c>
    </row>
    <row r="205" ht="18" customFormat="1" customHeight="1" s="278">
      <c r="A205" s="27" t="n"/>
      <c r="B205" s="161" t="n"/>
      <c r="C205" s="278" t="n"/>
      <c r="D205" s="161" t="n"/>
      <c r="E205" s="109" t="n"/>
      <c r="F205" s="161" t="n"/>
      <c r="G205" s="161" t="n"/>
      <c r="H205" s="161" t="n"/>
      <c r="I205" s="501" t="n"/>
      <c r="J205" s="501" t="n"/>
    </row>
    <row r="206" ht="18" customHeight="1" s="344">
      <c r="A206" s="109" t="n"/>
      <c r="J206" s="99">
        <f>LEFT($J$111,14)&amp;"-02"</f>
        <v/>
      </c>
    </row>
    <row r="207" ht="12.75" customHeight="1" s="344">
      <c r="B207" s="278" t="n"/>
      <c r="C207" s="278" t="n"/>
      <c r="D207" s="161" t="n"/>
      <c r="E207" s="109" t="n"/>
      <c r="F207" s="109" t="n"/>
      <c r="G207" s="109" t="n"/>
      <c r="H207" s="109" t="n"/>
      <c r="K207" s="37" t="n"/>
      <c r="L207" s="37" t="n"/>
      <c r="M207" s="2" t="n"/>
      <c r="N207" s="2" t="n"/>
    </row>
    <row r="208" ht="30" customHeight="1" s="344">
      <c r="I208" s="95" t="n"/>
      <c r="J208" s="90">
        <f>$J$2</f>
        <v/>
      </c>
      <c r="K208" s="35" t="n"/>
      <c r="L208" s="35" t="n"/>
      <c r="M208" s="2" t="n"/>
      <c r="N208" s="2" t="n"/>
    </row>
    <row r="209" ht="24.9" customHeight="1" s="344">
      <c r="C209" s="5" t="n"/>
      <c r="D209" s="95" t="n"/>
      <c r="E209" s="95" t="n"/>
      <c r="F209" s="95" t="n"/>
      <c r="G209" s="95" t="n"/>
      <c r="H209" s="95" t="n"/>
      <c r="I209" s="28" t="n"/>
      <c r="J209" s="91">
        <f>$J$3</f>
        <v/>
      </c>
      <c r="K209" s="35" t="n"/>
      <c r="L209" s="35" t="n"/>
      <c r="M209" s="2" t="n"/>
      <c r="N209" s="2" t="n"/>
    </row>
    <row r="210" ht="24.9" customHeight="1" s="344">
      <c r="C210" s="28" t="n"/>
      <c r="D210" s="28" t="n"/>
      <c r="E210" s="28" t="n"/>
      <c r="F210" s="28" t="n"/>
      <c r="G210" s="28" t="n"/>
      <c r="H210" s="28" t="n"/>
      <c r="I210" s="28" t="n"/>
      <c r="J210" s="91">
        <f>$J$4</f>
        <v/>
      </c>
      <c r="M210" s="4" t="n"/>
      <c r="N210" s="4" t="n"/>
    </row>
    <row r="211" ht="15" customFormat="1" customHeight="1" s="278" thickBot="1">
      <c r="A211" s="78" t="n"/>
      <c r="B211" s="72" t="n"/>
      <c r="C211" s="28" t="n"/>
      <c r="D211" s="28" t="n"/>
      <c r="E211" s="28" t="n"/>
      <c r="F211" s="28" t="n"/>
      <c r="G211" s="28" t="n"/>
      <c r="H211" s="28" t="n"/>
      <c r="I211" s="78" t="n"/>
      <c r="J211" s="113" t="n"/>
      <c r="K211" s="4" t="n"/>
      <c r="L211" s="4" t="n"/>
      <c r="M211" s="4" t="n"/>
      <c r="N211" s="4" t="n"/>
    </row>
    <row r="212" ht="24.9" customFormat="1" customHeight="1" s="278" thickBot="1">
      <c r="A212" s="633" t="inlineStr">
        <is>
          <t>QUICK REFERENCE FORMULA</t>
        </is>
      </c>
      <c r="B212" s="634" t="n"/>
      <c r="C212" s="634" t="n"/>
      <c r="D212" s="634" t="n"/>
      <c r="E212" s="634" t="n"/>
      <c r="F212" s="634" t="n"/>
      <c r="G212" s="634" t="n"/>
      <c r="H212" s="634" t="n"/>
      <c r="I212" s="634" t="n"/>
      <c r="J212" s="635" t="n"/>
      <c r="K212" s="278" t="n"/>
      <c r="L212" s="278" t="n"/>
      <c r="M212" s="278" t="n"/>
      <c r="N212" s="278" t="n"/>
    </row>
    <row r="214" ht="15" customFormat="1" customHeight="1" s="278">
      <c r="A214" s="93" t="n"/>
      <c r="D214" s="345" t="n"/>
      <c r="I214" s="160" t="n"/>
      <c r="J214" s="532" t="n"/>
    </row>
    <row r="215" ht="15" customFormat="1" customHeight="1" s="278">
      <c r="A215" s="109" t="n"/>
      <c r="B215" s="93" t="n"/>
      <c r="C215" s="278" t="n"/>
      <c r="D215" s="161" t="n"/>
      <c r="E215" s="35" t="n"/>
      <c r="F215" s="160" t="n"/>
      <c r="G215" s="160" t="n"/>
      <c r="H215" s="160" t="n"/>
      <c r="J215" s="109" t="n"/>
    </row>
    <row r="216" ht="15" customFormat="1" customHeight="1" s="278">
      <c r="A216" s="109" t="n"/>
      <c r="B216" s="278" t="n"/>
      <c r="C216" s="328" t="n"/>
      <c r="D216" s="161" t="n"/>
      <c r="E216" s="35" t="n"/>
      <c r="F216" s="161" t="n"/>
      <c r="J216" s="109" t="n"/>
    </row>
    <row r="217" ht="15.6" customFormat="1" customHeight="1" s="278">
      <c r="A217" s="109" t="n"/>
      <c r="B217" s="278" t="n"/>
      <c r="C217" s="542" t="n"/>
      <c r="D217" s="161" t="n"/>
      <c r="E217" s="109" t="n"/>
      <c r="F217" s="161" t="n"/>
      <c r="H217" s="328" t="n"/>
      <c r="J217" s="109" t="n"/>
    </row>
    <row r="218" ht="15" customFormat="1" customHeight="1" s="278">
      <c r="A218" s="93" t="n"/>
      <c r="B218" s="93" t="n"/>
      <c r="C218" s="278" t="n"/>
      <c r="D218" s="161" t="n"/>
      <c r="E218" s="35" t="n"/>
      <c r="F218" s="160" t="n"/>
      <c r="H218" s="328" t="n"/>
      <c r="I218" s="109" t="n"/>
      <c r="J218" s="109" t="n"/>
    </row>
    <row r="219" ht="15" customFormat="1" customHeight="1" s="278">
      <c r="A219" s="109" t="n"/>
      <c r="B219" s="278" t="n"/>
      <c r="C219" s="89" t="inlineStr">
        <is>
          <t xml:space="preserve">                          Head</t>
        </is>
      </c>
      <c r="D219" s="161" t="n"/>
      <c r="E219" s="35" t="n"/>
      <c r="F219" s="161" t="n"/>
      <c r="I219" s="109" t="n"/>
      <c r="J219" s="109" t="n"/>
    </row>
    <row r="220" ht="15" customFormat="1" customHeight="1" s="278">
      <c r="A220" s="109" t="n"/>
      <c r="B220" s="278" t="n"/>
      <c r="C220" s="328" t="inlineStr">
        <is>
          <t xml:space="preserve">                          = Frame Width -60.00</t>
        </is>
      </c>
      <c r="D220" s="161" t="n"/>
      <c r="E220" s="35" t="n"/>
      <c r="F220" s="161" t="n"/>
      <c r="H220" s="89" t="n"/>
      <c r="J220" s="109" t="n"/>
    </row>
    <row r="221" ht="15" customFormat="1" customHeight="1" s="278">
      <c r="A221" s="109" t="n"/>
      <c r="B221" s="278" t="n"/>
      <c r="C221" s="542" t="inlineStr">
        <is>
          <t xml:space="preserve">                          ความกว้างวงกบ - 60.00</t>
        </is>
      </c>
      <c r="D221" s="161" t="n"/>
      <c r="E221" s="109" t="n"/>
      <c r="F221" s="161" t="n"/>
      <c r="J221" s="109" t="n"/>
    </row>
    <row r="222" ht="15" customFormat="1" customHeight="1" s="278">
      <c r="A222" s="109" t="n"/>
      <c r="B222" s="278" t="n"/>
      <c r="C222" s="656">
        <f>$I$133</f>
        <v/>
      </c>
      <c r="D222" s="161" t="n"/>
      <c r="E222" s="35" t="n"/>
      <c r="F222" s="161" t="n"/>
      <c r="G222" s="324" t="n"/>
      <c r="J222" s="109" t="n"/>
    </row>
    <row r="223" ht="15" customFormat="1" customHeight="1" s="278">
      <c r="A223" s="109" t="n"/>
      <c r="B223" s="278" t="n"/>
      <c r="C223" s="657">
        <f>$J$133</f>
        <v/>
      </c>
      <c r="D223" s="161" t="n"/>
      <c r="E223" s="35" t="n"/>
      <c r="F223" s="161" t="n"/>
      <c r="G223" s="507" t="n"/>
      <c r="I223" s="109" t="n"/>
      <c r="J223" s="109" t="n"/>
    </row>
    <row r="224" ht="15" customFormat="1" customHeight="1" s="278">
      <c r="A224" s="109" t="n"/>
      <c r="B224" s="278" t="n"/>
      <c r="D224" s="161" t="n"/>
      <c r="E224" s="109" t="n"/>
      <c r="F224" s="161" t="n"/>
      <c r="G224" s="507" t="n"/>
      <c r="I224" s="109" t="n"/>
      <c r="J224" s="109" t="n"/>
    </row>
    <row r="225" ht="15.9" customFormat="1" customHeight="1" s="278">
      <c r="A225" s="532" t="n"/>
      <c r="B225" s="532" t="n"/>
      <c r="C225" s="35" t="n"/>
      <c r="D225" s="161" t="n"/>
      <c r="E225" s="109" t="n"/>
      <c r="F225" s="161" t="n"/>
      <c r="G225" s="324" t="n"/>
      <c r="I225" s="109" t="n"/>
      <c r="J225" s="109" t="n"/>
    </row>
    <row r="226" ht="15.9" customFormat="1" customHeight="1" s="278">
      <c r="A226" s="532" t="n"/>
      <c r="B226" s="532" t="n"/>
      <c r="C226" s="35" t="n"/>
      <c r="D226" s="161" t="n"/>
      <c r="E226" s="109" t="n"/>
      <c r="F226" s="161" t="n"/>
      <c r="H226" s="109" t="n"/>
      <c r="I226" s="109" t="n"/>
      <c r="J226" s="109" t="n"/>
    </row>
    <row r="227" ht="15.9" customFormat="1" customHeight="1" s="278">
      <c r="A227" s="532" t="n"/>
      <c r="B227" s="532" t="n"/>
      <c r="C227" s="35" t="n"/>
      <c r="D227" s="161" t="n"/>
      <c r="E227" s="109" t="n"/>
      <c r="F227" s="161" t="n"/>
      <c r="H227" s="109" t="n"/>
      <c r="I227" s="32" t="n"/>
      <c r="J227" s="40" t="n"/>
    </row>
    <row r="228" ht="15.9" customFormat="1" customHeight="1" s="278">
      <c r="A228" s="532" t="n"/>
      <c r="B228" s="532" t="n"/>
      <c r="C228" s="542" t="n"/>
      <c r="D228" s="161" t="n"/>
      <c r="E228" s="109" t="n"/>
      <c r="F228" s="161" t="n"/>
      <c r="H228" s="109" t="n"/>
      <c r="I228" s="328" t="n"/>
      <c r="J228" s="117" t="n"/>
    </row>
    <row r="229" ht="15.9" customFormat="1" customHeight="1" s="278">
      <c r="A229" s="63" t="n"/>
      <c r="B229" s="63" t="n"/>
      <c r="D229" s="161" t="n"/>
      <c r="E229" s="109" t="n"/>
      <c r="F229" s="161" t="n"/>
      <c r="I229" s="328" t="n"/>
      <c r="J229" s="117" t="n"/>
    </row>
    <row r="230" ht="15.9" customFormat="1" customHeight="1" s="278">
      <c r="A230" s="109" t="n"/>
      <c r="B230" s="109" t="n"/>
      <c r="D230" s="161" t="n"/>
      <c r="E230" s="109" t="n"/>
      <c r="F230" s="161" t="n"/>
      <c r="I230" s="328" t="n"/>
      <c r="J230" s="117" t="n"/>
    </row>
    <row r="231" ht="15.9" customFormat="1" customHeight="1" s="278">
      <c r="A231" s="72" t="n"/>
      <c r="B231" s="278" t="n"/>
      <c r="D231" s="161" t="n"/>
      <c r="E231" s="109" t="n"/>
      <c r="F231" s="109" t="n"/>
      <c r="I231" s="328" t="n"/>
      <c r="J231" s="117" t="n"/>
    </row>
    <row r="232" ht="15.9" customFormat="1" customHeight="1" s="278">
      <c r="A232" s="44" t="n"/>
      <c r="B232" s="44" t="n"/>
      <c r="C232" s="89" t="inlineStr">
        <is>
          <t xml:space="preserve">                          Door Stop Head</t>
        </is>
      </c>
      <c r="D232" s="84" t="n"/>
      <c r="E232" s="44" t="n"/>
      <c r="F232" s="44" t="n"/>
      <c r="G232" s="109" t="n"/>
      <c r="H232" s="109" t="n"/>
      <c r="I232" s="328" t="n"/>
      <c r="J232" s="117" t="n"/>
    </row>
    <row r="233" ht="15.9" customFormat="1" customHeight="1" s="278">
      <c r="A233" s="40" t="n"/>
      <c r="B233" s="40" t="n"/>
      <c r="C233" s="328" t="inlineStr">
        <is>
          <t xml:space="preserve">                          = Frame Width -86</t>
        </is>
      </c>
      <c r="D233" s="85" t="n"/>
      <c r="E233" s="40" t="n"/>
      <c r="F233" s="32" t="n"/>
      <c r="G233" s="109" t="n"/>
      <c r="H233" s="109" t="n"/>
      <c r="J233" s="109" t="n"/>
    </row>
    <row r="234" ht="15.9" customFormat="1" customHeight="1" s="278">
      <c r="A234" s="109" t="n"/>
      <c r="B234" s="278" t="n"/>
      <c r="C234" s="542" t="inlineStr">
        <is>
          <t xml:space="preserve">                          ความกว้างวงกบ - 86</t>
        </is>
      </c>
      <c r="D234" s="161" t="n"/>
      <c r="E234" s="109" t="n"/>
      <c r="F234" s="161" t="n"/>
      <c r="G234" s="109" t="n"/>
      <c r="H234" s="109" t="n"/>
      <c r="I234" s="109" t="n"/>
      <c r="J234" s="501" t="n"/>
    </row>
    <row r="235" ht="15.9" customFormat="1" customHeight="1" s="278">
      <c r="A235" s="109" t="n"/>
      <c r="B235" s="278" t="n"/>
      <c r="C235" s="656">
        <f>$I$134</f>
        <v/>
      </c>
      <c r="D235" s="161" t="n"/>
      <c r="E235" s="109" t="n"/>
      <c r="F235" s="161" t="n"/>
      <c r="G235" s="109" t="n"/>
      <c r="H235" s="109" t="n"/>
      <c r="I235" s="501" t="n"/>
      <c r="J235" s="501" t="n"/>
    </row>
    <row r="236" ht="15.9" customFormat="1" customHeight="1" s="278">
      <c r="A236" s="109" t="n"/>
      <c r="B236" s="278" t="n"/>
      <c r="C236" s="657">
        <f>$J$134</f>
        <v/>
      </c>
      <c r="D236" s="161" t="n"/>
      <c r="E236" s="109" t="n"/>
      <c r="F236" s="161" t="n"/>
      <c r="G236" s="109" t="n"/>
      <c r="H236" s="107" t="n"/>
      <c r="I236" s="89" t="n"/>
      <c r="J236" s="118" t="n"/>
    </row>
    <row r="237" ht="15.9" customFormat="1" customHeight="1" s="278">
      <c r="A237" s="109" t="n"/>
      <c r="B237" s="278" t="n"/>
      <c r="C237" s="44" t="n"/>
      <c r="D237" s="161" t="n"/>
      <c r="E237" s="109" t="n"/>
      <c r="F237" s="161" t="n"/>
      <c r="G237" s="109" t="n"/>
      <c r="H237" s="107" t="n"/>
      <c r="I237" s="328" t="n"/>
      <c r="J237" s="117" t="n"/>
    </row>
    <row r="238" ht="15.9" customFormat="1" customHeight="1" s="278">
      <c r="A238" s="109" t="n"/>
      <c r="B238" s="278" t="n"/>
      <c r="D238" s="161" t="n"/>
      <c r="E238" s="109" t="n"/>
      <c r="F238" s="161" t="n"/>
      <c r="G238" s="109" t="n"/>
      <c r="H238" s="109" t="n"/>
      <c r="I238" s="328" t="n"/>
      <c r="J238" s="117" t="n"/>
    </row>
    <row r="239" ht="15.9" customFormat="1" customHeight="1" s="278">
      <c r="A239" s="109" t="n"/>
      <c r="B239" s="278" t="n"/>
      <c r="D239" s="161" t="n"/>
      <c r="E239" s="109" t="n"/>
      <c r="F239" s="161" t="n"/>
      <c r="G239" s="109" t="n"/>
      <c r="H239" s="109" t="n"/>
      <c r="I239" s="501" t="n"/>
      <c r="J239" s="501" t="n"/>
    </row>
    <row r="240" ht="15.9" customFormat="1" customHeight="1" s="278">
      <c r="A240" s="109" t="n"/>
      <c r="B240" s="278" t="n"/>
      <c r="D240" s="161" t="n"/>
      <c r="E240" s="109" t="n"/>
      <c r="F240" s="161" t="n"/>
      <c r="G240" s="109" t="n"/>
      <c r="H240" s="36" t="n"/>
      <c r="I240" s="501" t="n"/>
      <c r="J240" s="501" t="n"/>
    </row>
    <row r="241" ht="15.9" customFormat="1" customHeight="1" s="278">
      <c r="A241" s="109" t="n"/>
      <c r="B241" s="278" t="n"/>
      <c r="D241" s="161" t="n"/>
      <c r="E241" s="109" t="n"/>
      <c r="F241" s="161" t="n"/>
      <c r="G241" s="109" t="n"/>
      <c r="H241" s="109" t="n"/>
      <c r="I241" s="109" t="n"/>
      <c r="J241" s="501" t="n"/>
    </row>
    <row r="242" ht="15.9" customFormat="1" customHeight="1" s="278">
      <c r="A242" s="109" t="n"/>
      <c r="B242" s="278" t="n"/>
      <c r="C242" s="89" t="inlineStr">
        <is>
          <t xml:space="preserve">                          Sill</t>
        </is>
      </c>
      <c r="D242" s="161" t="n"/>
      <c r="E242" s="109" t="n"/>
      <c r="F242" s="161" t="n"/>
      <c r="G242" s="109" t="n"/>
      <c r="H242" s="109" t="n"/>
      <c r="I242" s="501" t="n"/>
      <c r="J242" s="501" t="n"/>
    </row>
    <row r="243" ht="15.9" customFormat="1" customHeight="1" s="278">
      <c r="A243" s="109" t="n"/>
      <c r="B243" s="278" t="n"/>
      <c r="C243" s="328" t="inlineStr">
        <is>
          <t xml:space="preserve">                          = Frame Width -60.00</t>
        </is>
      </c>
      <c r="D243" s="161" t="n"/>
      <c r="E243" s="109" t="n"/>
      <c r="F243" s="161" t="n"/>
      <c r="G243" s="109" t="n"/>
      <c r="H243" s="109" t="n"/>
      <c r="I243" s="501" t="n"/>
      <c r="J243" s="501" t="n"/>
    </row>
    <row r="244" ht="15" customFormat="1" customHeight="1" s="278">
      <c r="A244" s="109" t="n"/>
      <c r="B244" s="278" t="n"/>
      <c r="C244" s="542" t="inlineStr">
        <is>
          <t xml:space="preserve">                          ความกว้างวงกบ - 60.00</t>
        </is>
      </c>
      <c r="D244" s="161" t="n"/>
      <c r="E244" s="109" t="n"/>
      <c r="F244" s="161" t="n"/>
      <c r="G244" s="109" t="n"/>
      <c r="H244" s="109" t="n"/>
      <c r="I244" s="501" t="n"/>
      <c r="J244" s="501" t="n"/>
    </row>
    <row r="245" ht="15.9" customFormat="1" customHeight="1" s="278">
      <c r="A245" s="109" t="n"/>
      <c r="B245" s="278" t="n"/>
      <c r="C245" s="656">
        <f>$I$135</f>
        <v/>
      </c>
      <c r="D245" s="161" t="n"/>
      <c r="E245" s="109" t="n"/>
      <c r="F245" s="161" t="n"/>
      <c r="G245" s="109" t="n"/>
      <c r="H245" s="109" t="n"/>
      <c r="I245" s="44" t="n"/>
      <c r="J245" s="119" t="n"/>
    </row>
    <row r="246" ht="15.9" customFormat="1" customHeight="1" s="278">
      <c r="A246" s="109" t="n"/>
      <c r="B246" s="278" t="n"/>
      <c r="C246" s="657">
        <f>$J$135</f>
        <v/>
      </c>
      <c r="D246" s="161" t="n"/>
      <c r="E246" s="109" t="n"/>
      <c r="F246" s="161" t="n"/>
      <c r="G246" s="109" t="n"/>
      <c r="H246" s="109" t="n"/>
      <c r="I246" s="32" t="n"/>
      <c r="J246" s="40" t="n"/>
    </row>
    <row r="247" ht="15.9" customFormat="1" customHeight="1" s="278">
      <c r="A247" s="109" t="n"/>
      <c r="B247" s="278" t="n"/>
      <c r="C247" s="161" t="n"/>
      <c r="D247" s="161" t="n"/>
      <c r="E247" s="109" t="n"/>
      <c r="F247" s="161" t="n"/>
      <c r="G247" s="109" t="n"/>
      <c r="H247" s="109" t="n"/>
      <c r="J247" s="109" t="n"/>
    </row>
    <row r="248" ht="15.9" customFormat="1" customHeight="1" s="278">
      <c r="A248" s="109" t="n"/>
      <c r="B248" s="278" t="n"/>
      <c r="C248" s="278" t="n"/>
      <c r="D248" s="161" t="n"/>
      <c r="E248" s="109" t="n"/>
      <c r="F248" s="109" t="n"/>
      <c r="G248" s="44" t="n"/>
      <c r="H248" s="109" t="n"/>
      <c r="J248" s="109" t="n"/>
    </row>
    <row r="249" ht="15.9" customFormat="1" customHeight="1" s="278">
      <c r="A249" s="109" t="n"/>
      <c r="B249" s="278" t="n"/>
      <c r="C249" s="278" t="n"/>
      <c r="D249" s="161" t="n"/>
      <c r="E249" s="109" t="n"/>
      <c r="F249" s="109" t="n"/>
      <c r="G249" s="44" t="n"/>
      <c r="H249" s="109" t="n"/>
      <c r="J249" s="109" t="n"/>
    </row>
    <row r="250" ht="15.9" customFormat="1" customHeight="1" s="278">
      <c r="A250" s="109" t="n"/>
      <c r="B250" s="278" t="n"/>
      <c r="C250" s="278" t="n"/>
      <c r="D250" s="161" t="n"/>
      <c r="E250" s="109" t="n"/>
      <c r="F250" s="109" t="n"/>
      <c r="G250" s="40" t="n"/>
      <c r="H250" s="109" t="n"/>
      <c r="I250" s="501" t="n"/>
      <c r="J250" s="501" t="n"/>
    </row>
    <row r="251" ht="15.9" customFormat="1" customHeight="1" s="278">
      <c r="A251" s="109" t="n"/>
      <c r="B251" s="278" t="n"/>
      <c r="D251" s="161" t="n"/>
      <c r="E251" s="109" t="n"/>
      <c r="F251" s="109" t="n"/>
      <c r="G251" s="109" t="n"/>
      <c r="H251" s="109" t="n"/>
      <c r="I251" s="501" t="n"/>
      <c r="J251" s="501" t="n"/>
    </row>
    <row r="252" ht="15.9" customFormat="1" customHeight="1" s="278">
      <c r="A252" s="44" t="n"/>
      <c r="B252" s="44" t="n"/>
      <c r="D252" s="84" t="n"/>
      <c r="E252" s="44" t="n"/>
      <c r="F252" s="44" t="n"/>
      <c r="G252" s="109" t="n"/>
      <c r="H252" s="109" t="n"/>
      <c r="I252" s="501" t="n"/>
      <c r="J252" s="501" t="n"/>
    </row>
    <row r="253" ht="15.9" customFormat="1" customHeight="1" s="278">
      <c r="A253" s="40" t="n"/>
      <c r="B253" s="40" t="n"/>
      <c r="C253" s="89" t="inlineStr">
        <is>
          <t xml:space="preserve">                          Door Stop Sill</t>
        </is>
      </c>
      <c r="D253" s="85" t="n"/>
      <c r="E253" s="40" t="n"/>
      <c r="F253" s="32" t="n"/>
      <c r="G253" s="109" t="n"/>
      <c r="I253" s="501" t="n"/>
      <c r="J253" s="501" t="n"/>
    </row>
    <row r="254" ht="15.9" customFormat="1" customHeight="1" s="278">
      <c r="A254" s="27" t="n"/>
      <c r="B254" s="278" t="n"/>
      <c r="C254" s="328" t="inlineStr">
        <is>
          <t xml:space="preserve">                          = Frame Width -60.00</t>
        </is>
      </c>
      <c r="D254" s="161" t="n"/>
      <c r="E254" s="109" t="n"/>
      <c r="F254" s="109" t="n"/>
      <c r="G254" s="109" t="n"/>
      <c r="I254" s="501" t="n"/>
      <c r="J254" s="501" t="n"/>
    </row>
    <row r="255" ht="15.9" customFormat="1" customHeight="1" s="278">
      <c r="A255" s="27" t="n"/>
      <c r="B255" s="278" t="n"/>
      <c r="C255" s="542" t="inlineStr">
        <is>
          <t xml:space="preserve">                          ความกว้างวงกบ - 60.00</t>
        </is>
      </c>
      <c r="D255" s="161" t="n"/>
      <c r="E255" s="109" t="n"/>
      <c r="F255" s="109" t="n"/>
      <c r="G255" s="109" t="n"/>
      <c r="I255" s="501" t="n"/>
      <c r="J255" s="501" t="n"/>
    </row>
    <row r="256" ht="15.9" customFormat="1" customHeight="1" s="278">
      <c r="A256" s="27" t="n"/>
      <c r="B256" s="278" t="n"/>
      <c r="C256" s="656">
        <f>$I$136</f>
        <v/>
      </c>
      <c r="D256" s="161" t="n"/>
      <c r="E256" s="109" t="n"/>
      <c r="F256" s="109" t="n"/>
      <c r="G256" s="109" t="n"/>
      <c r="I256" s="501" t="n"/>
      <c r="J256" s="501" t="n"/>
    </row>
    <row r="257" ht="15.9" customFormat="1" customHeight="1" s="278">
      <c r="A257" s="27" t="n"/>
      <c r="B257" s="278" t="n"/>
      <c r="C257" s="657">
        <f>$J$136</f>
        <v/>
      </c>
      <c r="D257" s="161" t="n"/>
      <c r="E257" s="109" t="n"/>
      <c r="F257" s="109" t="n"/>
      <c r="G257" s="109" t="n"/>
      <c r="I257" s="501" t="n"/>
      <c r="J257" s="501" t="n"/>
    </row>
    <row r="258" ht="15.9" customFormat="1" customHeight="1" s="278">
      <c r="A258" s="27" t="n"/>
      <c r="B258" s="278" t="n"/>
      <c r="C258" s="278" t="n"/>
      <c r="D258" s="161" t="n"/>
      <c r="E258" s="109" t="n"/>
      <c r="F258" s="109" t="n"/>
      <c r="G258" s="109" t="n"/>
      <c r="I258" s="501" t="n"/>
      <c r="J258" s="501" t="n"/>
    </row>
    <row r="259" ht="15.9" customFormat="1" customHeight="1" s="278">
      <c r="A259" s="27" t="n"/>
      <c r="B259" s="278" t="n"/>
      <c r="C259" s="278" t="n"/>
      <c r="D259" s="161" t="n"/>
      <c r="E259" s="109" t="n"/>
      <c r="F259" s="109" t="n"/>
      <c r="G259" s="109" t="n"/>
      <c r="I259" s="501" t="n"/>
      <c r="J259" s="501" t="n"/>
    </row>
    <row r="260" ht="15.9" customFormat="1" customHeight="1" s="278">
      <c r="A260" s="27" t="n"/>
      <c r="B260" s="278" t="n"/>
      <c r="C260" s="287" t="n"/>
      <c r="D260" s="161" t="n"/>
      <c r="E260" s="109" t="n"/>
      <c r="F260" s="109" t="n"/>
      <c r="G260" s="109" t="n"/>
      <c r="I260" s="501" t="n"/>
      <c r="J260" s="501" t="n"/>
    </row>
    <row r="261" ht="15.9" customFormat="1" customHeight="1" s="278">
      <c r="A261" s="27" t="n"/>
      <c r="B261" s="278" t="n"/>
      <c r="C261" s="161" t="n"/>
      <c r="D261" s="161" t="n"/>
      <c r="E261" s="109" t="n"/>
      <c r="F261" s="109" t="n"/>
      <c r="G261" s="109" t="n"/>
      <c r="I261" s="501" t="n"/>
      <c r="J261" s="501" t="n"/>
    </row>
    <row r="262" ht="15.9" customFormat="1" customHeight="1" s="278">
      <c r="A262" s="27" t="n"/>
      <c r="B262" s="278" t="n"/>
      <c r="C262" s="278" t="n"/>
      <c r="D262" s="161" t="n"/>
      <c r="E262" s="109" t="n"/>
      <c r="F262" s="109" t="n"/>
      <c r="G262" s="109" t="n"/>
      <c r="I262" s="501" t="n"/>
      <c r="J262" s="501" t="n"/>
    </row>
    <row r="263" ht="15.9" customFormat="1" customHeight="1" s="278">
      <c r="A263" s="27" t="n"/>
      <c r="B263" s="278" t="n"/>
      <c r="C263" s="89" t="inlineStr">
        <is>
          <t xml:space="preserve">                          JAMB</t>
        </is>
      </c>
      <c r="D263" s="161" t="n"/>
      <c r="E263" s="109" t="n"/>
      <c r="F263" s="109" t="n"/>
      <c r="G263" s="109" t="n"/>
      <c r="H263" s="109" t="n"/>
      <c r="I263" s="501" t="n"/>
      <c r="J263" s="501" t="n"/>
    </row>
    <row r="264" ht="15.9" customFormat="1" customHeight="1" s="278">
      <c r="A264" s="27" t="n"/>
      <c r="B264" s="278" t="n"/>
      <c r="C264" s="328" t="inlineStr">
        <is>
          <t xml:space="preserve">                         = FAME HIGHT</t>
        </is>
      </c>
      <c r="D264" s="328" t="n"/>
      <c r="E264" s="328" t="n"/>
      <c r="F264" s="109" t="n"/>
      <c r="G264" s="109" t="n"/>
      <c r="H264" s="109" t="n"/>
      <c r="I264" s="501" t="n"/>
      <c r="J264" s="501" t="n"/>
    </row>
    <row r="265" ht="15.9" customFormat="1" customHeight="1" s="278">
      <c r="A265" s="27" t="n"/>
      <c r="B265" s="278" t="n"/>
      <c r="C265" s="542" t="inlineStr">
        <is>
          <t xml:space="preserve">                          ความสูงวงกบ</t>
        </is>
      </c>
      <c r="D265" s="542" t="n"/>
      <c r="E265" s="542" t="n"/>
      <c r="F265" s="109" t="n"/>
      <c r="G265" s="109" t="n"/>
      <c r="H265" s="109" t="n"/>
      <c r="J265" s="109" t="n"/>
    </row>
    <row r="266" ht="15.9" customFormat="1" customHeight="1" s="278">
      <c r="A266" s="27" t="n"/>
      <c r="B266" s="278" t="n"/>
      <c r="C266" s="656">
        <f>$I$137</f>
        <v/>
      </c>
      <c r="D266" s="161" t="n"/>
      <c r="E266" s="109" t="n"/>
      <c r="F266" s="109" t="n"/>
      <c r="G266" s="278" t="n"/>
      <c r="H266" s="278" t="n"/>
      <c r="J266" s="109" t="n"/>
    </row>
    <row r="267" ht="15.9" customFormat="1" customHeight="1" s="278">
      <c r="A267" s="27" t="n"/>
      <c r="B267" s="278" t="n"/>
      <c r="C267" s="657">
        <f>$J$137+$J$138</f>
        <v/>
      </c>
      <c r="D267" s="161" t="n"/>
      <c r="E267" s="109" t="n"/>
      <c r="F267" s="109" t="n"/>
      <c r="G267" s="109" t="n"/>
      <c r="H267" s="109" t="n"/>
      <c r="J267" s="109" t="n"/>
    </row>
    <row r="268" ht="15.9" customFormat="1" customHeight="1" s="278">
      <c r="A268" s="27" t="n"/>
      <c r="B268" s="278" t="n"/>
      <c r="D268" s="89" t="n"/>
      <c r="E268" s="89" t="n"/>
      <c r="F268" s="109" t="n"/>
      <c r="G268" s="109" t="n"/>
      <c r="H268" s="109" t="n"/>
      <c r="J268" s="109" t="n"/>
    </row>
    <row r="269" ht="15.9" customFormat="1" customHeight="1" s="278">
      <c r="A269" s="27" t="n"/>
      <c r="B269" s="278" t="n"/>
      <c r="D269" s="89" t="n"/>
      <c r="E269" s="89" t="n"/>
      <c r="F269" s="109" t="n"/>
      <c r="G269" s="109" t="n"/>
      <c r="H269" s="109" t="n"/>
      <c r="J269" s="109" t="n"/>
    </row>
    <row r="270" ht="15.9" customFormat="1" customHeight="1" s="278">
      <c r="A270" s="27" t="n"/>
      <c r="D270" s="328" t="n"/>
      <c r="E270" s="328" t="n"/>
      <c r="F270" s="109" t="n"/>
      <c r="G270" s="109" t="n"/>
      <c r="H270" s="109" t="n"/>
      <c r="J270" s="109" t="n"/>
    </row>
    <row r="271" ht="15.9" customFormat="1" customHeight="1" s="278">
      <c r="A271" s="27" t="n"/>
      <c r="B271" s="278" t="n"/>
      <c r="D271" s="328" t="n"/>
      <c r="E271" s="328" t="n"/>
      <c r="F271" s="109" t="n"/>
      <c r="G271" s="109" t="n"/>
      <c r="I271" s="501" t="n"/>
      <c r="J271" s="501" t="n"/>
    </row>
    <row r="272" ht="15.9" customFormat="1" customHeight="1" s="278">
      <c r="A272" s="27" t="n"/>
      <c r="B272" s="278" t="n"/>
      <c r="C272" s="278" t="n"/>
      <c r="D272" s="161" t="n"/>
      <c r="E272" s="109" t="n"/>
      <c r="F272" s="109" t="n"/>
      <c r="G272" s="109" t="n"/>
      <c r="I272" s="501" t="n"/>
      <c r="J272" s="501" t="n"/>
    </row>
    <row r="273" ht="15.9" customFormat="1" customHeight="1" s="278">
      <c r="A273" s="27" t="n"/>
      <c r="B273" s="278" t="n"/>
      <c r="C273" s="89" t="inlineStr">
        <is>
          <t xml:space="preserve">                          Door Stop Jamb</t>
        </is>
      </c>
      <c r="D273" s="162" t="n"/>
      <c r="E273" s="501" t="n"/>
      <c r="F273" s="109" t="n"/>
      <c r="G273" s="109" t="n"/>
      <c r="I273" s="501" t="n"/>
      <c r="J273" s="501" t="n"/>
    </row>
    <row r="274" ht="15.9" customFormat="1" customHeight="1" s="278">
      <c r="A274" s="27" t="n"/>
      <c r="B274" s="278" t="n"/>
      <c r="C274" s="328" t="inlineStr">
        <is>
          <t xml:space="preserve">                          = FAME HIGHT - 96</t>
        </is>
      </c>
      <c r="D274" s="328" t="n"/>
      <c r="E274" s="328" t="n"/>
      <c r="F274" s="109" t="n"/>
      <c r="G274" s="109" t="n"/>
      <c r="I274" s="109" t="n"/>
      <c r="J274" s="501" t="n"/>
    </row>
    <row r="275" ht="15.9" customFormat="1" customHeight="1" s="278">
      <c r="A275" s="27" t="n"/>
      <c r="B275" s="278" t="n"/>
      <c r="C275" s="542" t="inlineStr">
        <is>
          <t xml:space="preserve">                          ความสูง (วงกบ) - 96</t>
        </is>
      </c>
      <c r="D275" s="542" t="n"/>
      <c r="E275" s="542" t="n"/>
      <c r="F275" s="109" t="n"/>
      <c r="G275" s="109" t="n"/>
      <c r="I275" s="109" t="n"/>
      <c r="J275" s="501" t="n"/>
    </row>
    <row r="276" ht="15.9" customFormat="1" customHeight="1" s="278">
      <c r="A276" s="27" t="n"/>
      <c r="B276" s="278" t="n"/>
      <c r="C276" s="656">
        <f>$I$139</f>
        <v/>
      </c>
      <c r="F276" s="109" t="n"/>
      <c r="G276" s="109" t="n"/>
      <c r="I276" s="109" t="n"/>
      <c r="J276" s="501" t="n"/>
    </row>
    <row r="277" ht="15.9" customFormat="1" customHeight="1" s="278">
      <c r="A277" s="27" t="n"/>
      <c r="B277" s="278" t="n"/>
      <c r="C277" s="657">
        <f>$J$139+$J$140</f>
        <v/>
      </c>
      <c r="F277" s="109" t="n"/>
      <c r="G277" s="109" t="n"/>
      <c r="I277" s="109" t="n"/>
      <c r="J277" s="501" t="n"/>
    </row>
    <row r="278" ht="15.9" customFormat="1" customHeight="1" s="278">
      <c r="A278" s="27" t="n"/>
      <c r="B278" s="278" t="n"/>
      <c r="F278" s="109" t="n"/>
      <c r="G278" s="109" t="n"/>
      <c r="H278" s="109" t="n"/>
      <c r="J278" s="109" t="n"/>
    </row>
    <row r="279" ht="15.9" customFormat="1" customHeight="1" s="278">
      <c r="A279" s="27" t="n"/>
      <c r="B279" s="278" t="n"/>
      <c r="C279" s="278" t="n"/>
      <c r="D279" s="161" t="n"/>
      <c r="E279" s="109" t="n"/>
      <c r="F279" s="109" t="n"/>
      <c r="G279" s="109" t="n"/>
      <c r="H279" s="109" t="n"/>
      <c r="J279" s="109" t="n"/>
    </row>
    <row r="280" ht="15.9" customFormat="1" customHeight="1" s="278">
      <c r="A280" s="27" t="n"/>
      <c r="B280" s="278" t="n"/>
      <c r="F280" s="109" t="n"/>
      <c r="G280" s="109" t="n"/>
      <c r="H280" s="109" t="n"/>
      <c r="J280" s="109" t="n"/>
    </row>
    <row r="281" ht="15.9" customFormat="1" customHeight="1" s="278">
      <c r="A281" s="27" t="n"/>
      <c r="B281" s="278" t="n"/>
      <c r="F281" s="109" t="n"/>
      <c r="G281" s="109" t="n"/>
      <c r="H281" s="109" t="n"/>
      <c r="I281" s="162" t="n"/>
      <c r="J281" s="501" t="n"/>
    </row>
    <row r="282" ht="15.9" customFormat="1" customHeight="1" s="278">
      <c r="A282" s="27" t="n"/>
      <c r="B282" s="278" t="n"/>
      <c r="C282" s="89" t="inlineStr">
        <is>
          <t xml:space="preserve">                          Sash</t>
        </is>
      </c>
      <c r="F282" s="109" t="n"/>
      <c r="G282" s="109" t="n"/>
      <c r="H282" s="109" t="n"/>
      <c r="I282" s="109" t="n"/>
      <c r="J282" s="501" t="n"/>
    </row>
    <row r="283" ht="15.9" customFormat="1" customHeight="1" s="278">
      <c r="A283" s="27" t="n"/>
      <c r="B283" s="278" t="n"/>
      <c r="C283" s="94" t="inlineStr">
        <is>
          <t xml:space="preserve">                          = ((Frame Width - 185-(113.25 × 14))/15</t>
        </is>
      </c>
      <c r="D283" s="161" t="n"/>
      <c r="E283" s="109" t="n"/>
      <c r="F283" s="109" t="n"/>
      <c r="G283" s="109" t="n"/>
      <c r="H283" s="109" t="n"/>
      <c r="I283" s="501" t="n"/>
      <c r="J283" s="501" t="n"/>
    </row>
    <row r="284" ht="15.9" customFormat="1" customHeight="1" s="278">
      <c r="A284" s="27" t="n"/>
      <c r="B284" s="278" t="n"/>
      <c r="C284" s="542" t="inlineStr">
        <is>
          <t xml:space="preserve">                          ((ความกว้างวงกบ - 185-(113.25 × 14))/15</t>
        </is>
      </c>
      <c r="D284" s="161" t="n"/>
      <c r="E284" s="109" t="n"/>
      <c r="F284" s="109" t="n"/>
      <c r="G284" s="109" t="n"/>
      <c r="H284" s="109" t="n"/>
      <c r="I284" s="501" t="n"/>
      <c r="J284" s="501" t="n"/>
    </row>
    <row r="285" ht="15.9" customFormat="1" customHeight="1" s="278">
      <c r="A285" s="27" t="n"/>
      <c r="B285" s="278" t="n"/>
      <c r="C285" s="328" t="inlineStr">
        <is>
          <t xml:space="preserve">                          = FAME HIGHT - 92.00</t>
        </is>
      </c>
      <c r="D285" s="328" t="n"/>
      <c r="E285" s="328" t="n"/>
      <c r="F285" s="109" t="n"/>
      <c r="G285" s="109" t="n"/>
      <c r="I285" s="501" t="n"/>
      <c r="J285" s="501" t="n"/>
    </row>
    <row r="286" ht="15.9" customFormat="1" customHeight="1" s="23">
      <c r="A286" s="27" t="n"/>
      <c r="B286" s="278" t="n"/>
      <c r="C286" s="542" t="inlineStr">
        <is>
          <t xml:space="preserve">                          ความสูงวงกบ - 92.00</t>
        </is>
      </c>
      <c r="D286" s="542" t="n"/>
      <c r="E286" s="542" t="n"/>
      <c r="F286" s="109" t="n"/>
      <c r="G286" s="109" t="n"/>
      <c r="H286" s="278" t="n"/>
      <c r="I286" s="109" t="n"/>
      <c r="J286" s="109" t="n"/>
    </row>
    <row r="287" ht="15.9" customFormat="1" customHeight="1" s="278">
      <c r="A287" s="27" t="n"/>
      <c r="B287" s="278" t="n"/>
      <c r="C287" s="656">
        <f>$I$141</f>
        <v/>
      </c>
      <c r="F287" s="109" t="n"/>
      <c r="G287" s="109" t="n"/>
      <c r="I287" s="44" t="n"/>
      <c r="J287" s="119" t="n"/>
    </row>
    <row r="288" ht="15.9" customFormat="1" customHeight="1" s="278">
      <c r="A288" s="27" t="n"/>
      <c r="B288" s="278" t="n"/>
      <c r="C288" s="657">
        <f>$J$141+$J$142</f>
        <v/>
      </c>
      <c r="D288" s="161" t="n"/>
      <c r="E288" s="109" t="n"/>
      <c r="F288" s="109" t="n"/>
      <c r="G288" s="109" t="n"/>
      <c r="H288" s="161" t="n"/>
      <c r="I288" s="32" t="n"/>
      <c r="J288" s="40" t="n"/>
    </row>
    <row r="289" ht="15.9" customFormat="1" customHeight="1" s="278">
      <c r="A289" s="27" t="n"/>
      <c r="B289" s="278" t="n"/>
      <c r="C289" s="656">
        <f>$I$143</f>
        <v/>
      </c>
      <c r="D289" s="161" t="n"/>
      <c r="E289" s="109" t="n"/>
      <c r="F289" s="109" t="n"/>
      <c r="G289" s="109" t="n"/>
      <c r="H289" s="109" t="n"/>
      <c r="I289" s="501" t="n"/>
      <c r="J289" s="501" t="n"/>
    </row>
    <row r="290" ht="15.9" customFormat="1" customHeight="1" s="278">
      <c r="A290" s="27" t="n"/>
      <c r="B290" s="278" t="n"/>
      <c r="C290" s="657">
        <f>$J$143+$J$144+$J$145+$J$146</f>
        <v/>
      </c>
      <c r="D290" s="161" t="n"/>
      <c r="E290" s="109" t="n"/>
      <c r="F290" s="109" t="n"/>
      <c r="G290" s="109" t="n"/>
      <c r="H290" s="109" t="n"/>
      <c r="I290" s="501" t="n"/>
      <c r="J290" s="501" t="n"/>
    </row>
    <row r="291" ht="15.9" customFormat="1" customHeight="1" s="278">
      <c r="A291" s="27" t="n"/>
      <c r="B291" s="278" t="n"/>
      <c r="C291" s="278" t="n"/>
      <c r="D291" s="161" t="n"/>
      <c r="E291" s="109" t="n"/>
      <c r="F291" s="109" t="n"/>
      <c r="G291" s="109" t="n"/>
      <c r="H291" s="109" t="n"/>
      <c r="I291" s="109" t="n"/>
      <c r="J291" s="501" t="n"/>
    </row>
    <row r="292" ht="15.9" customFormat="1" customHeight="1" s="278">
      <c r="A292" s="27" t="n"/>
      <c r="B292" s="278" t="n"/>
      <c r="C292" s="23" t="n"/>
      <c r="D292" s="161" t="n"/>
      <c r="E292" s="109" t="n"/>
      <c r="F292" s="109" t="n"/>
      <c r="G292" s="109" t="n"/>
      <c r="H292" s="109" t="n"/>
      <c r="I292" s="109" t="n"/>
      <c r="J292" s="501" t="n"/>
    </row>
    <row r="293" ht="15.9" customFormat="1" customHeight="1" s="278">
      <c r="A293" s="27" t="n"/>
      <c r="B293" s="278" t="n"/>
      <c r="C293" s="89" t="inlineStr">
        <is>
          <t xml:space="preserve">                          Glazing Bead</t>
        </is>
      </c>
      <c r="D293" s="161" t="n"/>
      <c r="E293" s="109" t="n"/>
      <c r="F293" s="109" t="n"/>
      <c r="G293" s="109" t="n"/>
      <c r="H293" s="109" t="n"/>
      <c r="I293" s="109" t="n"/>
      <c r="J293" s="501" t="n"/>
    </row>
    <row r="294" ht="15.9" customFormat="1" customHeight="1" s="278">
      <c r="A294" s="27" t="n"/>
      <c r="B294" s="278" t="n"/>
      <c r="C294" s="94" t="inlineStr">
        <is>
          <t xml:space="preserve">                          = ((Frame Width - 185-(113.25 × 14))/15</t>
        </is>
      </c>
      <c r="D294" s="161" t="n"/>
      <c r="E294" s="109" t="n"/>
      <c r="F294" s="109" t="n"/>
      <c r="G294" s="44" t="n"/>
      <c r="H294" s="44" t="n"/>
      <c r="I294" s="109" t="n"/>
      <c r="J294" s="501" t="n"/>
    </row>
    <row r="295" ht="15.9" customFormat="1" customHeight="1" s="278">
      <c r="A295" s="27" t="n"/>
      <c r="B295" s="278" t="n"/>
      <c r="C295" s="542" t="inlineStr">
        <is>
          <t xml:space="preserve">                          ((ความกว้างวงกบ - 185-(113.25 × 14))/15</t>
        </is>
      </c>
      <c r="D295" s="328" t="n"/>
      <c r="E295" s="328" t="n"/>
      <c r="F295" s="109" t="n"/>
      <c r="G295" s="40" t="n"/>
      <c r="H295" s="32" t="n"/>
      <c r="I295" s="109" t="n"/>
      <c r="J295" s="501" t="n"/>
    </row>
    <row r="296" ht="15.9" customFormat="1" customHeight="1" s="278">
      <c r="A296" s="101" t="n"/>
      <c r="B296" s="278" t="n"/>
      <c r="C296" s="328" t="inlineStr">
        <is>
          <t xml:space="preserve">                          = FAME HIGHT - 242.00</t>
        </is>
      </c>
      <c r="D296" s="542" t="n"/>
      <c r="E296" s="542" t="n"/>
      <c r="F296" s="109" t="n"/>
      <c r="G296" s="109" t="n"/>
      <c r="H296" s="109" t="n"/>
      <c r="I296" s="109" t="n"/>
      <c r="J296" s="501" t="n"/>
    </row>
    <row r="297" ht="15.9" customFormat="1" customHeight="1" s="278">
      <c r="A297" s="44" t="n"/>
      <c r="B297" s="44" t="n"/>
      <c r="C297" s="542" t="inlineStr">
        <is>
          <t xml:space="preserve">                          ความสูงวงกบ - 242.00</t>
        </is>
      </c>
      <c r="D297" s="86" t="n"/>
      <c r="E297" s="79" t="n"/>
      <c r="F297" s="44" t="n"/>
      <c r="G297" s="109" t="n"/>
      <c r="H297" s="109" t="n"/>
      <c r="I297" s="109" t="n"/>
      <c r="J297" s="501" t="n"/>
    </row>
    <row r="298" ht="15.9" customFormat="1" customHeight="1" s="278">
      <c r="A298" s="40" t="n"/>
      <c r="B298" s="40" t="n"/>
      <c r="C298" s="656">
        <f>$I$147</f>
        <v/>
      </c>
      <c r="D298" s="87" t="n"/>
      <c r="E298" s="80" t="n"/>
      <c r="F298" s="32" t="n"/>
      <c r="G298" s="109" t="n"/>
      <c r="H298" s="109" t="n"/>
      <c r="I298" s="109" t="n"/>
      <c r="J298" s="501" t="n"/>
    </row>
    <row r="299" ht="15.9" customFormat="1" customHeight="1" s="278">
      <c r="A299" s="109" t="n"/>
      <c r="B299" s="278" t="n"/>
      <c r="C299" s="657">
        <f>$J$147</f>
        <v/>
      </c>
      <c r="D299" s="161" t="n"/>
      <c r="F299" s="109" t="n"/>
      <c r="G299" s="109" t="n"/>
      <c r="H299" s="109" t="n"/>
      <c r="I299" s="109" t="n"/>
      <c r="J299" s="501" t="n"/>
    </row>
    <row r="300" ht="15.9" customFormat="1" customHeight="1" s="278">
      <c r="A300" s="109" t="n"/>
      <c r="B300" s="278" t="n"/>
      <c r="C300" s="656">
        <f>$I$148</f>
        <v/>
      </c>
      <c r="D300" s="161" t="n"/>
      <c r="F300" s="109" t="n"/>
      <c r="G300" s="109" t="n"/>
      <c r="H300" s="109" t="n"/>
      <c r="I300" s="109" t="n"/>
      <c r="J300" s="501" t="n"/>
    </row>
    <row r="301" ht="15.9" customFormat="1" customHeight="1" s="278">
      <c r="A301" s="109" t="n"/>
      <c r="B301" s="278" t="n"/>
      <c r="C301" s="657">
        <f>$J$148</f>
        <v/>
      </c>
      <c r="D301" s="161" t="n"/>
      <c r="F301" s="109" t="n"/>
      <c r="G301" s="109" t="n"/>
      <c r="H301" s="109" t="n"/>
      <c r="I301" s="109" t="n"/>
      <c r="J301" s="501" t="n"/>
    </row>
    <row r="302" ht="15.9" customFormat="1" customHeight="1" s="278">
      <c r="A302" s="109" t="n"/>
      <c r="B302" s="278" t="n"/>
      <c r="D302" s="161" t="n"/>
      <c r="F302" s="109" t="n"/>
      <c r="G302" s="109" t="n"/>
      <c r="H302" s="109" t="n"/>
      <c r="I302" s="109" t="n"/>
      <c r="J302" s="501" t="n"/>
    </row>
    <row r="303" ht="15.9" customFormat="1" customHeight="1" s="278">
      <c r="A303" s="109" t="n"/>
      <c r="B303" s="278" t="n"/>
      <c r="D303" s="161" t="n"/>
      <c r="F303" s="109" t="n"/>
      <c r="G303" s="109" t="n"/>
      <c r="H303" s="109" t="n"/>
      <c r="I303" s="109" t="n"/>
      <c r="J303" s="501" t="n"/>
    </row>
    <row r="304" ht="15.9" customFormat="1" customHeight="1" s="278">
      <c r="A304" s="109" t="n"/>
      <c r="B304" s="278" t="n"/>
      <c r="D304" s="161" t="n"/>
      <c r="F304" s="109" t="n"/>
      <c r="G304" s="109" t="n"/>
      <c r="H304" s="109" t="n"/>
      <c r="I304" s="109" t="n"/>
      <c r="J304" s="501" t="n"/>
    </row>
    <row r="305" ht="15.9" customFormat="1" customHeight="1" s="278">
      <c r="A305" s="109" t="n"/>
      <c r="B305" s="278" t="n"/>
      <c r="C305" s="89" t="inlineStr">
        <is>
          <t xml:space="preserve">                          Sash Stop</t>
        </is>
      </c>
      <c r="D305" s="161" t="n"/>
      <c r="E305" s="109" t="n"/>
      <c r="F305" s="109" t="n"/>
      <c r="G305" s="109" t="n"/>
      <c r="H305" s="109" t="n"/>
      <c r="I305" s="109" t="n"/>
      <c r="J305" s="501" t="n"/>
    </row>
    <row r="306" ht="15.9" customFormat="1" customHeight="1" s="278">
      <c r="A306" s="109" t="n"/>
      <c r="B306" s="278" t="n"/>
      <c r="C306" s="328" t="inlineStr">
        <is>
          <t xml:space="preserve">                          = FAME HIGHT - 92.00</t>
        </is>
      </c>
      <c r="D306" s="328" t="n"/>
      <c r="E306" s="328" t="n"/>
      <c r="F306" s="109" t="n"/>
      <c r="G306" s="109" t="n"/>
      <c r="H306" s="109" t="n"/>
      <c r="I306" s="109" t="n"/>
      <c r="J306" s="501" t="n"/>
    </row>
    <row r="307" ht="15.9" customFormat="1" customHeight="1" s="278">
      <c r="A307" s="109" t="n"/>
      <c r="B307" s="278" t="n"/>
      <c r="C307" s="542" t="inlineStr">
        <is>
          <t xml:space="preserve">                          ความสูงวงกบ - 92.00</t>
        </is>
      </c>
      <c r="F307" s="109" t="n"/>
      <c r="G307" s="109" t="n"/>
      <c r="H307" s="109" t="n"/>
      <c r="I307" s="109" t="n"/>
      <c r="J307" s="501" t="n"/>
    </row>
    <row r="308" ht="15.9" customFormat="1" customHeight="1" s="278">
      <c r="A308" s="109" t="n"/>
      <c r="B308" s="278" t="n"/>
      <c r="C308" s="656">
        <f>$I$149</f>
        <v/>
      </c>
      <c r="F308" s="109" t="n"/>
      <c r="G308" s="109" t="n"/>
      <c r="H308" s="109" t="n"/>
      <c r="I308" s="109" t="n"/>
      <c r="J308" s="501" t="n"/>
    </row>
    <row r="309" ht="15.9" customFormat="1" customHeight="1" s="278">
      <c r="A309" s="109" t="n"/>
      <c r="B309" s="278" t="n"/>
      <c r="C309" s="657">
        <f>$J$149+$J$150</f>
        <v/>
      </c>
      <c r="D309" s="328" t="n"/>
      <c r="E309" s="328" t="n"/>
      <c r="F309" s="109" t="n"/>
      <c r="G309" s="109" t="n"/>
      <c r="H309" s="109" t="n"/>
      <c r="I309" s="109" t="n"/>
      <c r="J309" s="501" t="n"/>
    </row>
    <row r="310" ht="15.9" customFormat="1" customHeight="1" s="278">
      <c r="A310" s="109" t="n"/>
      <c r="B310" s="278" t="n"/>
      <c r="C310" s="328" t="n"/>
      <c r="D310" s="328" t="n"/>
      <c r="E310" s="328" t="n"/>
      <c r="F310" s="109" t="n"/>
      <c r="G310" s="109" t="n"/>
      <c r="H310" s="109" t="n"/>
      <c r="I310" s="109" t="n"/>
      <c r="J310" s="501" t="n"/>
    </row>
    <row r="311" ht="15.9" customFormat="1" customHeight="1" s="278">
      <c r="A311" s="109" t="n"/>
      <c r="B311" s="278" t="n"/>
      <c r="C311" s="328" t="n"/>
      <c r="D311" s="328" t="n"/>
      <c r="E311" s="328" t="n"/>
      <c r="F311" s="109" t="n"/>
      <c r="G311" s="109" t="n"/>
      <c r="H311" s="109" t="n"/>
      <c r="I311" s="109" t="n"/>
      <c r="J311" s="501" t="n"/>
    </row>
    <row r="312" ht="15.9" customFormat="1" customHeight="1" s="278">
      <c r="A312" s="109" t="n"/>
      <c r="B312" s="278" t="n"/>
      <c r="D312" s="161" t="n"/>
      <c r="F312" s="109" t="n"/>
      <c r="G312" s="109" t="n"/>
      <c r="H312" s="109" t="n"/>
      <c r="I312" s="109" t="n"/>
      <c r="J312" s="501" t="n"/>
    </row>
    <row r="313" ht="15.9" customFormat="1" customHeight="1" s="278">
      <c r="A313" s="27" t="n"/>
      <c r="B313" s="278" t="n"/>
      <c r="D313" s="162" t="n"/>
      <c r="E313" s="501" t="n"/>
      <c r="F313" s="109" t="n"/>
      <c r="G313" s="109" t="n"/>
      <c r="H313" s="109" t="n"/>
      <c r="I313" s="27" t="n"/>
      <c r="J313" s="99">
        <f>LEFT($J$111,14)&amp;"-03"</f>
        <v/>
      </c>
    </row>
    <row r="314" ht="12.75" customHeight="1" s="344">
      <c r="A314" s="109" t="n"/>
      <c r="B314" s="406" t="n"/>
      <c r="C314" s="406" t="n"/>
      <c r="D314" s="83" t="n"/>
      <c r="E314" s="27" t="n"/>
      <c r="F314" s="27" t="n"/>
      <c r="G314" s="27" t="n"/>
      <c r="H314" s="27" t="n"/>
      <c r="I314" s="179" t="n"/>
      <c r="J314" s="179" t="n"/>
    </row>
    <row r="315" ht="30" customHeight="1" s="344">
      <c r="I315" s="95" t="n"/>
      <c r="J315" s="90">
        <f>$J$2</f>
        <v/>
      </c>
      <c r="K315" s="35" t="n"/>
      <c r="L315" s="35" t="n"/>
      <c r="M315" s="2" t="n"/>
      <c r="N315" s="2" t="n"/>
    </row>
    <row r="316" ht="24.9" customHeight="1" s="344">
      <c r="C316" s="5" t="n"/>
      <c r="D316" s="95" t="n"/>
      <c r="E316" s="95" t="n"/>
      <c r="F316" s="95" t="n"/>
      <c r="G316" s="95" t="n"/>
      <c r="H316" s="95" t="n"/>
      <c r="I316" s="28" t="n"/>
      <c r="J316" s="91">
        <f>$J$3</f>
        <v/>
      </c>
      <c r="K316" s="35" t="n"/>
      <c r="L316" s="35" t="n"/>
      <c r="M316" s="2" t="n"/>
      <c r="N316" s="2" t="n"/>
    </row>
    <row r="317" ht="24.9" customHeight="1" s="344">
      <c r="C317" s="28" t="n"/>
      <c r="D317" s="28" t="n"/>
      <c r="E317" s="28" t="n"/>
      <c r="F317" s="28" t="n"/>
      <c r="G317" s="28" t="n"/>
      <c r="H317" s="28" t="n"/>
      <c r="I317" s="28" t="n"/>
      <c r="J317" s="91">
        <f>$J$4</f>
        <v/>
      </c>
      <c r="M317" s="4" t="n"/>
      <c r="N317" s="4" t="n"/>
    </row>
    <row r="318" ht="15" customFormat="1" customHeight="1" s="278" thickBot="1">
      <c r="A318" s="78" t="n"/>
      <c r="B318" s="72" t="n"/>
      <c r="C318" s="28" t="n"/>
      <c r="D318" s="28" t="n"/>
      <c r="E318" s="28" t="n"/>
      <c r="F318" s="28" t="n"/>
      <c r="G318" s="28" t="n"/>
      <c r="H318" s="28" t="n"/>
      <c r="I318" s="78" t="n"/>
      <c r="J318" s="113" t="n"/>
      <c r="K318" s="4" t="n"/>
      <c r="L318" s="4" t="n"/>
      <c r="M318" s="4" t="n"/>
      <c r="N318" s="4" t="n"/>
    </row>
    <row r="319" ht="24.9" customHeight="1" s="344" thickBot="1">
      <c r="A319" s="633" t="inlineStr">
        <is>
          <t>OUTSIDE FRAME ASSEMBLY</t>
        </is>
      </c>
      <c r="B319" s="634" t="n"/>
      <c r="C319" s="634" t="n"/>
      <c r="D319" s="634" t="n"/>
      <c r="E319" s="634" t="n"/>
      <c r="F319" s="634" t="n"/>
      <c r="G319" s="634" t="n"/>
      <c r="H319" s="634" t="n"/>
      <c r="I319" s="634" t="n"/>
      <c r="J319" s="635" t="n"/>
      <c r="K319" s="4" t="n"/>
      <c r="L319" s="4" t="n"/>
      <c r="M319" s="4" t="n"/>
      <c r="N319" s="4" t="n"/>
    </row>
    <row r="321" ht="15" customFormat="1" customHeight="1" s="278">
      <c r="A321" s="63" t="n"/>
      <c r="D321" s="345" t="n"/>
      <c r="I321" s="160" t="n"/>
      <c r="J321" s="532" t="n"/>
    </row>
    <row r="322" ht="15" customFormat="1" customHeight="1" s="278">
      <c r="A322" s="63" t="n"/>
      <c r="D322" s="345" t="n"/>
      <c r="I322" s="160" t="n"/>
      <c r="J322" s="532" t="n"/>
    </row>
    <row r="323" ht="15" customFormat="1" customHeight="1" s="278">
      <c r="A323" s="109" t="n"/>
      <c r="B323" s="72" t="n"/>
      <c r="C323" s="278" t="n"/>
      <c r="D323" s="161" t="n"/>
      <c r="E323" s="35" t="n"/>
      <c r="F323" s="160" t="n"/>
      <c r="G323" s="160" t="n"/>
      <c r="H323" s="160" t="n"/>
      <c r="I323" s="94" t="n"/>
      <c r="J323" s="109" t="n"/>
    </row>
    <row r="324" ht="15" customFormat="1" customHeight="1" s="278">
      <c r="A324" s="109" t="n"/>
      <c r="B324" s="278" t="n"/>
      <c r="C324" s="278" t="n"/>
      <c r="D324" s="161" t="n"/>
      <c r="E324" s="35" t="n"/>
      <c r="F324" s="161" t="n"/>
      <c r="G324" s="94" t="n"/>
      <c r="H324" s="94" t="n"/>
      <c r="I324" s="109" t="n"/>
      <c r="J324" s="109" t="n"/>
    </row>
    <row r="325" ht="15" customFormat="1" customHeight="1" s="278">
      <c r="A325" s="109" t="n"/>
      <c r="B325" s="278" t="n"/>
      <c r="C325" s="161" t="n"/>
      <c r="D325" s="161" t="n"/>
      <c r="E325" s="35" t="n"/>
      <c r="F325" s="161" t="n"/>
      <c r="G325" s="109" t="n"/>
      <c r="H325" s="94" t="n"/>
      <c r="I325" s="109" t="n"/>
      <c r="J325" s="109" t="n"/>
    </row>
    <row r="326" ht="15" customFormat="1" customHeight="1" s="278">
      <c r="A326" s="109" t="n"/>
      <c r="B326" s="278" t="n"/>
      <c r="C326" s="161" t="n"/>
      <c r="D326" s="161" t="n"/>
      <c r="E326" s="109" t="n"/>
      <c r="F326" s="161" t="n"/>
      <c r="G326" s="109" t="n"/>
      <c r="H326" s="94" t="n"/>
      <c r="I326" s="109" t="n"/>
      <c r="J326" s="109" t="n"/>
    </row>
    <row r="327" ht="15" customFormat="1" customHeight="1" s="278">
      <c r="A327" s="109" t="n"/>
      <c r="B327" s="278" t="n"/>
      <c r="C327" s="161" t="n"/>
      <c r="D327" s="161" t="n"/>
      <c r="E327" s="35" t="n"/>
      <c r="F327" s="163" t="n"/>
      <c r="G327" s="109" t="n"/>
      <c r="H327" s="94" t="n"/>
      <c r="I327" s="109" t="n"/>
      <c r="J327" s="109" t="n"/>
    </row>
    <row r="328" ht="15" customFormat="1" customHeight="1" s="278">
      <c r="A328" s="109" t="n"/>
      <c r="B328" s="278" t="n"/>
      <c r="C328" s="161" t="n"/>
      <c r="D328" s="161" t="n"/>
      <c r="E328" s="35" t="n"/>
      <c r="F328" s="161" t="n"/>
      <c r="G328" s="109" t="n"/>
      <c r="H328" s="94" t="n"/>
      <c r="I328" s="93" t="n"/>
      <c r="J328" s="109" t="n"/>
    </row>
    <row r="329" ht="15" customFormat="1" customHeight="1" s="278">
      <c r="A329" s="72" t="n"/>
      <c r="B329" s="278" t="n"/>
      <c r="C329" s="93" t="n"/>
      <c r="D329" s="161" t="n"/>
      <c r="E329" s="109" t="n"/>
      <c r="F329" s="505" t="n"/>
      <c r="H329" s="507" t="n"/>
      <c r="I329" s="163" t="n"/>
      <c r="J329" s="109" t="n"/>
    </row>
    <row r="330" ht="15" customFormat="1" customHeight="1" s="278">
      <c r="A330" s="532" t="n"/>
      <c r="B330" s="72" t="n"/>
      <c r="C330" s="163" t="n"/>
      <c r="D330" s="161" t="n"/>
      <c r="E330" s="109" t="n"/>
      <c r="F330" s="507" t="n"/>
      <c r="H330" s="507" t="n"/>
      <c r="I330" s="161" t="n"/>
      <c r="J330" s="109" t="n"/>
    </row>
    <row r="331" ht="15" customFormat="1" customHeight="1" s="278">
      <c r="A331" s="64">
        <f>A18</f>
        <v/>
      </c>
      <c r="B331" s="532" t="n"/>
      <c r="C331" s="161" t="n"/>
      <c r="D331" s="161" t="n"/>
      <c r="E331" s="109" t="n"/>
      <c r="F331" s="507" t="n"/>
      <c r="G331" s="507" t="n"/>
      <c r="H331" s="507" t="n"/>
      <c r="I331" s="109" t="n"/>
      <c r="J331" s="109" t="n"/>
    </row>
    <row r="332" ht="15" customFormat="1" customHeight="1" s="278">
      <c r="A332" s="76">
        <f>A19</f>
        <v/>
      </c>
      <c r="B332" s="532" t="n"/>
      <c r="C332" s="161" t="n"/>
      <c r="D332" s="161" t="n"/>
      <c r="E332" s="109" t="n"/>
      <c r="F332" s="507" t="n"/>
      <c r="G332" s="507" t="n"/>
      <c r="H332" s="507" t="n"/>
      <c r="I332" s="109" t="n"/>
      <c r="J332" s="109" t="n"/>
    </row>
    <row r="333" ht="15.9" customFormat="1" customHeight="1" s="278">
      <c r="A333" s="109" t="n"/>
      <c r="B333" s="63" t="n"/>
      <c r="C333" s="93" t="n"/>
      <c r="D333" s="161" t="n"/>
      <c r="E333" s="109" t="n"/>
      <c r="F333" s="507" t="n"/>
      <c r="H333" s="507" t="n"/>
      <c r="I333" s="109" t="n"/>
      <c r="J333" s="109" t="n"/>
    </row>
    <row r="334" ht="15.9" customFormat="1" customHeight="1" s="278">
      <c r="A334" s="72" t="n"/>
      <c r="B334" s="109" t="n"/>
      <c r="C334" s="161" t="n"/>
      <c r="D334" s="161" t="n"/>
      <c r="E334" s="109" t="n"/>
      <c r="F334" s="37" t="n"/>
      <c r="G334" s="278" t="n"/>
      <c r="H334" s="109" t="n"/>
      <c r="I334" s="109" t="n"/>
      <c r="J334" s="109" t="n"/>
    </row>
    <row r="335" ht="15.9" customFormat="1" customHeight="1" s="278">
      <c r="A335" s="44" t="n"/>
      <c r="C335" s="43" t="n"/>
      <c r="D335" s="161" t="n"/>
      <c r="E335" s="109" t="n"/>
      <c r="F335" s="109" t="n"/>
      <c r="G335" s="109" t="n"/>
      <c r="H335" s="109" t="n"/>
      <c r="I335" s="44" t="n"/>
      <c r="J335" s="119" t="n"/>
    </row>
    <row r="336" ht="15.9" customFormat="1" customHeight="1" s="278">
      <c r="A336" s="40" t="n"/>
      <c r="C336" s="44" t="n"/>
      <c r="D336" s="84" t="n"/>
      <c r="E336" s="44" t="n"/>
      <c r="F336" s="44" t="n"/>
      <c r="G336" s="44" t="n"/>
      <c r="H336" s="44" t="n"/>
      <c r="I336" s="32" t="n"/>
      <c r="J336" s="40" t="n"/>
    </row>
    <row r="337" ht="15.9" customFormat="1" customHeight="1" s="278">
      <c r="A337" s="109" t="n"/>
      <c r="C337" s="161" t="n"/>
      <c r="D337" s="85" t="n"/>
      <c r="E337" s="40" t="n"/>
      <c r="F337" s="32" t="n"/>
      <c r="G337" s="40" t="n"/>
      <c r="H337" s="32" t="n"/>
      <c r="I337" s="501" t="n"/>
      <c r="J337" s="501" t="n"/>
    </row>
    <row r="338" ht="15.9" customFormat="1" customHeight="1" s="278">
      <c r="A338" s="109" t="n"/>
      <c r="C338" s="163" t="n"/>
      <c r="D338" s="161" t="n"/>
      <c r="E338" s="109" t="n"/>
      <c r="F338" s="161" t="n"/>
      <c r="G338" s="109" t="n"/>
      <c r="H338" s="109" t="n"/>
      <c r="I338" s="501" t="n"/>
      <c r="J338" s="501" t="n"/>
    </row>
    <row r="339" ht="15.9" customFormat="1" customHeight="1" s="278">
      <c r="A339" s="109" t="n"/>
      <c r="B339" s="278" t="n"/>
      <c r="C339" s="161" t="n"/>
      <c r="D339" s="161" t="n"/>
      <c r="E339" s="109" t="n"/>
      <c r="F339" s="161" t="n"/>
      <c r="G339" s="109" t="n"/>
      <c r="H339" s="109" t="n"/>
      <c r="I339" s="162" t="n"/>
      <c r="J339" s="162" t="n"/>
    </row>
    <row r="340" ht="15.9" customFormat="1" customHeight="1" s="278">
      <c r="A340" s="109" t="n"/>
      <c r="B340" s="278" t="n"/>
      <c r="C340" s="44" t="n"/>
      <c r="D340" s="161" t="n"/>
      <c r="E340" s="109" t="n"/>
      <c r="F340" s="161" t="n"/>
      <c r="G340" s="109" t="n"/>
      <c r="H340" s="162" t="n"/>
      <c r="I340" s="161" t="n"/>
      <c r="J340" s="161" t="n"/>
    </row>
    <row r="341" ht="15.9" customFormat="1" customHeight="1" s="278">
      <c r="A341" s="109" t="n"/>
      <c r="B341" s="278" t="n"/>
      <c r="C341" s="93" t="n"/>
      <c r="D341" s="161" t="n"/>
      <c r="E341" s="109" t="n"/>
      <c r="F341" s="161" t="n"/>
      <c r="G341" s="109" t="n"/>
      <c r="H341" s="161" t="n"/>
      <c r="I341" s="161" t="n"/>
      <c r="J341" s="161" t="n"/>
    </row>
    <row r="342" ht="15.9" customFormat="1" customHeight="1" s="278">
      <c r="A342" s="109" t="n"/>
      <c r="B342" s="278" t="n"/>
      <c r="C342" s="163" t="n"/>
      <c r="D342" s="161" t="n"/>
      <c r="E342" s="109" t="n"/>
      <c r="F342" s="161" t="n"/>
      <c r="G342" s="109" t="n"/>
      <c r="H342" s="161" t="n"/>
      <c r="I342" s="109" t="n"/>
      <c r="J342" s="501" t="n"/>
    </row>
    <row r="343" ht="15.9" customFormat="1" customHeight="1" s="278">
      <c r="A343" s="109" t="n"/>
      <c r="B343" s="278" t="n"/>
      <c r="C343" s="161" t="n"/>
      <c r="D343" s="161" t="n"/>
      <c r="E343" s="109" t="n"/>
      <c r="F343" s="161" t="n"/>
      <c r="G343" s="109" t="n"/>
      <c r="H343" s="109" t="n"/>
      <c r="I343" s="501" t="n"/>
      <c r="J343" s="501" t="n"/>
    </row>
    <row r="344" ht="15.9" customFormat="1" customHeight="1" s="278">
      <c r="A344" s="109" t="n"/>
      <c r="B344" s="278" t="n"/>
      <c r="C344" s="278" t="n"/>
      <c r="D344" s="161" t="n"/>
      <c r="E344" s="109" t="n"/>
      <c r="F344" s="161" t="n"/>
      <c r="G344" s="109" t="n"/>
      <c r="H344" s="109" t="n"/>
      <c r="I344" s="501" t="n"/>
      <c r="J344" s="501" t="n"/>
    </row>
    <row r="345" ht="15.9" customFormat="1" customHeight="1" s="278">
      <c r="A345" s="109" t="n"/>
      <c r="B345" s="278" t="n"/>
      <c r="C345" s="278" t="n"/>
      <c r="D345" s="161" t="n"/>
      <c r="E345" s="109" t="n"/>
      <c r="F345" s="161" t="n"/>
      <c r="G345" s="109" t="n"/>
      <c r="H345" s="109" t="n"/>
      <c r="I345" s="501" t="n"/>
      <c r="J345" s="501" t="n"/>
    </row>
    <row r="346" ht="15.9" customFormat="1" customHeight="1" s="278">
      <c r="A346" s="109" t="n"/>
      <c r="B346" s="278" t="n"/>
      <c r="C346" s="278" t="n"/>
      <c r="D346" s="161" t="n"/>
      <c r="E346" s="109" t="n"/>
      <c r="F346" s="161" t="n"/>
      <c r="G346" s="109" t="n"/>
      <c r="H346" s="109" t="n"/>
      <c r="I346" s="501" t="n"/>
      <c r="J346" s="501" t="n"/>
    </row>
    <row r="347" ht="15.9" customFormat="1" customHeight="1" s="278">
      <c r="A347" s="109" t="n"/>
      <c r="B347" s="278" t="n"/>
      <c r="C347" s="44" t="n"/>
      <c r="D347" s="161" t="n"/>
      <c r="E347" s="109" t="n"/>
      <c r="F347" s="161" t="n"/>
      <c r="G347" s="109" t="n"/>
      <c r="H347" s="109" t="n"/>
      <c r="I347" s="501" t="n"/>
      <c r="J347" s="501" t="n"/>
    </row>
    <row r="348" ht="15.9" customFormat="1" customHeight="1" s="278">
      <c r="A348" s="109" t="n"/>
      <c r="B348" s="278" t="n"/>
      <c r="C348" s="161" t="n"/>
      <c r="D348" s="161" t="n"/>
      <c r="E348" s="109" t="n"/>
      <c r="F348" s="161" t="n"/>
      <c r="G348" s="109" t="n"/>
      <c r="H348" s="109" t="n"/>
      <c r="I348" s="501" t="n"/>
      <c r="J348" s="501" t="n"/>
    </row>
    <row r="349" ht="15.9" customFormat="1" customHeight="1" s="278">
      <c r="A349" s="109" t="n"/>
      <c r="B349" s="278" t="n"/>
      <c r="C349" s="163" t="n"/>
      <c r="D349" s="161" t="n"/>
      <c r="E349" s="109" t="n"/>
      <c r="F349" s="161" t="n"/>
      <c r="G349" s="109" t="n"/>
      <c r="H349" s="109" t="n"/>
      <c r="I349" s="109" t="n"/>
      <c r="J349" s="501" t="n"/>
    </row>
    <row r="350" ht="15.9" customFormat="1" customHeight="1" s="278">
      <c r="A350" s="109" t="n"/>
      <c r="B350" s="278" t="n"/>
      <c r="C350" s="161" t="n"/>
      <c r="D350" s="161" t="n"/>
      <c r="E350" s="109" t="n"/>
      <c r="F350" s="161" t="n"/>
      <c r="G350" s="109" t="n"/>
      <c r="H350" s="109" t="n"/>
      <c r="I350" s="501" t="n"/>
      <c r="J350" s="501" t="n"/>
    </row>
    <row r="351" ht="15.9" customFormat="1" customHeight="1" s="278">
      <c r="A351" s="109" t="n"/>
      <c r="B351" s="278" t="n"/>
      <c r="C351" s="278" t="n"/>
      <c r="D351" s="161" t="n"/>
      <c r="E351" s="109" t="n"/>
      <c r="F351" s="109" t="n"/>
      <c r="G351" s="109" t="n"/>
      <c r="H351" s="109" t="n"/>
      <c r="I351" s="501" t="n"/>
      <c r="J351" s="501" t="n"/>
    </row>
    <row r="352" ht="15" customFormat="1" customHeight="1" s="278">
      <c r="A352" s="109" t="n"/>
      <c r="B352" s="278" t="n"/>
      <c r="C352" s="278" t="n"/>
      <c r="D352" s="161" t="n"/>
      <c r="E352" s="109" t="n"/>
      <c r="F352" s="109" t="n"/>
      <c r="G352" s="109" t="n"/>
      <c r="H352" s="107" t="n"/>
      <c r="I352" s="501" t="n"/>
      <c r="J352" s="501" t="n"/>
    </row>
    <row r="353" ht="15.9" customFormat="1" customHeight="1" s="23">
      <c r="A353" s="109" t="n"/>
      <c r="B353" s="278" t="n"/>
      <c r="C353" s="278" t="n"/>
      <c r="D353" s="161" t="n"/>
      <c r="E353" s="109" t="n"/>
      <c r="F353" s="109" t="n"/>
      <c r="G353" s="109" t="n"/>
      <c r="H353" s="109" t="n"/>
      <c r="I353" s="109" t="n"/>
      <c r="J353" s="109" t="n"/>
    </row>
    <row r="354" ht="15.9" customFormat="1" customHeight="1" s="278">
      <c r="A354" s="44" t="n"/>
      <c r="B354" s="278" t="n"/>
      <c r="C354" s="278" t="n"/>
      <c r="D354" s="161" t="n"/>
      <c r="E354" s="109" t="n"/>
      <c r="F354" s="109" t="n"/>
      <c r="G354" s="109" t="n"/>
      <c r="H354" s="109" t="n"/>
      <c r="I354" s="44" t="n"/>
      <c r="J354" s="119" t="n"/>
    </row>
    <row r="355" ht="15.9" customFormat="1" customHeight="1" s="278">
      <c r="A355" s="40" t="n"/>
      <c r="B355" s="44" t="n"/>
      <c r="C355" s="44" t="n"/>
      <c r="D355" s="84" t="n"/>
      <c r="E355" s="44" t="n"/>
      <c r="F355" s="44" t="n"/>
      <c r="G355" s="44" t="n"/>
      <c r="H355" s="44" t="n"/>
      <c r="I355" s="32" t="n"/>
      <c r="J355" s="40" t="n"/>
    </row>
    <row r="356" ht="15.9" customFormat="1" customHeight="1" s="278">
      <c r="A356" s="27" t="n"/>
      <c r="B356" s="40" t="n"/>
      <c r="C356" s="44" t="n"/>
      <c r="D356" s="85" t="n"/>
      <c r="E356" s="40" t="n"/>
      <c r="F356" s="32" t="n"/>
      <c r="G356" s="40" t="n"/>
      <c r="H356" s="32" t="n"/>
      <c r="I356" s="501" t="n"/>
      <c r="J356" s="501" t="n"/>
    </row>
    <row r="357" ht="15.9" customFormat="1" customHeight="1" s="278">
      <c r="A357" s="27" t="n"/>
      <c r="B357" s="278" t="n"/>
      <c r="C357" s="93" t="n"/>
      <c r="D357" s="161" t="n"/>
      <c r="E357" s="109" t="n"/>
      <c r="F357" s="109" t="n"/>
      <c r="G357" s="109" t="n"/>
      <c r="H357" s="93" t="n"/>
      <c r="I357" s="163" t="n"/>
      <c r="J357" s="163" t="n"/>
    </row>
    <row r="358" ht="15.9" customFormat="1" customHeight="1" s="278">
      <c r="A358" s="27" t="n"/>
      <c r="B358" s="278" t="n"/>
      <c r="C358" s="163" t="n"/>
      <c r="D358" s="161" t="n"/>
      <c r="E358" s="109" t="n"/>
      <c r="F358" s="109" t="n"/>
      <c r="G358" s="109" t="n"/>
      <c r="H358" s="163" t="n"/>
      <c r="I358" s="161" t="n"/>
      <c r="J358" s="161" t="n"/>
    </row>
    <row r="359" ht="15.9" customFormat="1" customHeight="1" s="278">
      <c r="A359" s="27" t="n"/>
      <c r="B359" s="278" t="n"/>
      <c r="C359" s="161" t="n"/>
      <c r="D359" s="161" t="n"/>
      <c r="E359" s="109" t="n"/>
      <c r="F359" s="109" t="n"/>
      <c r="G359" s="109" t="n"/>
      <c r="H359" s="161" t="n"/>
      <c r="I359" s="501" t="n"/>
      <c r="J359" s="501" t="n"/>
    </row>
    <row r="360" ht="15.9" customFormat="1" customHeight="1" s="278">
      <c r="A360" s="27" t="n"/>
      <c r="B360" s="278" t="n"/>
      <c r="C360" s="278" t="n"/>
      <c r="D360" s="161" t="n"/>
      <c r="E360" s="109" t="n"/>
      <c r="F360" s="109" t="n"/>
      <c r="G360" s="109" t="n"/>
      <c r="H360" s="109" t="n"/>
      <c r="I360" s="501" t="n"/>
      <c r="J360" s="501" t="n"/>
    </row>
    <row r="361" ht="15.9" customFormat="1" customHeight="1" s="278">
      <c r="A361" s="27" t="n"/>
      <c r="B361" s="278" t="n"/>
      <c r="C361" s="278" t="n"/>
      <c r="D361" s="161" t="n"/>
      <c r="E361" s="109" t="n"/>
      <c r="F361" s="109" t="n"/>
      <c r="G361" s="109" t="n"/>
      <c r="H361" s="109" t="n"/>
      <c r="I361" s="501" t="n"/>
      <c r="J361" s="501" t="n"/>
    </row>
    <row r="362" ht="15.9" customFormat="1" customHeight="1" s="278">
      <c r="A362" s="27" t="n"/>
      <c r="B362" s="278" t="n"/>
      <c r="C362" s="287" t="n"/>
      <c r="D362" s="161" t="n"/>
      <c r="E362" s="109" t="n"/>
      <c r="F362" s="109" t="n"/>
      <c r="G362" s="109" t="n"/>
      <c r="H362" s="109" t="n"/>
      <c r="I362" s="501" t="n"/>
      <c r="J362" s="501" t="n"/>
    </row>
    <row r="363" ht="15.9" customFormat="1" customHeight="1" s="278">
      <c r="A363" s="27" t="n"/>
      <c r="B363" s="278" t="n"/>
      <c r="C363" s="161" t="n"/>
      <c r="D363" s="161" t="n"/>
      <c r="E363" s="109" t="n"/>
      <c r="F363" s="109" t="n"/>
      <c r="G363" s="109" t="n"/>
      <c r="H363" s="109" t="n"/>
      <c r="I363" s="501" t="n"/>
      <c r="J363" s="501" t="n"/>
    </row>
    <row r="364" ht="15.9" customFormat="1" customHeight="1" s="278">
      <c r="A364" s="27" t="n"/>
      <c r="B364" s="278" t="n"/>
      <c r="C364" s="278" t="n"/>
      <c r="D364" s="161" t="n"/>
      <c r="E364" s="109" t="n"/>
      <c r="F364" s="109" t="n"/>
      <c r="G364" s="109" t="n"/>
      <c r="H364" s="109" t="n"/>
      <c r="I364" s="501" t="n"/>
      <c r="J364" s="501" t="n"/>
    </row>
    <row r="365" ht="15.9" customFormat="1" customHeight="1" s="278">
      <c r="A365" s="27" t="n"/>
      <c r="B365" s="278" t="n"/>
      <c r="C365" s="278" t="n"/>
      <c r="D365" s="161" t="n"/>
      <c r="E365" s="109" t="n"/>
      <c r="F365" s="109" t="n"/>
      <c r="G365" s="109" t="n"/>
      <c r="H365" s="109" t="n"/>
      <c r="I365" s="501" t="n"/>
      <c r="J365" s="501" t="n"/>
    </row>
    <row r="366" ht="15.9" customFormat="1" customHeight="1" s="278">
      <c r="A366" s="27" t="n"/>
      <c r="B366" s="278" t="n"/>
      <c r="C366" s="278" t="n"/>
      <c r="D366" s="161" t="n"/>
      <c r="E366" s="109" t="n"/>
      <c r="F366" s="109" t="n"/>
      <c r="G366" s="109" t="n"/>
      <c r="H366" s="109" t="n"/>
      <c r="I366" s="501" t="n"/>
      <c r="J366" s="501" t="n"/>
    </row>
    <row r="367" ht="15.9" customFormat="1" customHeight="1" s="278">
      <c r="A367" s="27" t="n"/>
      <c r="B367" s="278" t="n"/>
      <c r="C367" s="278" t="n"/>
      <c r="D367" s="161" t="n"/>
      <c r="E367" s="109" t="n"/>
      <c r="F367" s="109" t="n"/>
      <c r="G367" s="109" t="n"/>
      <c r="H367" s="109" t="n"/>
      <c r="I367" s="501" t="n"/>
      <c r="J367" s="501" t="n"/>
    </row>
    <row r="368" ht="15.9" customFormat="1" customHeight="1" s="278">
      <c r="A368" s="27" t="n"/>
      <c r="C368" s="278" t="n"/>
      <c r="D368" s="161" t="n"/>
      <c r="E368" s="109" t="n"/>
      <c r="F368" s="109" t="n"/>
      <c r="G368" s="109" t="n"/>
      <c r="H368" s="109" t="n"/>
      <c r="I368" s="501" t="n"/>
      <c r="J368" s="501" t="n"/>
    </row>
    <row r="369" ht="15.9" customFormat="1" customHeight="1" s="278">
      <c r="A369" s="27" t="n"/>
      <c r="B369" s="278" t="n"/>
      <c r="C369" s="278" t="n"/>
      <c r="D369" s="161" t="n"/>
      <c r="E369" s="109" t="n"/>
      <c r="F369" s="109" t="n"/>
      <c r="G369" s="109" t="n"/>
      <c r="H369" s="109" t="n"/>
      <c r="I369" s="501" t="n"/>
      <c r="J369" s="501" t="n"/>
    </row>
    <row r="370" ht="15.9" customFormat="1" customHeight="1" s="278">
      <c r="A370" s="27" t="n"/>
      <c r="B370" s="278" t="n"/>
      <c r="C370" s="278" t="n"/>
      <c r="D370" s="161" t="n"/>
      <c r="E370" s="109" t="n"/>
      <c r="F370" s="109" t="n"/>
      <c r="G370" s="109" t="n"/>
      <c r="H370" s="109" t="n"/>
      <c r="I370" s="501" t="n"/>
      <c r="J370" s="501" t="n"/>
    </row>
    <row r="371" ht="15.9" customFormat="1" customHeight="1" s="278">
      <c r="A371" s="27" t="n"/>
      <c r="D371" s="161" t="n"/>
      <c r="E371" s="109" t="n"/>
      <c r="F371" s="109" t="n"/>
      <c r="G371" s="278" t="n"/>
      <c r="H371" s="278" t="n"/>
      <c r="I371" s="501" t="n"/>
      <c r="J371" s="501" t="n"/>
    </row>
    <row r="372" ht="15.9" customFormat="1" customHeight="1" s="278">
      <c r="A372" s="27" t="n"/>
      <c r="B372" s="278" t="n"/>
      <c r="C372" s="278" t="n"/>
      <c r="D372" s="161" t="n"/>
      <c r="E372" s="109" t="n"/>
      <c r="F372" s="109" t="n"/>
      <c r="G372" s="109" t="n"/>
      <c r="H372" s="109" t="n"/>
      <c r="I372" s="501" t="n"/>
      <c r="J372" s="501" t="n"/>
    </row>
    <row r="373" ht="15.9" customFormat="1" customHeight="1" s="278">
      <c r="A373" s="27" t="n"/>
      <c r="B373" s="278" t="n"/>
      <c r="C373" s="278" t="n"/>
      <c r="D373" s="161" t="n"/>
      <c r="E373" s="109" t="n"/>
      <c r="F373" s="109" t="n"/>
      <c r="G373" s="109" t="n"/>
      <c r="H373" s="109" t="n"/>
      <c r="I373" s="501" t="n"/>
      <c r="J373" s="501" t="n"/>
    </row>
    <row r="374" ht="15.9" customFormat="1" customHeight="1" s="278">
      <c r="A374" s="27" t="n"/>
      <c r="B374" s="278" t="n"/>
      <c r="C374" s="278" t="n"/>
      <c r="D374" s="161" t="n"/>
      <c r="E374" s="109" t="n"/>
      <c r="F374" s="109" t="n"/>
      <c r="G374" s="109" t="n"/>
      <c r="H374" s="109" t="n"/>
      <c r="I374" s="501" t="n"/>
      <c r="J374" s="501" t="n"/>
    </row>
    <row r="375" ht="15.9" customFormat="1" customHeight="1" s="278">
      <c r="A375" s="27" t="n"/>
      <c r="B375" s="278" t="n"/>
      <c r="C375" s="278" t="n"/>
      <c r="D375" s="161" t="n"/>
      <c r="E375" s="109" t="n"/>
      <c r="F375" s="109" t="n"/>
      <c r="G375" s="109" t="n"/>
      <c r="H375" s="93" t="n"/>
      <c r="I375" s="163" t="n"/>
      <c r="J375" s="163" t="n"/>
    </row>
    <row r="376" ht="15.9" customFormat="1" customHeight="1" s="278">
      <c r="A376" s="27" t="n"/>
      <c r="B376" s="278" t="n"/>
      <c r="C376" s="63" t="n"/>
      <c r="D376" s="161" t="n"/>
      <c r="E376" s="109" t="n"/>
      <c r="F376" s="109" t="n"/>
      <c r="G376" s="109" t="n"/>
      <c r="H376" s="163" t="n"/>
      <c r="I376" s="161" t="n"/>
      <c r="J376" s="161" t="n"/>
    </row>
    <row r="377" ht="15.9" customFormat="1" customHeight="1" s="278">
      <c r="A377" s="27" t="n"/>
      <c r="B377" s="278" t="n"/>
      <c r="C377" s="287" t="n"/>
      <c r="D377" s="161" t="n"/>
      <c r="E377" s="109" t="n"/>
      <c r="F377" s="109" t="n"/>
      <c r="G377" s="109" t="n"/>
      <c r="H377" s="161" t="n"/>
      <c r="I377" s="501" t="n"/>
      <c r="J377" s="501" t="n"/>
    </row>
    <row r="378" ht="15.9" customFormat="1" customHeight="1" s="278">
      <c r="A378" s="27" t="n"/>
      <c r="B378" s="278" t="n"/>
      <c r="C378" s="161" t="n"/>
      <c r="D378" s="161" t="n"/>
      <c r="E378" s="109" t="n"/>
      <c r="F378" s="109" t="n"/>
      <c r="G378" s="109" t="n"/>
      <c r="H378" s="93" t="n"/>
      <c r="I378" s="163" t="n"/>
      <c r="J378" s="163" t="n"/>
    </row>
    <row r="379" ht="15.9" customFormat="1" customHeight="1" s="278">
      <c r="A379" s="27" t="n"/>
      <c r="B379" s="278" t="n"/>
      <c r="C379" s="278" t="n"/>
      <c r="D379" s="161" t="n"/>
      <c r="E379" s="109" t="n"/>
      <c r="F379" s="109" t="n"/>
      <c r="G379" s="109" t="n"/>
      <c r="H379" s="163" t="n"/>
      <c r="I379" s="161" t="n"/>
      <c r="J379" s="161" t="n"/>
    </row>
    <row r="380" ht="15.9" customFormat="1" customHeight="1" s="278">
      <c r="A380" s="27" t="n"/>
      <c r="B380" s="278" t="n"/>
      <c r="C380" s="278" t="n"/>
      <c r="D380" s="161" t="n"/>
      <c r="E380" s="109" t="n"/>
      <c r="F380" s="109" t="n"/>
      <c r="G380" s="109" t="n"/>
      <c r="H380" s="161" t="n"/>
      <c r="I380" s="501" t="n"/>
      <c r="J380" s="501" t="n"/>
    </row>
    <row r="381" ht="15.9" customFormat="1" customHeight="1" s="278">
      <c r="A381" s="27" t="n"/>
      <c r="B381" s="278" t="n"/>
      <c r="C381" s="278" t="n"/>
      <c r="D381" s="161" t="n"/>
      <c r="E381" s="109" t="n"/>
      <c r="F381" s="109" t="n"/>
      <c r="G381" s="109" t="n"/>
      <c r="H381" s="109" t="n"/>
      <c r="I381" s="501" t="n"/>
      <c r="J381" s="501" t="n"/>
    </row>
    <row r="382" ht="15.9" customFormat="1" customHeight="1" s="278">
      <c r="A382" s="27" t="n"/>
      <c r="B382" s="278" t="n"/>
      <c r="C382" s="278" t="n"/>
      <c r="D382" s="161" t="n"/>
      <c r="E382" s="109" t="n"/>
      <c r="F382" s="109" t="n"/>
      <c r="G382" s="109" t="n"/>
      <c r="H382" s="109" t="n"/>
      <c r="I382" s="501" t="n"/>
      <c r="J382" s="501" t="n"/>
    </row>
    <row r="383" ht="15.9" customFormat="1" customHeight="1" s="278">
      <c r="A383" s="27" t="n"/>
      <c r="B383" s="278" t="n"/>
      <c r="C383" s="278" t="n"/>
      <c r="D383" s="161" t="n"/>
      <c r="E383" s="109" t="n"/>
      <c r="F383" s="109" t="n"/>
      <c r="G383" s="109" t="n"/>
      <c r="H383" s="109" t="n"/>
      <c r="I383" s="109" t="n"/>
      <c r="J383" s="501" t="n"/>
    </row>
    <row r="384" ht="15.9" customFormat="1" customHeight="1" s="278">
      <c r="A384" s="27" t="n"/>
      <c r="B384" s="278" t="n"/>
      <c r="C384" s="278" t="n"/>
      <c r="D384" s="161" t="n"/>
      <c r="E384" s="109" t="n"/>
      <c r="F384" s="109" t="n"/>
      <c r="G384" s="109" t="n"/>
      <c r="H384" s="109" t="n"/>
      <c r="I384" s="109" t="n"/>
      <c r="J384" s="501" t="n"/>
    </row>
    <row r="385" ht="15.9" customFormat="1" customHeight="1" s="278">
      <c r="A385" s="27" t="n"/>
      <c r="B385" s="278" t="n"/>
      <c r="C385" s="278" t="n"/>
      <c r="D385" s="161" t="n"/>
      <c r="E385" s="109" t="n"/>
      <c r="F385" s="109" t="n"/>
      <c r="G385" s="109" t="n"/>
      <c r="H385" s="109" t="n"/>
      <c r="I385" s="109" t="n"/>
      <c r="J385" s="501" t="n"/>
    </row>
    <row r="386" ht="15.9" customFormat="1" customHeight="1" s="278">
      <c r="A386" s="27" t="n"/>
      <c r="B386" s="278" t="n"/>
      <c r="C386" s="278" t="n"/>
      <c r="D386" s="161" t="n"/>
      <c r="E386" s="109" t="n"/>
      <c r="F386" s="109" t="n"/>
      <c r="G386" s="109" t="n"/>
      <c r="H386" s="109" t="n"/>
      <c r="I386" s="109" t="n"/>
      <c r="J386" s="501" t="n"/>
    </row>
    <row r="387" ht="15.9" customFormat="1" customHeight="1" s="278">
      <c r="A387" s="27" t="n"/>
      <c r="B387" s="278" t="n"/>
      <c r="C387" s="278" t="n"/>
      <c r="D387" s="161" t="n"/>
      <c r="E387" s="109" t="n"/>
      <c r="F387" s="109" t="n"/>
      <c r="G387" s="109" t="n"/>
      <c r="H387" s="109" t="n"/>
      <c r="I387" s="164" t="n"/>
      <c r="J387" s="164" t="n"/>
    </row>
    <row r="388" ht="15.9" customFormat="1" customHeight="1" s="278">
      <c r="A388" s="27" t="n"/>
      <c r="B388" s="278" t="n"/>
      <c r="C388" s="278" t="n"/>
      <c r="D388" s="161" t="n"/>
      <c r="E388" s="109" t="n"/>
      <c r="F388" s="109" t="n"/>
      <c r="G388" s="109" t="n"/>
      <c r="H388" s="164" t="n"/>
      <c r="I388" s="302" t="n"/>
      <c r="J388" s="302" t="n"/>
    </row>
    <row r="389" ht="15.9" customFormat="1" customHeight="1" s="278">
      <c r="A389" s="27" t="n"/>
      <c r="B389" s="278" t="n"/>
      <c r="C389" s="278" t="n"/>
      <c r="D389" s="161" t="n"/>
      <c r="E389" s="109" t="n"/>
      <c r="F389" s="109" t="n"/>
      <c r="G389" s="109" t="n"/>
      <c r="H389" s="302" t="n"/>
      <c r="I389" s="161" t="n"/>
      <c r="J389" s="161" t="n"/>
    </row>
    <row r="390" ht="15.9" customFormat="1" customHeight="1" s="278">
      <c r="A390" s="27" t="n"/>
      <c r="B390" s="278" t="n"/>
      <c r="C390" s="63" t="n"/>
      <c r="D390" s="161" t="n"/>
      <c r="E390" s="109" t="n"/>
      <c r="F390" s="109" t="n"/>
      <c r="G390" s="109" t="n"/>
      <c r="H390" s="161" t="n"/>
      <c r="I390" s="501" t="n"/>
      <c r="J390" s="501" t="n"/>
    </row>
    <row r="391" ht="15.9" customFormat="1" customHeight="1" s="278">
      <c r="A391" s="27" t="n"/>
      <c r="B391" s="278" t="n"/>
      <c r="C391" s="287" t="n"/>
      <c r="D391" s="161" t="n"/>
      <c r="E391" s="109" t="n"/>
      <c r="F391" s="109" t="n"/>
      <c r="G391" s="109" t="n"/>
      <c r="H391" s="109" t="n"/>
      <c r="I391" s="109" t="n"/>
      <c r="J391" s="501" t="n"/>
    </row>
    <row r="392" ht="15.9" customFormat="1" customHeight="1" s="278">
      <c r="A392" s="27" t="n"/>
      <c r="B392" s="278" t="n"/>
      <c r="C392" s="161" t="n"/>
      <c r="D392" s="161" t="n"/>
      <c r="E392" s="109" t="n"/>
      <c r="F392" s="109" t="n"/>
      <c r="G392" s="109" t="n"/>
      <c r="H392" s="109" t="n"/>
      <c r="I392" s="501" t="n"/>
      <c r="J392" s="501" t="n"/>
    </row>
    <row r="393" ht="15.9" customFormat="1" customHeight="1" s="278">
      <c r="A393" s="27" t="n"/>
      <c r="B393" s="278" t="n"/>
      <c r="C393" s="278" t="n"/>
      <c r="D393" s="161" t="n"/>
      <c r="E393" s="109" t="n"/>
      <c r="F393" s="109" t="n"/>
      <c r="G393" s="109" t="n"/>
      <c r="H393" s="109" t="n"/>
      <c r="I393" s="501" t="n"/>
      <c r="J393" s="501" t="n"/>
    </row>
    <row r="394" ht="15.9" customFormat="1" customHeight="1" s="278">
      <c r="A394" s="27" t="n"/>
      <c r="B394" s="278" t="n"/>
      <c r="C394" s="278" t="n"/>
      <c r="D394" s="161" t="n"/>
      <c r="E394" s="109" t="n"/>
      <c r="F394" s="109" t="n"/>
      <c r="G394" s="109" t="n"/>
      <c r="H394" s="109" t="n"/>
      <c r="I394" s="501" t="n"/>
      <c r="J394" s="501" t="n"/>
    </row>
    <row r="395" ht="15.9" customFormat="1" customHeight="1" s="278">
      <c r="A395" s="101" t="n"/>
      <c r="B395" s="278" t="n"/>
      <c r="C395" s="278" t="n"/>
      <c r="D395" s="161" t="n"/>
      <c r="E395" s="109" t="n"/>
      <c r="F395" s="109" t="n"/>
      <c r="G395" s="109" t="n"/>
      <c r="H395" s="109" t="n"/>
      <c r="I395" s="109" t="n"/>
      <c r="J395" s="109" t="n"/>
    </row>
    <row r="396" ht="15.9" customFormat="1" customHeight="1" s="278">
      <c r="A396" s="101" t="n"/>
      <c r="B396" s="278" t="n"/>
      <c r="C396" s="278" t="n"/>
      <c r="D396" s="161" t="n"/>
      <c r="E396" s="109" t="n"/>
      <c r="F396" s="109" t="n"/>
      <c r="G396" s="109" t="n"/>
      <c r="H396" s="109" t="n"/>
      <c r="I396" s="109" t="n"/>
      <c r="J396" s="109" t="n"/>
    </row>
    <row r="397" ht="15.9" customFormat="1" customHeight="1" s="278">
      <c r="A397" s="101" t="n"/>
      <c r="B397" s="278" t="n"/>
      <c r="C397" s="278" t="n"/>
      <c r="D397" s="161" t="n"/>
      <c r="E397" s="109" t="n"/>
      <c r="F397" s="109" t="n"/>
      <c r="G397" s="109" t="n"/>
      <c r="H397" s="109" t="n"/>
      <c r="I397" s="109" t="n"/>
      <c r="J397" s="109" t="n"/>
    </row>
    <row r="398" ht="15.9" customFormat="1" customHeight="1" s="278">
      <c r="A398" s="101" t="n"/>
      <c r="B398" s="278" t="n"/>
      <c r="C398" s="278" t="n"/>
      <c r="D398" s="161" t="n"/>
      <c r="E398" s="109" t="n"/>
      <c r="F398" s="109" t="n"/>
      <c r="G398" s="109" t="n"/>
      <c r="H398" s="109" t="n"/>
      <c r="I398" s="109" t="n"/>
      <c r="J398" s="109" t="n"/>
    </row>
    <row r="399" ht="15.9" customFormat="1" customHeight="1" s="278">
      <c r="A399" s="101" t="n"/>
      <c r="B399" s="278" t="n"/>
      <c r="C399" s="278" t="n"/>
      <c r="D399" s="161" t="n"/>
      <c r="E399" s="109" t="n"/>
      <c r="F399" s="109" t="n"/>
      <c r="G399" s="109" t="n"/>
      <c r="H399" s="109" t="n"/>
      <c r="I399" s="109" t="n"/>
      <c r="J399" s="109" t="n"/>
    </row>
    <row r="400" ht="15.9" customFormat="1" customHeight="1" s="278">
      <c r="A400" s="101" t="n"/>
      <c r="B400" s="278" t="n"/>
      <c r="C400" s="278" t="n"/>
      <c r="D400" s="161" t="n"/>
      <c r="E400" s="109" t="n"/>
      <c r="F400" s="109" t="n"/>
      <c r="G400" s="109" t="n"/>
      <c r="H400" s="109" t="n"/>
      <c r="I400" s="109" t="n"/>
      <c r="J400" s="109" t="n"/>
    </row>
    <row r="401" ht="15.9" customFormat="1" customHeight="1" s="278">
      <c r="A401" s="101" t="n"/>
      <c r="B401" s="278" t="n"/>
      <c r="C401" s="278" t="n"/>
      <c r="D401" s="161" t="n"/>
      <c r="E401" s="109" t="n"/>
      <c r="F401" s="109" t="n"/>
      <c r="G401" s="109" t="n"/>
      <c r="H401" s="109" t="n"/>
      <c r="I401" s="109" t="n"/>
      <c r="J401" s="109" t="n"/>
    </row>
    <row r="402" ht="15.9" customFormat="1" customHeight="1" s="278">
      <c r="A402" s="101" t="n"/>
      <c r="B402" s="278" t="n"/>
      <c r="C402" s="278" t="n"/>
      <c r="D402" s="161" t="n"/>
      <c r="E402" s="109" t="n"/>
      <c r="F402" s="109" t="n"/>
      <c r="G402" s="109" t="n"/>
      <c r="H402" s="109" t="n"/>
      <c r="I402" s="109" t="n"/>
      <c r="J402" s="109" t="n"/>
    </row>
    <row r="403" ht="15.9" customFormat="1" customHeight="1" s="23">
      <c r="A403" s="101" t="n"/>
      <c r="B403" s="278" t="n"/>
      <c r="C403" s="278" t="n"/>
      <c r="D403" s="161" t="n"/>
      <c r="E403" s="109" t="n"/>
      <c r="F403" s="109" t="n"/>
      <c r="G403" s="109" t="n"/>
      <c r="H403" s="109" t="n"/>
      <c r="I403" s="109" t="n"/>
      <c r="J403" s="109" t="n"/>
    </row>
    <row r="404" ht="15.9" customFormat="1" customHeight="1" s="278">
      <c r="A404" s="44" t="n"/>
      <c r="B404" s="278" t="n"/>
      <c r="C404" s="278" t="n"/>
      <c r="D404" s="161" t="n"/>
      <c r="E404" s="109" t="n"/>
      <c r="F404" s="109" t="n"/>
      <c r="G404" s="109" t="n"/>
      <c r="H404" s="109" t="n"/>
      <c r="I404" s="44" t="n"/>
      <c r="J404" s="119" t="n"/>
    </row>
    <row r="405" ht="15.9" customFormat="1" customHeight="1" s="278">
      <c r="A405" s="44" t="n"/>
      <c r="B405" s="44" t="n"/>
      <c r="C405" s="44" t="n"/>
      <c r="D405" s="84" t="n"/>
      <c r="E405" s="44" t="n"/>
      <c r="F405" s="44" t="n"/>
      <c r="G405" s="44" t="n"/>
      <c r="H405" s="44" t="n"/>
      <c r="I405" s="44" t="n"/>
      <c r="J405" s="119" t="n"/>
    </row>
    <row r="406" ht="15.9" customFormat="1" customHeight="1" s="278">
      <c r="A406" s="44" t="n"/>
      <c r="B406" s="44" t="n"/>
      <c r="C406" s="44" t="n"/>
      <c r="D406" s="84" t="n"/>
      <c r="E406" s="44" t="n"/>
      <c r="F406" s="44" t="n"/>
      <c r="G406" s="44" t="n"/>
      <c r="H406" s="44" t="n"/>
      <c r="I406" s="44" t="n"/>
      <c r="J406" s="119" t="n"/>
    </row>
    <row r="407" ht="15.9" customFormat="1" customHeight="1" s="278">
      <c r="A407" s="44" t="n"/>
      <c r="B407" s="44" t="n"/>
      <c r="C407" s="44" t="n"/>
      <c r="D407" s="84" t="n"/>
      <c r="E407" s="44" t="n"/>
      <c r="F407" s="44" t="n"/>
      <c r="G407" s="44" t="n"/>
      <c r="H407" s="44" t="n"/>
      <c r="I407" s="44" t="n"/>
      <c r="J407" s="119" t="n"/>
    </row>
    <row r="408" ht="15.9" customFormat="1" customHeight="1" s="278">
      <c r="A408" s="44" t="n"/>
      <c r="B408" s="44" t="n"/>
      <c r="C408" s="44" t="n"/>
      <c r="D408" s="84" t="n"/>
      <c r="E408" s="44" t="n"/>
      <c r="F408" s="44" t="n"/>
      <c r="G408" s="44" t="n"/>
      <c r="H408" s="44" t="n"/>
      <c r="I408" s="44" t="n"/>
      <c r="J408" s="119" t="n"/>
    </row>
    <row r="409" ht="15.9" customFormat="1" customHeight="1" s="278">
      <c r="A409" s="44" t="n"/>
      <c r="B409" s="44" t="n"/>
      <c r="C409" s="44" t="n"/>
      <c r="D409" s="84" t="n"/>
      <c r="E409" s="44" t="n"/>
      <c r="F409" s="44" t="n"/>
      <c r="G409" s="44" t="n"/>
      <c r="H409" s="44" t="n"/>
      <c r="I409" s="44" t="n"/>
      <c r="J409" s="119" t="n"/>
    </row>
    <row r="410" ht="15.9" customFormat="1" customHeight="1" s="278">
      <c r="A410" s="44" t="n"/>
      <c r="B410" s="44" t="n"/>
      <c r="C410" s="44" t="n"/>
      <c r="D410" s="84" t="n"/>
      <c r="E410" s="44" t="n"/>
      <c r="F410" s="44" t="n"/>
      <c r="G410" s="44" t="n"/>
      <c r="H410" s="44" t="n"/>
      <c r="I410" s="44" t="n"/>
      <c r="J410" s="119" t="n"/>
    </row>
    <row r="411" ht="15.9" customFormat="1" customHeight="1" s="278">
      <c r="A411" s="44" t="n"/>
      <c r="B411" s="44" t="n"/>
      <c r="C411" s="44" t="n"/>
      <c r="D411" s="84" t="n"/>
      <c r="E411" s="44" t="n"/>
      <c r="F411" s="44" t="n"/>
      <c r="G411" s="44" t="n"/>
      <c r="H411" s="44" t="n"/>
      <c r="I411" s="44" t="n"/>
      <c r="J411" s="119" t="n"/>
    </row>
    <row r="412" ht="15.9" customFormat="1" customHeight="1" s="278">
      <c r="A412" s="44" t="n"/>
      <c r="B412" s="44" t="n"/>
      <c r="C412" s="44" t="n"/>
      <c r="D412" s="84" t="n"/>
      <c r="E412" s="44" t="n"/>
      <c r="F412" s="44" t="n"/>
      <c r="G412" s="44" t="n"/>
      <c r="H412" s="44" t="n"/>
      <c r="I412" s="44" t="n"/>
      <c r="J412" s="119" t="n"/>
    </row>
    <row r="413" ht="15.9" customFormat="1" customHeight="1" s="278">
      <c r="A413" s="44" t="n"/>
      <c r="B413" s="44" t="n"/>
      <c r="C413" s="44" t="n"/>
      <c r="D413" s="84" t="n"/>
      <c r="E413" s="44" t="n"/>
      <c r="F413" s="44" t="n"/>
      <c r="G413" s="44" t="n"/>
      <c r="H413" s="44" t="n"/>
      <c r="I413" s="44" t="n"/>
      <c r="J413" s="119" t="n"/>
    </row>
    <row r="414" ht="15.9" customFormat="1" customHeight="1" s="278">
      <c r="A414" s="44" t="n"/>
      <c r="B414" s="44" t="n"/>
      <c r="C414" s="44" t="n"/>
      <c r="D414" s="84" t="n"/>
      <c r="E414" s="44" t="n"/>
      <c r="F414" s="44" t="n"/>
      <c r="G414" s="44" t="n"/>
      <c r="H414" s="44" t="n"/>
      <c r="I414" s="44" t="n"/>
      <c r="J414" s="119" t="n"/>
    </row>
    <row r="415" ht="15.9" customFormat="1" customHeight="1" s="278">
      <c r="A415" s="44" t="n"/>
      <c r="B415" s="44" t="n"/>
      <c r="C415" s="44" t="n"/>
      <c r="D415" s="84" t="n"/>
      <c r="E415" s="44" t="n"/>
      <c r="F415" s="44" t="n"/>
      <c r="G415" s="44" t="n"/>
      <c r="H415" s="44" t="n"/>
      <c r="I415" s="44" t="n"/>
      <c r="J415" s="119" t="n"/>
    </row>
    <row r="416" ht="15.9" customFormat="1" customHeight="1" s="278">
      <c r="A416" s="44" t="n"/>
      <c r="B416" s="44" t="n"/>
      <c r="C416" s="44" t="n"/>
      <c r="D416" s="84" t="n"/>
      <c r="E416" s="44" t="n"/>
      <c r="F416" s="44" t="n"/>
      <c r="G416" s="44" t="n"/>
      <c r="H416" s="44" t="n"/>
      <c r="I416" s="44" t="n"/>
      <c r="J416" s="119" t="n"/>
    </row>
    <row r="417" ht="15.9" customFormat="1" customHeight="1" s="278">
      <c r="A417" s="44" t="n"/>
      <c r="B417" s="44" t="n"/>
      <c r="C417" s="44" t="n"/>
      <c r="D417" s="84" t="n"/>
      <c r="E417" s="44" t="n"/>
      <c r="F417" s="44" t="n"/>
      <c r="G417" s="44" t="n"/>
      <c r="H417" s="44" t="n"/>
      <c r="I417" s="44" t="n"/>
      <c r="J417" s="119" t="n"/>
    </row>
    <row r="418" ht="15.9" customFormat="1" customHeight="1" s="278">
      <c r="A418" s="109" t="n"/>
      <c r="B418" s="44" t="n"/>
      <c r="C418" s="44" t="n"/>
      <c r="D418" s="84" t="n"/>
      <c r="E418" s="44" t="n"/>
      <c r="F418" s="44" t="n"/>
      <c r="G418" s="44" t="n"/>
      <c r="H418" s="44" t="n"/>
      <c r="I418" s="501" t="n"/>
      <c r="J418" s="501" t="n"/>
      <c r="K418" s="71" t="n"/>
    </row>
    <row r="419" ht="15.9" customFormat="1" customHeight="1" s="278">
      <c r="A419" s="109" t="n"/>
      <c r="B419" s="278" t="n"/>
      <c r="C419" s="278" t="n"/>
      <c r="D419" s="161" t="n"/>
      <c r="E419" s="109" t="n"/>
      <c r="F419" s="109" t="n"/>
      <c r="G419" s="109" t="n"/>
      <c r="H419" s="109" t="n"/>
      <c r="I419" s="501" t="n"/>
    </row>
    <row r="420" ht="18" customHeight="1" s="344">
      <c r="A420" s="109" t="n"/>
      <c r="B420" s="278" t="n"/>
      <c r="C420" s="278" t="n"/>
      <c r="D420" s="161" t="n"/>
      <c r="E420" s="109" t="n"/>
      <c r="F420" s="109" t="n"/>
      <c r="G420" s="109" t="n"/>
      <c r="H420" s="109" t="n"/>
      <c r="I420" s="109" t="n"/>
      <c r="J420" s="99">
        <f>LEFT($J$111,14)&amp;"-04"</f>
        <v/>
      </c>
      <c r="K420" s="37" t="n"/>
      <c r="L420" s="37" t="n"/>
      <c r="M420" s="2" t="n"/>
      <c r="N420" s="2" t="n"/>
    </row>
    <row r="421" ht="12.75" customHeight="1" s="344">
      <c r="A421" s="109" t="n"/>
      <c r="B421" s="278" t="n"/>
      <c r="C421" s="278" t="n"/>
      <c r="D421" s="161" t="n"/>
      <c r="E421" s="109" t="n"/>
      <c r="F421" s="109" t="n"/>
      <c r="G421" s="109" t="n"/>
      <c r="H421" s="109" t="n"/>
      <c r="I421" s="109" t="n"/>
      <c r="J421" s="114" t="n"/>
      <c r="K421" s="37" t="n"/>
      <c r="L421" s="37" t="n"/>
      <c r="M421" s="2" t="n"/>
      <c r="N421" s="2" t="n"/>
    </row>
    <row r="422" ht="30" customHeight="1" s="344">
      <c r="B422" s="278" t="n"/>
      <c r="C422" s="278" t="n"/>
      <c r="D422" s="161" t="n"/>
      <c r="E422" s="109" t="n"/>
      <c r="F422" s="109" t="n"/>
      <c r="G422" s="109" t="n"/>
      <c r="H422" s="109" t="n"/>
      <c r="I422" s="95" t="n"/>
      <c r="J422" s="90">
        <f>J2</f>
        <v/>
      </c>
      <c r="K422" s="35" t="n"/>
      <c r="L422" s="35" t="n"/>
      <c r="M422" s="2" t="n"/>
      <c r="N422" s="2" t="n"/>
    </row>
    <row r="423" ht="24.9" customHeight="1" s="344">
      <c r="C423" s="5" t="n"/>
      <c r="D423" s="95" t="n"/>
      <c r="E423" s="95" t="n"/>
      <c r="F423" s="95" t="n"/>
      <c r="G423" s="95" t="n"/>
      <c r="H423" s="95" t="n"/>
      <c r="I423" s="28" t="n"/>
      <c r="J423" s="91">
        <f>J3</f>
        <v/>
      </c>
      <c r="K423" s="35" t="n"/>
      <c r="L423" s="35" t="n"/>
      <c r="M423" s="2" t="n"/>
      <c r="N423" s="2" t="n"/>
    </row>
    <row r="424" ht="24.9" customHeight="1" s="344">
      <c r="C424" s="28" t="n"/>
      <c r="D424" s="28" t="n"/>
      <c r="E424" s="28" t="n"/>
      <c r="F424" s="28" t="n"/>
      <c r="G424" s="28" t="n"/>
      <c r="H424" s="28" t="n"/>
      <c r="I424" s="28" t="n"/>
      <c r="J424" s="91">
        <f>J4</f>
        <v/>
      </c>
      <c r="M424" s="4" t="n"/>
      <c r="N424" s="4" t="n"/>
    </row>
    <row r="425" ht="15" customFormat="1" customHeight="1" s="278" thickBot="1">
      <c r="A425" s="78" t="n"/>
      <c r="B425" s="72" t="n"/>
      <c r="C425" s="28" t="n"/>
      <c r="D425" s="28" t="n"/>
      <c r="E425" s="28" t="n"/>
      <c r="F425" s="28" t="n"/>
      <c r="G425" s="28" t="n"/>
      <c r="H425" s="28" t="n"/>
      <c r="I425" s="78" t="n"/>
      <c r="J425" s="100" t="n"/>
      <c r="K425" s="4" t="n"/>
      <c r="L425" s="4" t="n"/>
      <c r="M425" s="4" t="n"/>
      <c r="N425" s="4" t="n"/>
    </row>
    <row r="426" ht="24.9" customFormat="1" customHeight="1" s="278" thickBot="1">
      <c r="A426" s="633" t="inlineStr">
        <is>
          <t>INSIDE SASH ASSEMBLY</t>
        </is>
      </c>
      <c r="B426" s="634" t="n"/>
      <c r="C426" s="634" t="n"/>
      <c r="D426" s="634" t="n"/>
      <c r="E426" s="634" t="n"/>
      <c r="F426" s="634" t="n"/>
      <c r="G426" s="634" t="n"/>
      <c r="H426" s="634" t="n"/>
      <c r="I426" s="634" t="n"/>
      <c r="J426" s="635" t="n"/>
      <c r="K426" s="4" t="n"/>
      <c r="L426" s="4" t="n"/>
      <c r="M426" s="4" t="n"/>
      <c r="N426" s="4" t="n"/>
    </row>
    <row r="427" ht="15" customFormat="1" customHeight="1" s="278">
      <c r="A427" s="278" t="n"/>
      <c r="B427" s="194" t="n"/>
      <c r="C427" s="194" t="n"/>
      <c r="D427" s="194" t="n"/>
      <c r="E427" s="194" t="n"/>
      <c r="F427" s="194" t="n"/>
      <c r="G427" s="194" t="n"/>
      <c r="H427" s="194" t="n"/>
      <c r="I427" s="278" t="n"/>
      <c r="K427" s="278" t="n"/>
      <c r="L427" s="278" t="n"/>
      <c r="M427" s="278" t="n"/>
      <c r="N427" s="278" t="n"/>
    </row>
    <row r="428" ht="15" customFormat="1" customHeight="1" s="278">
      <c r="A428" s="63" t="n"/>
      <c r="B428" s="278" t="n"/>
      <c r="C428" s="278" t="n"/>
      <c r="D428" s="278" t="n"/>
      <c r="E428" s="278" t="n"/>
      <c r="F428" s="278" t="n"/>
      <c r="G428" s="278" t="n"/>
      <c r="H428" s="278" t="n"/>
      <c r="I428" s="44" t="n"/>
      <c r="J428" s="119" t="n"/>
    </row>
    <row r="429" ht="15" customFormat="1" customHeight="1" s="278">
      <c r="A429" s="109" t="n"/>
      <c r="B429" s="72" t="n"/>
      <c r="C429" s="278" t="n"/>
      <c r="D429" s="161" t="n"/>
      <c r="E429" s="35" t="n"/>
      <c r="F429" s="72" t="n"/>
      <c r="G429" s="278" t="n"/>
      <c r="H429" s="44" t="n"/>
      <c r="I429" s="44" t="n"/>
      <c r="J429" s="119" t="n"/>
    </row>
    <row r="430" ht="15" customFormat="1" customHeight="1" s="278">
      <c r="A430" s="109" t="n"/>
      <c r="B430" s="278" t="n"/>
      <c r="C430" s="278" t="n"/>
      <c r="D430" s="161" t="n"/>
      <c r="E430" s="35" t="n"/>
      <c r="F430" s="161" t="n"/>
      <c r="G430" s="278" t="n"/>
      <c r="H430" s="44" t="n"/>
      <c r="I430" s="44" t="n"/>
      <c r="J430" s="119" t="n"/>
    </row>
    <row r="431" ht="15" customFormat="1" customHeight="1" s="278">
      <c r="A431" s="109" t="n"/>
      <c r="B431" s="278" t="n"/>
      <c r="C431" s="278" t="n"/>
      <c r="D431" s="161" t="n"/>
      <c r="E431" s="35" t="n"/>
      <c r="F431" s="161" t="n"/>
      <c r="H431" s="44" t="n"/>
      <c r="I431" s="44" t="n"/>
      <c r="J431" s="119" t="n"/>
    </row>
    <row r="432" ht="15" customFormat="1" customHeight="1" s="278">
      <c r="A432" s="109" t="n"/>
      <c r="B432" s="278" t="n"/>
      <c r="C432" s="161" t="n"/>
      <c r="D432" s="161" t="n"/>
      <c r="E432" s="109" t="n"/>
      <c r="F432" s="161" t="n"/>
      <c r="H432" s="44" t="n"/>
      <c r="I432" s="44" t="n"/>
      <c r="J432" s="119" t="n"/>
    </row>
    <row r="433" ht="15" customFormat="1" customHeight="1" s="278">
      <c r="A433" s="109" t="n"/>
      <c r="B433" s="278" t="n"/>
      <c r="C433" s="161" t="n"/>
      <c r="D433" s="161" t="n"/>
      <c r="E433" s="35" t="n"/>
      <c r="F433" s="163" t="n"/>
      <c r="H433" s="44" t="n"/>
      <c r="I433" s="44" t="n"/>
      <c r="J433" s="119" t="n"/>
    </row>
    <row r="434" ht="15" customFormat="1" customHeight="1" s="278">
      <c r="A434" s="109" t="n"/>
      <c r="B434" s="278" t="n"/>
      <c r="C434" s="161" t="n"/>
      <c r="D434" s="161" t="n"/>
      <c r="E434" s="35" t="n"/>
      <c r="F434" s="161" t="n"/>
      <c r="H434" s="44" t="n"/>
      <c r="I434" s="44" t="n"/>
      <c r="J434" s="119" t="n"/>
    </row>
    <row r="435" ht="15" customFormat="1" customHeight="1" s="278">
      <c r="A435" s="72" t="n"/>
      <c r="B435" s="278" t="n"/>
      <c r="C435" s="93" t="n"/>
      <c r="D435" s="161" t="n"/>
      <c r="E435" s="109" t="n"/>
      <c r="F435" s="69" t="n"/>
      <c r="H435" s="44" t="n"/>
      <c r="I435" s="44" t="n"/>
      <c r="J435" s="119" t="n"/>
    </row>
    <row r="436" ht="15" customFormat="1" customHeight="1" s="278">
      <c r="A436" s="532" t="n"/>
      <c r="B436" s="72" t="n"/>
      <c r="C436" s="163" t="n"/>
      <c r="D436" s="161" t="n"/>
      <c r="E436" s="109" t="n"/>
      <c r="F436" s="324" t="n"/>
      <c r="H436" s="44" t="n"/>
      <c r="I436" s="44" t="n"/>
      <c r="J436" s="119" t="n"/>
    </row>
    <row r="437" ht="15" customFormat="1" customHeight="1" s="278">
      <c r="B437" s="532" t="n"/>
      <c r="C437" s="161" t="n"/>
      <c r="D437" s="161" t="n"/>
      <c r="E437" s="109" t="n"/>
      <c r="F437" s="507" t="n"/>
      <c r="H437" s="44" t="n"/>
      <c r="I437" s="44" t="n"/>
      <c r="J437" s="119" t="n"/>
    </row>
    <row r="438" ht="15" customFormat="1" customHeight="1" s="278">
      <c r="A438" s="64">
        <f>A18</f>
        <v/>
      </c>
      <c r="B438" s="532" t="n"/>
      <c r="C438" s="161" t="n"/>
      <c r="D438" s="161" t="n"/>
      <c r="E438" s="109" t="n"/>
      <c r="F438" s="507" t="n"/>
      <c r="H438" s="44" t="n"/>
      <c r="I438" s="44" t="n"/>
      <c r="J438" s="119" t="n"/>
    </row>
    <row r="439" ht="15.9" customFormat="1" customHeight="1" s="278">
      <c r="A439" s="76">
        <f>A19</f>
        <v/>
      </c>
      <c r="C439" s="93" t="n"/>
      <c r="D439" s="161" t="n"/>
      <c r="E439" s="109" t="n"/>
      <c r="F439" s="324" t="n"/>
      <c r="H439" s="44" t="n"/>
      <c r="I439" s="44" t="n"/>
      <c r="J439" s="119" t="n"/>
    </row>
    <row r="440" ht="15.9" customFormat="1" customHeight="1" s="278">
      <c r="A440" s="72" t="n"/>
      <c r="C440" s="161" t="n"/>
      <c r="D440" s="161" t="n"/>
      <c r="E440" s="109" t="n"/>
      <c r="F440" s="37" t="n"/>
      <c r="H440" s="44" t="n"/>
      <c r="I440" s="44" t="n"/>
      <c r="J440" s="119" t="n"/>
    </row>
    <row r="441" ht="15.9" customFormat="1" customHeight="1" s="278">
      <c r="A441" s="44" t="n"/>
      <c r="B441" s="278" t="n"/>
      <c r="C441" s="43" t="n"/>
      <c r="D441" s="161" t="n"/>
      <c r="E441" s="109" t="n"/>
      <c r="F441" s="109" t="n"/>
      <c r="H441" s="44" t="n"/>
      <c r="I441" s="44" t="n"/>
      <c r="J441" s="119" t="n"/>
    </row>
    <row r="442" ht="15.9" customFormat="1" customHeight="1" s="278">
      <c r="A442" s="40" t="n"/>
      <c r="C442" s="44" t="n"/>
      <c r="D442" s="84" t="n"/>
      <c r="E442" s="44" t="n"/>
      <c r="F442" s="44" t="n"/>
      <c r="H442" s="44" t="n"/>
      <c r="I442" s="44" t="n"/>
      <c r="J442" s="119" t="n"/>
    </row>
    <row r="443" ht="35.1" customFormat="1" customHeight="1" s="278">
      <c r="A443" s="109" t="n"/>
      <c r="C443" s="161" t="n"/>
      <c r="D443" s="85" t="n"/>
      <c r="E443" s="40" t="n"/>
      <c r="F443" s="32" t="n"/>
      <c r="H443" s="44" t="n"/>
      <c r="I443" s="501" t="n"/>
      <c r="J443" s="501" t="n"/>
    </row>
    <row r="444" ht="15.6" customHeight="1" s="344">
      <c r="B444" s="64" t="n"/>
      <c r="C444" s="163" t="n"/>
      <c r="D444" s="161" t="n"/>
      <c r="E444" s="109" t="n"/>
      <c r="F444" s="161" t="n"/>
      <c r="G444" s="109" t="n"/>
      <c r="H444" s="109" t="n"/>
    </row>
    <row r="449" ht="15.9" customFormat="1" customHeight="1" s="278">
      <c r="A449" s="109" t="n"/>
      <c r="D449" s="345" t="n"/>
      <c r="I449" s="501" t="n"/>
      <c r="J449" s="501" t="n"/>
    </row>
    <row r="450" ht="15.9" customFormat="1" customHeight="1" s="278">
      <c r="A450" s="109" t="n"/>
      <c r="B450" s="278" t="n"/>
      <c r="C450" s="278" t="n"/>
      <c r="D450" s="161" t="n"/>
      <c r="E450" s="109" t="n"/>
      <c r="F450" s="161" t="n"/>
      <c r="G450" s="109" t="n"/>
      <c r="H450" s="109" t="n"/>
      <c r="I450" s="501" t="n"/>
      <c r="J450" s="501" t="n"/>
    </row>
    <row r="451" ht="15.9" customFormat="1" customHeight="1" s="278">
      <c r="A451" s="109" t="n"/>
      <c r="B451" s="278" t="n"/>
      <c r="C451" s="278" t="n"/>
      <c r="D451" s="161" t="n"/>
      <c r="E451" s="109" t="n"/>
      <c r="F451" s="161" t="n"/>
      <c r="G451" s="109" t="n"/>
      <c r="H451" s="109" t="n"/>
      <c r="I451" s="501" t="n"/>
      <c r="J451" s="501" t="n"/>
    </row>
    <row r="452" ht="15.9" customFormat="1" customHeight="1" s="278">
      <c r="A452" s="109" t="n"/>
      <c r="B452" s="278" t="n"/>
      <c r="C452" s="278" t="n"/>
      <c r="D452" s="161" t="n"/>
      <c r="E452" s="109" t="n"/>
      <c r="F452" s="161" t="n"/>
      <c r="G452" s="109" t="n"/>
      <c r="H452" s="109" t="n"/>
      <c r="I452" s="501" t="n"/>
      <c r="J452" s="501" t="n"/>
    </row>
    <row r="453" ht="15.9" customFormat="1" customHeight="1" s="278">
      <c r="A453" s="109" t="n"/>
      <c r="B453" s="278" t="n"/>
      <c r="C453" s="44" t="n"/>
      <c r="D453" s="161" t="n"/>
      <c r="E453" s="109" t="n"/>
      <c r="F453" s="161" t="n"/>
      <c r="G453" s="109" t="n"/>
      <c r="H453" s="109" t="n"/>
      <c r="I453" s="501" t="n"/>
      <c r="J453" s="501" t="n"/>
    </row>
    <row r="454" ht="15.9" customFormat="1" customHeight="1" s="278">
      <c r="A454" s="109" t="n"/>
      <c r="B454" s="278" t="n"/>
      <c r="C454" s="161" t="n"/>
      <c r="D454" s="161" t="n"/>
      <c r="E454" s="109" t="n"/>
      <c r="F454" s="161" t="n"/>
      <c r="G454" s="109" t="n"/>
      <c r="H454" s="109" t="n"/>
      <c r="I454" s="501" t="n"/>
      <c r="J454" s="501" t="n"/>
    </row>
    <row r="455" ht="15.9" customFormat="1" customHeight="1" s="278">
      <c r="A455" s="109" t="n"/>
      <c r="B455" s="278" t="n"/>
      <c r="C455" s="163" t="n"/>
      <c r="D455" s="161" t="n"/>
      <c r="E455" s="109" t="n"/>
      <c r="F455" s="161" t="n"/>
      <c r="G455" s="109" t="n"/>
      <c r="H455" s="109" t="n"/>
      <c r="I455" s="109" t="n"/>
      <c r="J455" s="501" t="n"/>
    </row>
    <row r="456" ht="15.9" customFormat="1" customHeight="1" s="278">
      <c r="A456" s="109" t="n"/>
      <c r="B456" s="278" t="n"/>
      <c r="C456" s="161" t="n"/>
      <c r="D456" s="161" t="n"/>
      <c r="E456" s="109" t="n"/>
      <c r="F456" s="161" t="n"/>
      <c r="G456" s="109" t="n"/>
      <c r="H456" s="109" t="n"/>
      <c r="I456" s="501" t="n"/>
      <c r="J456" s="501" t="n"/>
    </row>
    <row r="457" ht="15.9" customFormat="1" customHeight="1" s="278">
      <c r="A457" s="109" t="n"/>
      <c r="B457" s="278" t="n"/>
      <c r="C457" s="278" t="n"/>
      <c r="D457" s="161" t="n"/>
      <c r="E457" s="109" t="n"/>
      <c r="F457" s="109" t="n"/>
      <c r="G457" s="109" t="n"/>
      <c r="H457" s="109" t="n"/>
      <c r="I457" s="501" t="n"/>
      <c r="J457" s="501" t="n"/>
    </row>
    <row r="458" ht="15" customFormat="1" customHeight="1" s="278">
      <c r="A458" s="109" t="n"/>
      <c r="B458" s="278" t="n"/>
      <c r="C458" s="278" t="n"/>
      <c r="D458" s="161" t="n"/>
      <c r="E458" s="109" t="n"/>
      <c r="F458" s="109" t="n"/>
      <c r="G458" s="109" t="n"/>
      <c r="H458" s="107" t="n"/>
      <c r="I458" s="501" t="n"/>
      <c r="J458" s="501" t="n"/>
    </row>
    <row r="459" ht="15" customFormat="1" customHeight="1" s="278">
      <c r="A459" s="109" t="n"/>
      <c r="B459" s="278" t="n"/>
      <c r="C459" s="278" t="n"/>
      <c r="D459" s="161" t="n"/>
      <c r="E459" s="109" t="n"/>
      <c r="F459" s="109" t="n"/>
      <c r="G459" s="109" t="n"/>
      <c r="H459" s="109" t="n"/>
      <c r="I459" s="501" t="n"/>
      <c r="J459" s="501" t="n"/>
    </row>
    <row r="460" ht="15" customFormat="1" customHeight="1" s="278">
      <c r="A460" s="109" t="n"/>
      <c r="B460" s="278" t="n"/>
      <c r="C460" s="278" t="n"/>
      <c r="D460" s="161" t="n"/>
      <c r="E460" s="109" t="n"/>
      <c r="F460" s="109" t="n"/>
      <c r="G460" s="109" t="n"/>
      <c r="H460" s="109" t="n"/>
      <c r="I460" s="501" t="n"/>
      <c r="J460" s="501" t="n"/>
    </row>
    <row r="461" ht="15" customFormat="1" customHeight="1" s="278">
      <c r="A461" s="109" t="n"/>
      <c r="B461" s="278" t="n"/>
      <c r="C461" s="278" t="n"/>
      <c r="D461" s="161" t="n"/>
      <c r="E461" s="109" t="n"/>
      <c r="F461" s="109" t="n"/>
      <c r="G461" s="109" t="n"/>
      <c r="H461" s="109" t="n"/>
      <c r="I461" s="501" t="n"/>
      <c r="J461" s="501" t="n"/>
    </row>
    <row r="462" ht="15" customFormat="1" customHeight="1" s="278">
      <c r="A462" s="109" t="n"/>
      <c r="B462" s="278" t="n"/>
      <c r="C462" s="278" t="n"/>
      <c r="D462" s="161" t="n"/>
      <c r="E462" s="109" t="n"/>
      <c r="F462" s="109" t="n"/>
      <c r="G462" s="109" t="n"/>
      <c r="H462" s="109" t="n"/>
      <c r="I462" s="501" t="n"/>
      <c r="J462" s="501" t="n"/>
    </row>
    <row r="463" ht="15" customFormat="1" customHeight="1" s="278">
      <c r="A463" s="109" t="n"/>
      <c r="B463" s="278" t="n"/>
      <c r="C463" s="278" t="n"/>
      <c r="D463" s="161" t="n"/>
      <c r="E463" s="109" t="n"/>
      <c r="F463" s="109" t="n"/>
      <c r="G463" s="109" t="n"/>
      <c r="H463" s="109" t="n"/>
      <c r="I463" s="501" t="n"/>
      <c r="J463" s="501" t="n"/>
    </row>
    <row r="464" ht="15" customFormat="1" customHeight="1" s="278">
      <c r="A464" s="109" t="n"/>
      <c r="B464" s="278" t="n"/>
      <c r="C464" s="278" t="n"/>
      <c r="D464" s="161" t="n"/>
      <c r="E464" s="109" t="n"/>
      <c r="F464" s="109" t="n"/>
      <c r="G464" s="109" t="n"/>
      <c r="H464" s="109" t="n"/>
      <c r="I464" s="501" t="n"/>
      <c r="J464" s="501" t="n"/>
    </row>
    <row r="465" ht="15" customFormat="1" customHeight="1" s="278">
      <c r="A465" s="109" t="n"/>
      <c r="B465" s="278" t="n"/>
      <c r="C465" s="278" t="n"/>
      <c r="D465" s="161" t="n"/>
      <c r="E465" s="109" t="n"/>
      <c r="F465" s="109" t="n"/>
      <c r="G465" s="109" t="n"/>
      <c r="H465" s="109" t="n"/>
      <c r="I465" s="501" t="n"/>
      <c r="J465" s="501" t="n"/>
    </row>
    <row r="466" ht="15" customFormat="1" customHeight="1" s="278">
      <c r="A466" s="109" t="n"/>
      <c r="B466" s="278" t="n"/>
      <c r="C466" s="278" t="n"/>
      <c r="D466" s="161" t="n"/>
      <c r="E466" s="109" t="n"/>
      <c r="F466" s="109" t="n"/>
      <c r="G466" s="109" t="n"/>
      <c r="H466" s="109" t="n"/>
      <c r="I466" s="501" t="n"/>
      <c r="J466" s="501" t="n"/>
    </row>
    <row r="467" ht="15" customFormat="1" customHeight="1" s="278">
      <c r="A467" s="109" t="n"/>
      <c r="B467" s="278" t="n"/>
      <c r="C467" s="278" t="n"/>
      <c r="D467" s="161" t="n"/>
      <c r="E467" s="109" t="n"/>
      <c r="F467" s="109" t="n"/>
      <c r="G467" s="109" t="n"/>
      <c r="H467" s="109" t="n"/>
      <c r="I467" s="501" t="n"/>
      <c r="J467" s="501" t="n"/>
    </row>
    <row r="468" ht="15" customFormat="1" customHeight="1" s="278">
      <c r="A468" s="109" t="n"/>
      <c r="B468" s="278" t="n"/>
      <c r="C468" s="278" t="n"/>
      <c r="D468" s="161" t="n"/>
      <c r="E468" s="109" t="n"/>
      <c r="F468" s="109" t="n"/>
      <c r="G468" s="109" t="n"/>
      <c r="H468" s="109" t="n"/>
      <c r="I468" s="501" t="n"/>
      <c r="J468" s="501" t="n"/>
    </row>
    <row r="469" ht="15" customFormat="1" customHeight="1" s="278">
      <c r="A469" s="109" t="n"/>
      <c r="B469" s="278" t="n"/>
      <c r="C469" s="278" t="n"/>
      <c r="D469" s="161" t="n"/>
      <c r="E469" s="109" t="n"/>
      <c r="F469" s="109" t="n"/>
      <c r="G469" s="109" t="n"/>
      <c r="H469" s="109" t="n"/>
      <c r="I469" s="501" t="n"/>
      <c r="J469" s="501" t="n"/>
    </row>
    <row r="470" ht="15" customFormat="1" customHeight="1" s="278">
      <c r="A470" s="109" t="n"/>
      <c r="B470" s="278" t="n"/>
      <c r="C470" s="278" t="n"/>
      <c r="D470" s="161" t="n"/>
      <c r="E470" s="109" t="n"/>
      <c r="F470" s="109" t="n"/>
      <c r="G470" s="109" t="n"/>
      <c r="H470" s="109" t="n"/>
      <c r="I470" s="501" t="n"/>
      <c r="J470" s="501" t="n"/>
    </row>
    <row r="471" ht="15" customFormat="1" customHeight="1" s="278">
      <c r="A471" s="109" t="n"/>
      <c r="B471" s="278" t="n"/>
      <c r="C471" s="278" t="n"/>
      <c r="D471" s="161" t="n"/>
      <c r="E471" s="109" t="n"/>
      <c r="F471" s="109" t="n"/>
      <c r="G471" s="109" t="n"/>
      <c r="H471" s="109" t="n"/>
      <c r="I471" s="501" t="n"/>
      <c r="J471" s="501" t="n"/>
    </row>
    <row r="472" ht="15" customFormat="1" customHeight="1" s="278">
      <c r="A472" s="109" t="n"/>
      <c r="B472" s="278" t="n"/>
      <c r="C472" s="278" t="n"/>
      <c r="D472" s="161" t="n"/>
      <c r="E472" s="109" t="n"/>
      <c r="F472" s="109" t="n"/>
      <c r="G472" s="109" t="n"/>
      <c r="H472" s="109" t="n"/>
      <c r="I472" s="501" t="n"/>
      <c r="J472" s="501" t="n"/>
    </row>
    <row r="473" ht="15" customFormat="1" customHeight="1" s="278">
      <c r="A473" s="109" t="n"/>
      <c r="B473" s="278" t="n"/>
      <c r="C473" s="278" t="n"/>
      <c r="D473" s="161" t="n"/>
      <c r="E473" s="109" t="n"/>
      <c r="F473" s="109" t="n"/>
      <c r="G473" s="109" t="n"/>
      <c r="H473" s="109" t="n"/>
      <c r="I473" s="501" t="n"/>
      <c r="J473" s="501" t="n"/>
    </row>
    <row r="474" ht="15" customFormat="1" customHeight="1" s="278">
      <c r="A474" s="109" t="n"/>
      <c r="B474" s="278" t="n"/>
      <c r="C474" s="278" t="n"/>
      <c r="D474" s="161" t="n"/>
      <c r="E474" s="109" t="n"/>
      <c r="F474" s="109" t="n"/>
      <c r="G474" s="109" t="n"/>
      <c r="H474" s="109" t="n"/>
      <c r="I474" s="501" t="n"/>
      <c r="J474" s="501" t="n"/>
    </row>
    <row r="475" ht="15" customFormat="1" customHeight="1" s="278">
      <c r="A475" s="109" t="n"/>
      <c r="B475" s="278" t="n"/>
      <c r="C475" s="278" t="n"/>
      <c r="D475" s="161" t="n"/>
      <c r="E475" s="109" t="n"/>
      <c r="F475" s="109" t="n"/>
      <c r="G475" s="109" t="n"/>
      <c r="H475" s="109" t="n"/>
      <c r="I475" s="501" t="n"/>
      <c r="J475" s="501" t="n"/>
    </row>
    <row r="476" ht="15.9" customFormat="1" customHeight="1" s="23">
      <c r="A476" s="109" t="n"/>
      <c r="B476" s="278" t="n"/>
      <c r="C476" s="278" t="n"/>
      <c r="D476" s="161" t="n"/>
      <c r="E476" s="109" t="n"/>
      <c r="F476" s="109" t="n"/>
      <c r="G476" s="109" t="n"/>
      <c r="H476" s="109" t="n"/>
      <c r="I476" s="109" t="n"/>
      <c r="J476" s="109" t="n"/>
    </row>
    <row r="477" ht="15.9" customFormat="1" customHeight="1" s="278">
      <c r="A477" s="44" t="n"/>
      <c r="B477" s="278" t="n"/>
      <c r="C477" s="278" t="n"/>
      <c r="D477" s="161" t="n"/>
      <c r="E477" s="109" t="n"/>
      <c r="F477" s="109" t="n"/>
      <c r="G477" s="109" t="n"/>
      <c r="H477" s="109" t="n"/>
      <c r="I477" s="44" t="n"/>
      <c r="J477" s="119" t="n"/>
    </row>
    <row r="478" ht="15.9" customFormat="1" customHeight="1" s="278">
      <c r="A478" s="40" t="n"/>
      <c r="B478" s="44" t="n"/>
      <c r="C478" s="44" t="n"/>
      <c r="D478" s="84" t="n"/>
      <c r="E478" s="44" t="n"/>
      <c r="F478" s="44" t="n"/>
      <c r="G478" s="44" t="n"/>
      <c r="H478" s="44" t="n"/>
      <c r="I478" s="32" t="n"/>
      <c r="J478" s="40" t="n"/>
    </row>
    <row r="479" ht="15.9" customFormat="1" customHeight="1" s="278">
      <c r="A479" s="27" t="n"/>
      <c r="B479" s="40" t="n"/>
      <c r="C479" s="44" t="n"/>
      <c r="D479" s="85" t="n"/>
      <c r="E479" s="40" t="n"/>
      <c r="F479" s="32" t="n"/>
      <c r="G479" s="40" t="n"/>
      <c r="H479" s="32" t="n"/>
      <c r="I479" s="501" t="n"/>
      <c r="J479" s="501" t="n"/>
    </row>
    <row r="480" ht="15.9" customFormat="1" customHeight="1" s="278">
      <c r="A480" s="27" t="n"/>
      <c r="B480" s="278" t="n"/>
      <c r="C480" s="93" t="n"/>
      <c r="D480" s="161" t="n"/>
      <c r="E480" s="109" t="n"/>
      <c r="F480" s="109" t="n"/>
      <c r="G480" s="109" t="n"/>
      <c r="H480" s="93" t="n"/>
      <c r="I480" s="287" t="n"/>
      <c r="J480" s="302" t="n"/>
    </row>
    <row r="481" ht="15.9" customFormat="1" customHeight="1" s="278">
      <c r="A481" s="27" t="n"/>
      <c r="B481" s="278" t="n"/>
      <c r="C481" s="163" t="n"/>
      <c r="D481" s="161" t="n"/>
      <c r="E481" s="109" t="n"/>
      <c r="F481" s="109" t="n"/>
      <c r="G481" s="109" t="n"/>
      <c r="H481" s="287" t="n"/>
      <c r="I481" s="278" t="n"/>
      <c r="J481" s="109" t="n"/>
    </row>
    <row r="482" ht="15.9" customFormat="1" customHeight="1" s="278">
      <c r="A482" s="27" t="n"/>
      <c r="B482" s="278" t="n"/>
      <c r="C482" s="161" t="n"/>
      <c r="D482" s="161" t="n"/>
      <c r="E482" s="109" t="n"/>
      <c r="F482" s="109" t="n"/>
      <c r="G482" s="109" t="n"/>
      <c r="H482" s="278" t="n"/>
      <c r="I482" s="501" t="n"/>
      <c r="J482" s="501" t="n"/>
    </row>
    <row r="483" ht="15.9" customFormat="1" customHeight="1" s="278">
      <c r="A483" s="27" t="n"/>
      <c r="B483" s="278" t="n"/>
      <c r="C483" s="278" t="n"/>
      <c r="D483" s="161" t="n"/>
      <c r="E483" s="109" t="n"/>
      <c r="F483" s="109" t="n"/>
      <c r="G483" s="109" t="n"/>
      <c r="H483" s="109" t="n"/>
      <c r="I483" s="501" t="n"/>
      <c r="J483" s="501" t="n"/>
    </row>
    <row r="484" ht="15.9" customFormat="1" customHeight="1" s="278">
      <c r="A484" s="27" t="n"/>
      <c r="B484" s="278" t="n"/>
      <c r="C484" s="278" t="n"/>
      <c r="D484" s="161" t="n"/>
      <c r="E484" s="109" t="n"/>
      <c r="F484" s="109" t="n"/>
      <c r="G484" s="109" t="n"/>
      <c r="H484" s="109" t="n"/>
      <c r="I484" s="501" t="n"/>
      <c r="J484" s="501" t="n"/>
    </row>
    <row r="485" ht="15.9" customFormat="1" customHeight="1" s="278">
      <c r="A485" s="27" t="n"/>
      <c r="B485" s="278" t="n"/>
      <c r="C485" s="287" t="n"/>
      <c r="D485" s="161" t="n"/>
      <c r="E485" s="109" t="n"/>
      <c r="F485" s="109" t="n"/>
      <c r="G485" s="109" t="n"/>
      <c r="H485" s="109" t="n"/>
      <c r="I485" s="501" t="n"/>
      <c r="J485" s="501" t="n"/>
    </row>
    <row r="486" ht="15.9" customFormat="1" customHeight="1" s="278">
      <c r="A486" s="27" t="n"/>
      <c r="B486" s="278" t="n"/>
      <c r="C486" s="161" t="n"/>
      <c r="D486" s="161" t="n"/>
      <c r="E486" s="109" t="n"/>
      <c r="F486" s="109" t="n"/>
      <c r="G486" s="109" t="n"/>
      <c r="H486" s="109" t="n"/>
      <c r="I486" s="501" t="n"/>
      <c r="J486" s="501" t="n"/>
    </row>
    <row r="487" ht="15.9" customFormat="1" customHeight="1" s="278">
      <c r="A487" s="27" t="n"/>
      <c r="B487" s="278" t="n"/>
      <c r="C487" s="278" t="n"/>
      <c r="D487" s="161" t="n"/>
      <c r="E487" s="109" t="n"/>
      <c r="F487" s="109" t="n"/>
      <c r="G487" s="109" t="n"/>
      <c r="H487" s="109" t="n"/>
      <c r="I487" s="501" t="n"/>
      <c r="J487" s="501" t="n"/>
    </row>
    <row r="488" ht="15.9" customFormat="1" customHeight="1" s="278">
      <c r="A488" s="27" t="n"/>
      <c r="B488" s="278" t="n"/>
      <c r="C488" s="278" t="n"/>
      <c r="D488" s="161" t="n"/>
      <c r="E488" s="109" t="n"/>
      <c r="F488" s="109" t="n"/>
      <c r="G488" s="109" t="n"/>
      <c r="H488" s="109" t="n"/>
      <c r="I488" s="501" t="n"/>
      <c r="J488" s="501" t="n"/>
    </row>
    <row r="489" ht="15.9" customFormat="1" customHeight="1" s="278">
      <c r="A489" s="27" t="n"/>
      <c r="B489" s="278" t="n"/>
      <c r="C489" s="278" t="n"/>
      <c r="D489" s="161" t="n"/>
      <c r="E489" s="109" t="n"/>
      <c r="F489" s="109" t="n"/>
      <c r="G489" s="109" t="n"/>
      <c r="H489" s="109" t="n"/>
      <c r="I489" s="501" t="n"/>
      <c r="J489" s="501" t="n"/>
    </row>
    <row r="490" ht="15.9" customFormat="1" customHeight="1" s="278">
      <c r="A490" s="27" t="n"/>
      <c r="B490" s="278" t="n"/>
      <c r="C490" s="278" t="n"/>
      <c r="D490" s="161" t="n"/>
      <c r="E490" s="109" t="n"/>
      <c r="F490" s="109" t="n"/>
      <c r="G490" s="109" t="n"/>
      <c r="H490" s="109" t="n"/>
      <c r="I490" s="501" t="n"/>
      <c r="J490" s="501" t="n"/>
    </row>
    <row r="491" ht="15.9" customFormat="1" customHeight="1" s="278">
      <c r="A491" s="27" t="n"/>
      <c r="C491" s="278" t="n"/>
      <c r="D491" s="161" t="n"/>
      <c r="E491" s="109" t="n"/>
      <c r="F491" s="109" t="n"/>
      <c r="G491" s="109" t="n"/>
      <c r="H491" s="109" t="n"/>
      <c r="I491" s="501" t="n"/>
      <c r="J491" s="501" t="n"/>
    </row>
    <row r="492" ht="15.9" customFormat="1" customHeight="1" s="278">
      <c r="A492" s="27" t="n"/>
      <c r="B492" s="278" t="n"/>
      <c r="C492" s="278" t="n"/>
      <c r="D492" s="161" t="n"/>
      <c r="E492" s="109" t="n"/>
      <c r="F492" s="109" t="n"/>
      <c r="G492" s="109" t="n"/>
      <c r="H492" s="109" t="n"/>
      <c r="I492" s="501" t="n"/>
      <c r="J492" s="501" t="n"/>
    </row>
    <row r="493" ht="15.9" customFormat="1" customHeight="1" s="278">
      <c r="A493" s="27" t="n"/>
      <c r="B493" s="278" t="n"/>
      <c r="C493" s="278" t="n"/>
      <c r="D493" s="161" t="n"/>
      <c r="E493" s="109" t="n"/>
      <c r="F493" s="109" t="n"/>
      <c r="G493" s="109" t="n"/>
      <c r="H493" s="109" t="n"/>
      <c r="I493" s="501" t="n"/>
      <c r="J493" s="501" t="n"/>
    </row>
    <row r="494" ht="15.9" customFormat="1" customHeight="1" s="278">
      <c r="A494" s="27" t="n"/>
      <c r="D494" s="161" t="n"/>
      <c r="E494" s="109" t="n"/>
      <c r="F494" s="109" t="n"/>
      <c r="G494" s="278" t="n"/>
      <c r="H494" s="278" t="n"/>
      <c r="I494" s="501" t="n"/>
      <c r="J494" s="501" t="n"/>
    </row>
    <row r="495" ht="15.9" customFormat="1" customHeight="1" s="278">
      <c r="A495" s="27" t="n"/>
      <c r="B495" s="278" t="n"/>
      <c r="C495" s="278" t="n"/>
      <c r="D495" s="161" t="n"/>
      <c r="E495" s="109" t="n"/>
      <c r="F495" s="109" t="n"/>
      <c r="G495" s="109" t="n"/>
      <c r="H495" s="109" t="n"/>
      <c r="I495" s="501" t="n"/>
      <c r="J495" s="501" t="n"/>
    </row>
    <row r="496" ht="15.9" customFormat="1" customHeight="1" s="278">
      <c r="A496" s="27" t="n"/>
      <c r="B496" s="278" t="n"/>
      <c r="C496" s="278" t="n"/>
      <c r="D496" s="161" t="n"/>
      <c r="E496" s="109" t="n"/>
      <c r="F496" s="109" t="n"/>
      <c r="G496" s="109" t="n"/>
      <c r="H496" s="109" t="n"/>
      <c r="I496" s="501" t="n"/>
      <c r="J496" s="501" t="n"/>
    </row>
    <row r="497" ht="15.9" customFormat="1" customHeight="1" s="278">
      <c r="A497" s="27" t="n"/>
      <c r="B497" s="278" t="n"/>
      <c r="C497" s="278" t="n"/>
      <c r="D497" s="161" t="n"/>
      <c r="E497" s="109" t="n"/>
      <c r="F497" s="109" t="n"/>
      <c r="G497" s="109" t="n"/>
      <c r="H497" s="109" t="n"/>
      <c r="I497" s="501" t="n"/>
      <c r="J497" s="501" t="n"/>
    </row>
    <row r="498" ht="15.9" customFormat="1" customHeight="1" s="278">
      <c r="A498" s="27" t="n"/>
      <c r="B498" s="278" t="n"/>
      <c r="C498" s="278" t="n"/>
      <c r="D498" s="161" t="n"/>
      <c r="E498" s="109" t="n"/>
      <c r="F498" s="109" t="n"/>
      <c r="G498" s="109" t="n"/>
      <c r="H498" s="93" t="n"/>
      <c r="I498" s="287" t="n"/>
      <c r="J498" s="302" t="n"/>
    </row>
    <row r="499" ht="15.9" customFormat="1" customHeight="1" s="278">
      <c r="A499" s="27" t="n"/>
      <c r="B499" s="278" t="n"/>
      <c r="C499" s="63" t="n"/>
      <c r="D499" s="161" t="n"/>
      <c r="E499" s="109" t="n"/>
      <c r="F499" s="109" t="n"/>
      <c r="G499" s="109" t="n"/>
      <c r="H499" s="287" t="n"/>
      <c r="I499" s="278" t="n"/>
      <c r="J499" s="109" t="n"/>
    </row>
    <row r="500" ht="15.9" customFormat="1" customHeight="1" s="278">
      <c r="A500" s="27" t="n"/>
      <c r="B500" s="278" t="n"/>
      <c r="C500" s="287" t="n"/>
      <c r="D500" s="161" t="n"/>
      <c r="E500" s="109" t="n"/>
      <c r="F500" s="109" t="n"/>
      <c r="G500" s="109" t="n"/>
      <c r="H500" s="278" t="n"/>
      <c r="I500" s="501" t="n"/>
      <c r="J500" s="501" t="n"/>
    </row>
    <row r="501" ht="15.9" customFormat="1" customHeight="1" s="278">
      <c r="A501" s="27" t="n"/>
      <c r="B501" s="278" t="n"/>
      <c r="C501" s="161" t="n"/>
      <c r="D501" s="161" t="n"/>
      <c r="E501" s="109" t="n"/>
      <c r="F501" s="109" t="n"/>
      <c r="G501" s="109" t="n"/>
      <c r="H501" s="93" t="n"/>
      <c r="I501" s="287" t="n"/>
      <c r="J501" s="302" t="n"/>
    </row>
    <row r="502" ht="15.9" customFormat="1" customHeight="1" s="278">
      <c r="A502" s="27" t="n"/>
      <c r="B502" s="278" t="n"/>
      <c r="C502" s="278" t="n"/>
      <c r="D502" s="161" t="n"/>
      <c r="E502" s="109" t="n"/>
      <c r="F502" s="109" t="n"/>
      <c r="G502" s="109" t="n"/>
      <c r="H502" s="287" t="n"/>
      <c r="I502" s="278" t="n"/>
      <c r="J502" s="109" t="n"/>
    </row>
    <row r="503" ht="15.9" customFormat="1" customHeight="1" s="278">
      <c r="A503" s="27" t="n"/>
      <c r="B503" s="278" t="n"/>
      <c r="C503" s="278" t="n"/>
      <c r="D503" s="161" t="n"/>
      <c r="E503" s="109" t="n"/>
      <c r="F503" s="109" t="n"/>
      <c r="G503" s="109" t="n"/>
      <c r="H503" s="278" t="n"/>
      <c r="I503" s="501" t="n"/>
      <c r="J503" s="501" t="n"/>
    </row>
    <row r="504" ht="15.9" customFormat="1" customHeight="1" s="278">
      <c r="A504" s="27" t="n"/>
      <c r="B504" s="278" t="n"/>
      <c r="C504" s="278" t="n"/>
      <c r="D504" s="161" t="n"/>
      <c r="E504" s="109" t="n"/>
      <c r="F504" s="109" t="n"/>
      <c r="G504" s="109" t="n"/>
      <c r="H504" s="109" t="n"/>
      <c r="I504" s="501" t="n"/>
      <c r="J504" s="501" t="n"/>
    </row>
    <row r="505" ht="15.9" customFormat="1" customHeight="1" s="278">
      <c r="A505" s="27" t="n"/>
      <c r="B505" s="278" t="n"/>
      <c r="C505" s="278" t="n"/>
      <c r="D505" s="161" t="n"/>
      <c r="E505" s="109" t="n"/>
      <c r="F505" s="109" t="n"/>
      <c r="G505" s="109" t="n"/>
      <c r="H505" s="109" t="n"/>
      <c r="I505" s="501" t="n"/>
      <c r="J505" s="501" t="n"/>
    </row>
    <row r="506" ht="15.9" customFormat="1" customHeight="1" s="278">
      <c r="A506" s="27" t="n"/>
      <c r="B506" s="278" t="n"/>
      <c r="C506" s="278" t="n"/>
      <c r="D506" s="161" t="n"/>
      <c r="E506" s="109" t="n"/>
      <c r="F506" s="109" t="n"/>
      <c r="G506" s="109" t="n"/>
      <c r="H506" s="109" t="n"/>
      <c r="I506" s="109" t="n"/>
      <c r="J506" s="501" t="n"/>
    </row>
    <row r="507" ht="15.9" customFormat="1" customHeight="1" s="278">
      <c r="A507" s="27" t="n"/>
      <c r="B507" s="278" t="n"/>
      <c r="C507" s="278" t="n"/>
      <c r="D507" s="161" t="n"/>
      <c r="E507" s="109" t="n"/>
      <c r="F507" s="109" t="n"/>
      <c r="G507" s="109" t="n"/>
      <c r="H507" s="109" t="n"/>
      <c r="I507" s="109" t="n"/>
      <c r="J507" s="501" t="n"/>
    </row>
    <row r="508" ht="15.9" customFormat="1" customHeight="1" s="278">
      <c r="A508" s="27" t="n"/>
      <c r="B508" s="278" t="n"/>
      <c r="C508" s="278" t="n"/>
      <c r="D508" s="161" t="n"/>
      <c r="E508" s="109" t="n"/>
      <c r="F508" s="109" t="n"/>
      <c r="G508" s="109" t="n"/>
      <c r="H508" s="109" t="n"/>
      <c r="I508" s="109" t="n"/>
      <c r="J508" s="501" t="n"/>
    </row>
    <row r="509" ht="15.9" customFormat="1" customHeight="1" s="278">
      <c r="A509" s="27" t="n"/>
      <c r="B509" s="278" t="n"/>
      <c r="C509" s="278" t="n"/>
      <c r="D509" s="161" t="n"/>
      <c r="E509" s="109" t="n"/>
      <c r="F509" s="109" t="n"/>
      <c r="G509" s="109" t="n"/>
      <c r="H509" s="109" t="n"/>
      <c r="I509" s="109" t="n"/>
      <c r="J509" s="501" t="n"/>
    </row>
    <row r="510" ht="15.9" customFormat="1" customHeight="1" s="278">
      <c r="A510" s="27" t="n"/>
      <c r="B510" s="278" t="n"/>
      <c r="C510" s="278" t="n"/>
      <c r="D510" s="161" t="n"/>
      <c r="E510" s="109" t="n"/>
      <c r="F510" s="109" t="n"/>
      <c r="G510" s="109" t="n"/>
      <c r="H510" s="109" t="n"/>
      <c r="I510" s="109" t="n"/>
      <c r="J510" s="501" t="n"/>
    </row>
    <row r="511" ht="15.9" customFormat="1" customHeight="1" s="278">
      <c r="A511" s="27" t="n"/>
      <c r="B511" s="278" t="n"/>
      <c r="C511" s="278" t="n"/>
      <c r="D511" s="161" t="n"/>
      <c r="E511" s="109" t="n"/>
      <c r="F511" s="109" t="n"/>
      <c r="G511" s="109" t="n"/>
      <c r="H511" s="109" t="n"/>
      <c r="I511" s="109" t="n"/>
      <c r="J511" s="501" t="n"/>
    </row>
    <row r="512" ht="15.9" customFormat="1" customHeight="1" s="278">
      <c r="A512" s="44" t="n"/>
      <c r="B512" s="278" t="n"/>
      <c r="C512" s="278" t="n"/>
      <c r="D512" s="161" t="n"/>
      <c r="E512" s="109" t="n"/>
      <c r="F512" s="109" t="n"/>
      <c r="G512" s="109" t="n"/>
      <c r="H512" s="287" t="n"/>
      <c r="I512" s="44" t="n"/>
      <c r="J512" s="119" t="n"/>
    </row>
    <row r="513" ht="15.9" customFormat="1" customHeight="1" s="278">
      <c r="A513" s="44" t="n"/>
      <c r="B513" s="278" t="n"/>
      <c r="C513" s="278" t="n"/>
      <c r="D513" s="161" t="n"/>
      <c r="E513" s="109" t="n"/>
      <c r="F513" s="109" t="n"/>
      <c r="G513" s="109" t="n"/>
      <c r="H513" s="287" t="n"/>
      <c r="I513" s="44" t="n"/>
      <c r="J513" s="119" t="n"/>
    </row>
    <row r="514" ht="15.9" customFormat="1" customHeight="1" s="278">
      <c r="A514" s="44" t="n"/>
      <c r="B514" s="278" t="n"/>
      <c r="C514" s="278" t="n"/>
      <c r="D514" s="161" t="n"/>
      <c r="E514" s="109" t="n"/>
      <c r="F514" s="109" t="n"/>
      <c r="G514" s="109" t="n"/>
      <c r="H514" s="287" t="n"/>
      <c r="I514" s="44" t="n"/>
      <c r="J514" s="119" t="n"/>
    </row>
    <row r="515" ht="15.9" customFormat="1" customHeight="1" s="278">
      <c r="B515" s="44" t="n"/>
      <c r="C515" s="44" t="n"/>
      <c r="D515" s="84" t="n"/>
      <c r="E515" s="44" t="n"/>
      <c r="F515" s="44" t="n"/>
      <c r="G515" s="44" t="n"/>
      <c r="H515" s="44" t="n"/>
    </row>
    <row r="516" ht="15.9" customFormat="1" customHeight="1" s="278" thickBot="1"/>
    <row r="517" ht="24.9" customFormat="1" customHeight="1" s="278" thickBot="1">
      <c r="A517" s="633" t="inlineStr">
        <is>
          <t>GLASS</t>
        </is>
      </c>
      <c r="B517" s="634" t="n"/>
      <c r="C517" s="634" t="n"/>
      <c r="D517" s="634" t="n"/>
      <c r="E517" s="634" t="n"/>
      <c r="F517" s="634" t="n"/>
      <c r="G517" s="634" t="n"/>
      <c r="H517" s="634" t="n"/>
      <c r="I517" s="634" t="n"/>
      <c r="J517" s="635" t="n"/>
    </row>
    <row r="518" ht="35.1" customFormat="1" customHeight="1" s="278" thickBot="1">
      <c r="A518" s="146" t="inlineStr">
        <is>
          <t>ITEM</t>
        </is>
      </c>
      <c r="B518" s="147" t="inlineStr">
        <is>
          <t>DESCRIPTION</t>
        </is>
      </c>
      <c r="C518" s="103" t="inlineStr">
        <is>
          <t>DESCRIPTION</t>
        </is>
      </c>
      <c r="D518" s="104" t="inlineStr">
        <is>
          <t>HEIGHT</t>
        </is>
      </c>
      <c r="E518" s="103" t="inlineStr">
        <is>
          <t>KG/m</t>
        </is>
      </c>
      <c r="F518" s="579" t="inlineStr">
        <is>
          <t>FORMULA</t>
        </is>
      </c>
      <c r="G518" s="305" t="n"/>
      <c r="H518" s="104" t="inlineStr">
        <is>
          <t>FORMULA</t>
        </is>
      </c>
      <c r="I518" s="104" t="inlineStr">
        <is>
          <t>WIDTH</t>
        </is>
      </c>
      <c r="J518" s="115" t="inlineStr">
        <is>
          <t>QTY</t>
        </is>
      </c>
      <c r="N518" s="249" t="inlineStr">
        <is>
          <t>DESCRIPTION</t>
        </is>
      </c>
      <c r="O518" s="249" t="inlineStr">
        <is>
          <t>DESCRIPTION</t>
        </is>
      </c>
    </row>
    <row r="519" ht="15.9" customFormat="1" customHeight="1" s="278">
      <c r="A519" s="150">
        <f>IF(C519="","",1)</f>
        <v/>
      </c>
      <c r="B519" s="138">
        <f>IF($D$127=5,N519,IF($D$127=6,N520,IF($D$127=8,N521,IF($D$127=10,N522,IF($D$127=12,N523,IF($D$127=14,N524,IF($D$127=18,N525,IF($D$127=20,N526,IF($D$127=22,N527,)))))))))</f>
        <v/>
      </c>
      <c r="C519" s="138">
        <f>IF($D$127=5,O519,IF($D$127=6,O520,IF($D$127=8,O521,IF($D$127=10,O522,IF($D$127=12,O523,IF($D$127=14,O524,IF($D$127=18,O525,IF($D$127=20,O526,IF($D$127=22,O527,)))))))))</f>
        <v/>
      </c>
      <c r="D519" s="124">
        <f>$J$123-215</f>
        <v/>
      </c>
      <c r="E519" s="186" t="inlineStr">
        <is>
          <t>-</t>
        </is>
      </c>
      <c r="F519" s="658" t="inlineStr">
        <is>
          <t>Height - 215</t>
        </is>
      </c>
      <c r="G519" s="659" t="n"/>
      <c r="H519" s="186" t="inlineStr">
        <is>
          <t>((W-185-(113.25 × 14)/15)-13</t>
        </is>
      </c>
      <c r="I519" s="124">
        <f>(($J$126-185-(113.25*14))/15)-13</f>
        <v/>
      </c>
      <c r="J519" s="299">
        <f>$J$120*15</f>
        <v/>
      </c>
      <c r="N519" s="415" t="inlineStr">
        <is>
          <t>กระจก 5 mm (สูง) (กว้าง)</t>
        </is>
      </c>
      <c r="O519" s="415" t="inlineStr">
        <is>
          <t>GLASS thk.5 mm (H) (W)</t>
        </is>
      </c>
    </row>
    <row r="520" ht="15.9" customFormat="1" customHeight="1" s="278">
      <c r="A520" s="152" t="n"/>
      <c r="B520" s="140" t="n"/>
      <c r="C520" s="140" t="n"/>
      <c r="D520" s="139" t="inlineStr">
        <is>
          <t xml:space="preserve"> </t>
        </is>
      </c>
      <c r="E520" s="143" t="n"/>
      <c r="F520" s="155" t="n"/>
      <c r="G520" s="156" t="n"/>
      <c r="H520" s="140" t="n"/>
      <c r="I520" s="130" t="n"/>
      <c r="J520" s="153" t="n"/>
      <c r="N520" s="415" t="inlineStr">
        <is>
          <t>กระจก 6 mm (สูง) (กว้าง)</t>
        </is>
      </c>
      <c r="O520" s="415" t="inlineStr">
        <is>
          <t>GLASS thk.6 mm (H) (W)</t>
        </is>
      </c>
    </row>
    <row r="521" ht="15.9" customFormat="1" customHeight="1" s="278">
      <c r="A521" s="152" t="n"/>
      <c r="B521" s="140" t="n"/>
      <c r="C521" s="140" t="n"/>
      <c r="D521" s="139" t="n"/>
      <c r="E521" s="143" t="n"/>
      <c r="F521" s="155" t="n"/>
      <c r="G521" s="156" t="n"/>
      <c r="H521" s="143" t="n"/>
      <c r="I521" s="130" t="n"/>
      <c r="J521" s="153" t="n"/>
      <c r="N521" s="415" t="inlineStr">
        <is>
          <t>กระจก 8 mm (สูง) (กว้าง)</t>
        </is>
      </c>
      <c r="O521" s="415" t="inlineStr">
        <is>
          <t>GLASS thk.8 mm (H) (W)</t>
        </is>
      </c>
    </row>
    <row r="522" ht="15.9" customFormat="1" customHeight="1" s="278">
      <c r="A522" s="143">
        <f>IF(B522="","",+A520+1)</f>
        <v/>
      </c>
      <c r="B522" s="140" t="n"/>
      <c r="C522" s="140" t="n"/>
      <c r="D522" s="139" t="n"/>
      <c r="E522" s="143" t="n"/>
      <c r="F522" s="155" t="n"/>
      <c r="G522" s="572" t="n"/>
      <c r="H522" s="143" t="n"/>
      <c r="I522" s="144" t="n"/>
      <c r="J522" s="130" t="n"/>
      <c r="N522" s="415" t="inlineStr">
        <is>
          <t>กระจก 10 mm (สูง) (กว้าง)</t>
        </is>
      </c>
      <c r="O522" s="415" t="inlineStr">
        <is>
          <t>GLASS thk.10 mm (H) (W)</t>
        </is>
      </c>
    </row>
    <row r="523" ht="15.9" customFormat="1" customHeight="1" s="278">
      <c r="A523" s="240">
        <f>IF(B523="","",+A522+1)</f>
        <v/>
      </c>
      <c r="B523" s="142" t="n"/>
      <c r="C523" s="142" t="n"/>
      <c r="D523" s="141" t="n"/>
      <c r="E523" s="240" t="n"/>
      <c r="F523" s="158" t="n"/>
      <c r="G523" s="159" t="n"/>
      <c r="H523" s="240" t="n"/>
      <c r="I523" s="145" t="n"/>
      <c r="J523" s="136" t="n"/>
      <c r="N523" s="415" t="inlineStr">
        <is>
          <t>กระจก 12 mm (สูง) (กว้าง)</t>
        </is>
      </c>
      <c r="O523" s="415" t="inlineStr">
        <is>
          <t>GLASS thk.12 mm (H) (W)</t>
        </is>
      </c>
    </row>
    <row r="524" ht="15.9" customFormat="1" customHeight="1" s="278">
      <c r="A524" s="109" t="n"/>
      <c r="B524" s="278" t="n"/>
      <c r="C524" s="278" t="n"/>
      <c r="D524" s="161" t="n"/>
      <c r="E524" s="109" t="n"/>
      <c r="F524" s="109" t="n"/>
      <c r="G524" s="109" t="n"/>
      <c r="H524" s="109" t="n"/>
      <c r="I524" s="109" t="n"/>
      <c r="J524" s="501" t="n"/>
      <c r="N524" s="415" t="inlineStr">
        <is>
          <t>กระจก 14 mm (สูง) (กว้าง)</t>
        </is>
      </c>
      <c r="O524" s="415" t="inlineStr">
        <is>
          <t>GLASS thk.14 mm (H) (W)</t>
        </is>
      </c>
    </row>
    <row r="525">
      <c r="J525" s="99">
        <f>LEFT($J$111,14)&amp;"-05"</f>
        <v/>
      </c>
      <c r="M525" s="278" t="n"/>
      <c r="N525" s="415" t="inlineStr">
        <is>
          <t>กระจก 18 mm (สูง) (กว้าง)</t>
        </is>
      </c>
      <c r="O525" s="415" t="inlineStr">
        <is>
          <t>GLASS thk.18 mm (H) (W)</t>
        </is>
      </c>
      <c r="P525" s="278" t="n"/>
      <c r="Q525" s="278" t="n"/>
      <c r="R525" s="278" t="n"/>
      <c r="S525" s="278" t="n"/>
      <c r="T525" s="278" t="n"/>
      <c r="U525" s="278" t="n"/>
      <c r="V525" s="278" t="n"/>
    </row>
    <row r="526">
      <c r="M526" s="278" t="n"/>
      <c r="N526" s="415" t="inlineStr">
        <is>
          <t>กระจก 20 mm (สูง) (กว้าง)</t>
        </is>
      </c>
      <c r="O526" s="415" t="inlineStr">
        <is>
          <t>GLASS thk.20 mm (H) (W)</t>
        </is>
      </c>
      <c r="P526" s="278" t="n"/>
      <c r="Q526" s="278" t="n"/>
      <c r="R526" s="278" t="n"/>
      <c r="S526" s="278" t="n"/>
      <c r="T526" s="278" t="n"/>
      <c r="U526" s="278" t="n"/>
      <c r="V526" s="278" t="n"/>
    </row>
    <row r="527">
      <c r="M527" s="278" t="n"/>
      <c r="N527" s="415" t="inlineStr">
        <is>
          <t>กระจก 22 mm (สูง) (กว้าง)</t>
        </is>
      </c>
      <c r="O527" s="415" t="inlineStr">
        <is>
          <t>GLASS thk.22 mm (H) (W)</t>
        </is>
      </c>
      <c r="P527" s="278" t="n"/>
      <c r="Q527" s="278" t="n"/>
      <c r="R527" s="278" t="n"/>
      <c r="S527" s="278" t="n"/>
      <c r="T527" s="278" t="n"/>
      <c r="U527" s="278" t="n"/>
      <c r="V527" s="278" t="n"/>
    </row>
    <row r="528">
      <c r="M528" s="278" t="n"/>
      <c r="N528" s="278" t="n"/>
      <c r="O528" s="278" t="n"/>
      <c r="P528" s="278" t="n"/>
      <c r="Q528" s="278" t="n"/>
      <c r="R528" s="278" t="n"/>
      <c r="S528" s="278" t="n"/>
      <c r="T528" s="278" t="n"/>
      <c r="U528" s="278" t="n"/>
      <c r="V528" s="278" t="n"/>
    </row>
    <row r="529">
      <c r="M529" s="278" t="n"/>
      <c r="N529" s="278" t="n"/>
      <c r="O529" s="278" t="n"/>
      <c r="P529" s="278" t="n"/>
      <c r="Q529" s="278" t="n"/>
      <c r="R529" s="278" t="n"/>
      <c r="S529" s="278" t="n"/>
      <c r="T529" s="278" t="n"/>
      <c r="U529" s="278" t="n"/>
      <c r="V529" s="278" t="n"/>
    </row>
  </sheetData>
  <mergeCells count="47">
    <mergeCell ref="I160:J163"/>
    <mergeCell ref="D127:G127"/>
    <mergeCell ref="A131:J131"/>
    <mergeCell ref="D121:G121"/>
    <mergeCell ref="I154:J154"/>
    <mergeCell ref="A171:J171"/>
    <mergeCell ref="H161:H166"/>
    <mergeCell ref="H167:H168"/>
    <mergeCell ref="D129:G129"/>
    <mergeCell ref="F329:G329"/>
    <mergeCell ref="I157:J158"/>
    <mergeCell ref="D123:G123"/>
    <mergeCell ref="A117:J117"/>
    <mergeCell ref="J123:J124"/>
    <mergeCell ref="I156:J156"/>
    <mergeCell ref="H157:H158"/>
    <mergeCell ref="H159:H160"/>
    <mergeCell ref="H169:H170"/>
    <mergeCell ref="H120:I121"/>
    <mergeCell ref="I159:J159"/>
    <mergeCell ref="A319:J319"/>
    <mergeCell ref="F330:G330"/>
    <mergeCell ref="D119:G119"/>
    <mergeCell ref="H126:I127"/>
    <mergeCell ref="I152:J152"/>
    <mergeCell ref="A6:J6"/>
    <mergeCell ref="I155:J155"/>
    <mergeCell ref="C307:E307"/>
    <mergeCell ref="A517:J517"/>
    <mergeCell ref="F519:G519"/>
    <mergeCell ref="I170:J170"/>
    <mergeCell ref="D161:D166"/>
    <mergeCell ref="A212:J212"/>
    <mergeCell ref="F333:G333"/>
    <mergeCell ref="D167:D168"/>
    <mergeCell ref="J120:J121"/>
    <mergeCell ref="I166:J166"/>
    <mergeCell ref="A426:J426"/>
    <mergeCell ref="I164:J165"/>
    <mergeCell ref="A125:B125"/>
    <mergeCell ref="D157:D158"/>
    <mergeCell ref="I153:J153"/>
    <mergeCell ref="J126:J127"/>
    <mergeCell ref="D159:D160"/>
    <mergeCell ref="D169:D170"/>
    <mergeCell ref="D125:G125"/>
    <mergeCell ref="H123:I124"/>
  </mergeCells>
  <dataValidations count="4">
    <dataValidation sqref="C205" showDropDown="0" showInputMessage="1" showErrorMessage="1" allowBlank="1" type="list">
      <formula1>$O$173:$O$191</formula1>
    </dataValidation>
    <dataValidation sqref="D123:G123" showDropDown="0" showInputMessage="1" showErrorMessage="1" allowBlank="1" type="list">
      <formula1>$P$118:$P$127</formula1>
    </dataValidation>
    <dataValidation sqref="D127:G127" showDropDown="0" showInputMessage="1" showErrorMessage="1" allowBlank="1" type="list">
      <formula1>$N$119:$N$127</formula1>
    </dataValidation>
    <dataValidation sqref="D129:G129" showDropDown="0" showInputMessage="1" showErrorMessage="1" allowBlank="1" type="list">
      <formula1>$O$119</formula1>
    </dataValidation>
  </dataValidations>
  <printOptions horizontalCentered="1"/>
  <pageMargins left="0.5118110236220472" right="0.3149606299212598" top="0.3937007874015748" bottom="0.3937007874015748" header="0.5118110236220472" footer="0.5118110236220472"/>
  <pageSetup orientation="portrait" paperSize="9" scale="47" errors="blank"/>
  <rowBreaks count="4" manualBreakCount="4">
    <brk id="111" min="0" max="9" man="1"/>
    <brk id="206" min="0" max="9" man="1"/>
    <brk id="313" min="0" max="16383" man="1"/>
    <brk id="420" min="0" max="9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สายใจ ไกเล็ก</dc:creator>
  <dcterms:created xmlns:dcterms="http://purl.org/dc/terms/" xmlns:xsi="http://www.w3.org/2001/XMLSchema-instance" xsi:type="dcterms:W3CDTF">2017-09-08T09:03:00Z</dcterms:created>
  <dcterms:modified xmlns:dcterms="http://purl.org/dc/terms/" xmlns:xsi="http://www.w3.org/2001/XMLSchema-instance" xsi:type="dcterms:W3CDTF">2026-07-13T04:18:16Z</dcterms:modified>
  <cp:lastModifiedBy>fuji</cp:lastModifiedBy>
  <cp:lastPrinted>2026-03-16T09:11:58Z</cp:lastPrinted>
</cp:coreProperties>
</file>