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3_WordEmbedding_Models\Word2Vec\8_edRVFL\"/>
    </mc:Choice>
  </mc:AlternateContent>
  <xr:revisionPtr revIDLastSave="0" documentId="13_ncr:1_{47673D5D-46CE-4CE3-8CEA-C91D3B7D9BB9}" xr6:coauthVersionLast="46" xr6:coauthVersionMax="46" xr10:uidLastSave="{00000000-0000-0000-0000-000000000000}"/>
  <bookViews>
    <workbookView xWindow="-110" yWindow="-110" windowWidth="19420" windowHeight="10560" activeTab="3" xr2:uid="{941F8B58-7452-46B6-8CAA-376EAF70D953}"/>
  </bookViews>
  <sheets>
    <sheet name="CR" sheetId="1" r:id="rId1"/>
    <sheet name="MPQA" sheetId="2" r:id="rId2"/>
    <sheet name="MR" sheetId="3" r:id="rId3"/>
    <sheet name="SUBJ" sheetId="4" r:id="rId4"/>
    <sheet name="TRE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H3" i="5"/>
  <c r="F3" i="5"/>
  <c r="D3" i="5"/>
  <c r="B3" i="5"/>
  <c r="J11" i="4"/>
  <c r="J10" i="4"/>
  <c r="J9" i="4"/>
  <c r="J8" i="4"/>
  <c r="J7" i="4"/>
  <c r="J6" i="4"/>
  <c r="J5" i="4"/>
  <c r="J4" i="4"/>
  <c r="J3" i="4"/>
  <c r="J12" i="4"/>
  <c r="H11" i="4"/>
  <c r="H10" i="4"/>
  <c r="H9" i="4"/>
  <c r="H8" i="4"/>
  <c r="H7" i="4"/>
  <c r="H6" i="4"/>
  <c r="H5" i="4"/>
  <c r="H4" i="4"/>
  <c r="H3" i="4"/>
  <c r="H12" i="4"/>
  <c r="F11" i="4"/>
  <c r="F10" i="4"/>
  <c r="F9" i="4"/>
  <c r="F8" i="4"/>
  <c r="F7" i="4"/>
  <c r="F6" i="4"/>
  <c r="F5" i="4"/>
  <c r="F4" i="4"/>
  <c r="F3" i="4"/>
  <c r="F12" i="4"/>
  <c r="D12" i="4"/>
  <c r="D11" i="4"/>
  <c r="D10" i="4"/>
  <c r="D9" i="4"/>
  <c r="D8" i="4"/>
  <c r="D7" i="4"/>
  <c r="D6" i="4"/>
  <c r="D5" i="4"/>
  <c r="D4" i="4"/>
  <c r="D3" i="4"/>
  <c r="B11" i="4"/>
  <c r="B10" i="4"/>
  <c r="B9" i="4"/>
  <c r="B8" i="4"/>
  <c r="B7" i="4"/>
  <c r="B6" i="4"/>
  <c r="B5" i="4"/>
  <c r="B4" i="4"/>
  <c r="B3" i="4"/>
  <c r="B12" i="4"/>
  <c r="J11" i="3"/>
  <c r="J10" i="3"/>
  <c r="J9" i="3"/>
  <c r="J8" i="3"/>
  <c r="J7" i="3"/>
  <c r="J6" i="3"/>
  <c r="J5" i="3"/>
  <c r="J4" i="3"/>
  <c r="J3" i="3"/>
  <c r="J12" i="3"/>
  <c r="H10" i="3"/>
  <c r="H9" i="3"/>
  <c r="H8" i="3"/>
  <c r="H7" i="3"/>
  <c r="H6" i="3"/>
  <c r="H5" i="3"/>
  <c r="H4" i="3"/>
  <c r="H3" i="3"/>
  <c r="H12" i="3"/>
  <c r="H11" i="3"/>
  <c r="F11" i="3"/>
  <c r="F10" i="3"/>
  <c r="F9" i="3"/>
  <c r="F8" i="3"/>
  <c r="F7" i="3"/>
  <c r="F6" i="3"/>
  <c r="F5" i="3"/>
  <c r="F4" i="3"/>
  <c r="F3" i="3"/>
  <c r="F12" i="3"/>
  <c r="D11" i="3"/>
  <c r="D10" i="3"/>
  <c r="D9" i="3"/>
  <c r="D8" i="3"/>
  <c r="D7" i="3"/>
  <c r="D6" i="3"/>
  <c r="D5" i="3"/>
  <c r="D4" i="3"/>
  <c r="D3" i="3"/>
  <c r="D12" i="3"/>
  <c r="B11" i="3"/>
  <c r="B10" i="3"/>
  <c r="B9" i="3"/>
  <c r="B8" i="3"/>
  <c r="B7" i="3"/>
  <c r="B6" i="3"/>
  <c r="B5" i="3"/>
  <c r="B4" i="3"/>
  <c r="B3" i="3"/>
  <c r="B12" i="3"/>
  <c r="J11" i="2"/>
  <c r="J10" i="2"/>
  <c r="J9" i="2"/>
  <c r="J8" i="2"/>
  <c r="J7" i="2"/>
  <c r="J6" i="2"/>
  <c r="J5" i="2"/>
  <c r="J4" i="2"/>
  <c r="J3" i="2"/>
  <c r="J12" i="2"/>
  <c r="H11" i="2"/>
  <c r="H10" i="2"/>
  <c r="H9" i="2"/>
  <c r="H8" i="2"/>
  <c r="H7" i="2"/>
  <c r="H6" i="2"/>
  <c r="H5" i="2"/>
  <c r="H4" i="2"/>
  <c r="H3" i="2"/>
  <c r="H12" i="2"/>
  <c r="F11" i="2"/>
  <c r="F10" i="2"/>
  <c r="F9" i="2"/>
  <c r="F8" i="2"/>
  <c r="F7" i="2"/>
  <c r="F6" i="2"/>
  <c r="F5" i="2"/>
  <c r="F4" i="2"/>
  <c r="F3" i="2"/>
  <c r="F12" i="2"/>
  <c r="D11" i="2"/>
  <c r="D10" i="2"/>
  <c r="D9" i="2"/>
  <c r="D8" i="2"/>
  <c r="D7" i="2"/>
  <c r="D6" i="2"/>
  <c r="D5" i="2"/>
  <c r="D4" i="2"/>
  <c r="D3" i="2"/>
  <c r="D12" i="2"/>
  <c r="B11" i="2"/>
  <c r="B10" i="2"/>
  <c r="B9" i="2"/>
  <c r="B8" i="2"/>
  <c r="B7" i="2"/>
  <c r="B6" i="2"/>
  <c r="B5" i="2"/>
  <c r="B4" i="2"/>
  <c r="B12" i="2"/>
  <c r="B3" i="2"/>
  <c r="J11" i="1"/>
  <c r="J10" i="1"/>
  <c r="J9" i="1"/>
  <c r="J8" i="1"/>
  <c r="J7" i="1"/>
  <c r="J6" i="1"/>
  <c r="J5" i="1"/>
  <c r="J4" i="1"/>
  <c r="J3" i="1"/>
  <c r="J12" i="1"/>
  <c r="D13" i="3" l="1"/>
  <c r="H11" i="1"/>
  <c r="H10" i="1"/>
  <c r="H9" i="1"/>
  <c r="H8" i="1"/>
  <c r="H7" i="1"/>
  <c r="H6" i="1"/>
  <c r="H5" i="1"/>
  <c r="H4" i="1"/>
  <c r="H3" i="1"/>
  <c r="H12" i="1"/>
  <c r="F11" i="1"/>
  <c r="F10" i="1"/>
  <c r="F9" i="1"/>
  <c r="F8" i="1"/>
  <c r="F7" i="1"/>
  <c r="F6" i="1"/>
  <c r="F5" i="1"/>
  <c r="F4" i="1"/>
  <c r="F3" i="1"/>
  <c r="F12" i="1"/>
  <c r="D11" i="1"/>
  <c r="D10" i="1"/>
  <c r="D9" i="1"/>
  <c r="D8" i="1"/>
  <c r="D7" i="1"/>
  <c r="D6" i="1"/>
  <c r="D5" i="1"/>
  <c r="D4" i="1"/>
  <c r="D3" i="1"/>
  <c r="D12" i="1"/>
  <c r="B11" i="1"/>
  <c r="B10" i="1"/>
  <c r="B9" i="1"/>
  <c r="B8" i="1"/>
  <c r="B7" i="1"/>
  <c r="B6" i="1"/>
  <c r="B5" i="1"/>
  <c r="B4" i="1"/>
  <c r="B3" i="1"/>
  <c r="B12" i="1"/>
  <c r="J13" i="4"/>
  <c r="H13" i="4"/>
  <c r="F13" i="4"/>
  <c r="D13" i="4"/>
  <c r="B13" i="4"/>
  <c r="J13" i="3"/>
  <c r="H13" i="3"/>
  <c r="F13" i="3"/>
  <c r="B13" i="3"/>
  <c r="J13" i="2"/>
  <c r="H13" i="2"/>
  <c r="F13" i="2"/>
  <c r="D13" i="2"/>
  <c r="B13" i="2"/>
  <c r="D13" i="1" l="1"/>
  <c r="F13" i="1"/>
  <c r="H13" i="1"/>
  <c r="J13" i="1"/>
  <c r="B13" i="1"/>
</calcChain>
</file>

<file path=xl/sharedStrings.xml><?xml version="1.0" encoding="utf-8"?>
<sst xmlns="http://schemas.openxmlformats.org/spreadsheetml/2006/main" count="162" uniqueCount="40">
  <si>
    <t>Binary</t>
  </si>
  <si>
    <t>Relu</t>
  </si>
  <si>
    <t>Sigmoid</t>
  </si>
  <si>
    <t>Selu</t>
  </si>
  <si>
    <t>Radbas</t>
  </si>
  <si>
    <t>Sine</t>
  </si>
  <si>
    <t>N = 43</t>
  </si>
  <si>
    <t>C = 0,1250</t>
  </si>
  <si>
    <t>Final Acc</t>
  </si>
  <si>
    <t>Count</t>
  </si>
  <si>
    <t>TFIDF</t>
  </si>
  <si>
    <t>Freq</t>
  </si>
  <si>
    <t>N = 83</t>
  </si>
  <si>
    <t>C = 0,250</t>
  </si>
  <si>
    <t>N = 103</t>
  </si>
  <si>
    <t>N = 63</t>
  </si>
  <si>
    <t>N = 3</t>
  </si>
  <si>
    <t>Summary</t>
  </si>
  <si>
    <t>Highest Acc</t>
  </si>
  <si>
    <t>Activation</t>
  </si>
  <si>
    <t>ReLu</t>
  </si>
  <si>
    <t>SeLu</t>
  </si>
  <si>
    <t>Mode</t>
  </si>
  <si>
    <t>Summary (L = 10)</t>
  </si>
  <si>
    <t>Summary (L=10)</t>
  </si>
  <si>
    <t>WE</t>
  </si>
  <si>
    <t>C = 0,5</t>
  </si>
  <si>
    <t>W2V</t>
  </si>
  <si>
    <t>N = 163</t>
  </si>
  <si>
    <t>C = 8</t>
  </si>
  <si>
    <t>N = 203</t>
  </si>
  <si>
    <t>C = 64</t>
  </si>
  <si>
    <t>N = 183</t>
  </si>
  <si>
    <t>C = 0,0625</t>
  </si>
  <si>
    <t>N = 123</t>
  </si>
  <si>
    <t>C = 0,50</t>
  </si>
  <si>
    <t>C = 0,25</t>
  </si>
  <si>
    <t>C = 1</t>
  </si>
  <si>
    <t>N = 143</t>
  </si>
  <si>
    <t>C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</si>
</sst>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6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/>
    <xf numFmtId="164" fontId="3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/>
    <xf numFmtId="164" fontId="0" fillId="2" borderId="13" xfId="0" applyNumberFormat="1" applyFill="1" applyBorder="1"/>
    <xf numFmtId="164" fontId="0" fillId="0" borderId="13" xfId="0" applyNumberFormat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A76-F5F2-418F-AF1F-FFA5D2B7A319}">
  <dimension ref="A1:R13"/>
  <sheetViews>
    <sheetView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1" max="2" width="8.7265625" style="1"/>
    <col min="3" max="3" width="10.6328125" style="1" customWidth="1"/>
    <col min="4" max="4" width="8.7265625" style="1"/>
    <col min="5" max="5" width="10.90625" style="1" customWidth="1"/>
    <col min="6" max="6" width="8.7265625" style="1"/>
    <col min="7" max="7" width="10.90625" style="1" customWidth="1"/>
    <col min="8" max="8" width="8.7265625" style="1"/>
    <col min="9" max="9" width="10.81640625" style="1" customWidth="1"/>
    <col min="10" max="10" width="8.7265625" style="1"/>
    <col min="11" max="11" width="10.26953125" style="1" customWidth="1"/>
    <col min="12" max="12" width="2.36328125" style="1" customWidth="1"/>
    <col min="13" max="13" width="8.7265625" style="1"/>
    <col min="14" max="14" width="12.453125" style="1" customWidth="1"/>
    <col min="15" max="15" width="8.7265625" style="1"/>
    <col min="16" max="16" width="8.6328125" style="1" customWidth="1"/>
    <col min="17" max="17" width="10.7265625" style="1" customWidth="1"/>
    <col min="18" max="18" width="9.26953125" style="1" customWidth="1"/>
    <col min="19" max="16384" width="8.7265625" style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31" t="s">
        <v>23</v>
      </c>
      <c r="N1" s="31"/>
      <c r="O1" s="31"/>
      <c r="P1" s="31"/>
      <c r="Q1" s="31"/>
      <c r="R1" s="31"/>
    </row>
    <row r="2" spans="1:18" x14ac:dyDescent="0.35">
      <c r="A2" s="2">
        <v>100</v>
      </c>
      <c r="B2" s="5" t="s">
        <v>14</v>
      </c>
      <c r="C2" s="5" t="s">
        <v>26</v>
      </c>
      <c r="D2" s="5" t="s">
        <v>14</v>
      </c>
      <c r="E2" s="5" t="s">
        <v>26</v>
      </c>
      <c r="F2" s="5" t="s">
        <v>15</v>
      </c>
      <c r="G2" s="5" t="s">
        <v>26</v>
      </c>
      <c r="H2" s="5" t="s">
        <v>28</v>
      </c>
      <c r="I2" s="5" t="s">
        <v>26</v>
      </c>
      <c r="J2" s="5" t="s">
        <v>15</v>
      </c>
      <c r="K2" s="5" t="s">
        <v>26</v>
      </c>
      <c r="M2" s="13" t="s">
        <v>22</v>
      </c>
      <c r="N2" s="13" t="s">
        <v>18</v>
      </c>
      <c r="O2" s="13" t="s">
        <v>19</v>
      </c>
      <c r="P2" s="13" t="s">
        <v>22</v>
      </c>
      <c r="Q2" s="13" t="s">
        <v>18</v>
      </c>
      <c r="R2" s="13" t="s">
        <v>19</v>
      </c>
    </row>
    <row r="3" spans="1:18" x14ac:dyDescent="0.35">
      <c r="A3" s="24" t="s">
        <v>27</v>
      </c>
      <c r="B3" s="23">
        <f>0.791005291005291*$A$2</f>
        <v>79.100529100529101</v>
      </c>
      <c r="C3" s="23"/>
      <c r="D3" s="23">
        <f>0.780423280423281*$A$2</f>
        <v>78.042328042328108</v>
      </c>
      <c r="E3" s="23"/>
      <c r="F3" s="23">
        <f>0.806878306878307*$A$2</f>
        <v>80.687830687830697</v>
      </c>
      <c r="G3" s="23"/>
      <c r="H3" s="23">
        <f>0.791005291005291*$A$2</f>
        <v>79.100529100529101</v>
      </c>
      <c r="I3" s="23"/>
      <c r="J3" s="23">
        <f>0.804232804232804*$A$2</f>
        <v>80.423280423280403</v>
      </c>
      <c r="K3" s="23"/>
      <c r="M3" s="32" t="s">
        <v>27</v>
      </c>
      <c r="N3" s="14"/>
      <c r="O3" s="14"/>
      <c r="P3" s="33"/>
      <c r="Q3" s="6"/>
      <c r="R3" s="7"/>
    </row>
    <row r="4" spans="1:18" x14ac:dyDescent="0.35">
      <c r="A4" s="24"/>
      <c r="B4" s="23">
        <f>0.772486772486772*$A$2</f>
        <v>77.248677248677197</v>
      </c>
      <c r="C4" s="23"/>
      <c r="D4" s="23">
        <f>0.76984126984127*$A$2</f>
        <v>76.984126984127002</v>
      </c>
      <c r="E4" s="23"/>
      <c r="F4" s="23">
        <f>0.772486772486772*$A$2</f>
        <v>77.248677248677197</v>
      </c>
      <c r="G4" s="23"/>
      <c r="H4" s="23">
        <f>0.783068783068783*$A$2</f>
        <v>78.306878306878303</v>
      </c>
      <c r="I4" s="23"/>
      <c r="J4" s="23">
        <f>0.761904761904762*$A$2</f>
        <v>76.190476190476204</v>
      </c>
      <c r="K4" s="23"/>
      <c r="M4" s="32"/>
      <c r="N4" s="6"/>
      <c r="O4" s="6"/>
      <c r="P4" s="33"/>
      <c r="Q4" s="6"/>
      <c r="R4" s="7"/>
    </row>
    <row r="5" spans="1:18" x14ac:dyDescent="0.35">
      <c r="A5" s="24"/>
      <c r="B5" s="23">
        <f>0.761904761904762*$A$2</f>
        <v>76.190476190476204</v>
      </c>
      <c r="C5" s="23"/>
      <c r="D5" s="23">
        <f>0.772486772486772*$A$2</f>
        <v>77.248677248677197</v>
      </c>
      <c r="E5" s="23"/>
      <c r="F5" s="23">
        <f>0.759259259259259*$A$2</f>
        <v>75.925925925925895</v>
      </c>
      <c r="G5" s="23"/>
      <c r="H5" s="23">
        <f>0.777777777777778*$A$2</f>
        <v>77.7777777777778</v>
      </c>
      <c r="I5" s="23"/>
      <c r="J5" s="23">
        <f>0.761904761904762*$A$2</f>
        <v>76.190476190476204</v>
      </c>
      <c r="K5" s="23"/>
      <c r="M5" s="32"/>
      <c r="N5" s="6"/>
      <c r="O5" s="6"/>
      <c r="P5" s="33"/>
      <c r="Q5" s="6"/>
      <c r="R5" s="7"/>
    </row>
    <row r="6" spans="1:18" x14ac:dyDescent="0.35">
      <c r="A6" s="24"/>
      <c r="B6" s="23">
        <f>0.804232804232804*$A$2</f>
        <v>80.423280423280403</v>
      </c>
      <c r="C6" s="23"/>
      <c r="D6" s="23">
        <f>0.806878306878307*$A$2</f>
        <v>80.687830687830697</v>
      </c>
      <c r="E6" s="23"/>
      <c r="F6" s="23">
        <f>0.793650793650794*$A$2</f>
        <v>79.36507936507941</v>
      </c>
      <c r="G6" s="23"/>
      <c r="H6" s="23">
        <f>0.796296296296296*$A$2</f>
        <v>79.629629629629591</v>
      </c>
      <c r="I6" s="23"/>
      <c r="J6" s="23">
        <f>0.801587301587302*$A$2</f>
        <v>80.158730158730194</v>
      </c>
      <c r="K6" s="23"/>
      <c r="M6" s="32"/>
      <c r="N6" s="6"/>
      <c r="O6" s="6"/>
      <c r="P6" s="33"/>
      <c r="Q6" s="6"/>
      <c r="R6" s="7"/>
    </row>
    <row r="7" spans="1:18" x14ac:dyDescent="0.35">
      <c r="A7" s="24"/>
      <c r="B7" s="23">
        <f>0.791005291005291*$A$2</f>
        <v>79.100529100529101</v>
      </c>
      <c r="C7" s="23"/>
      <c r="D7" s="23">
        <f>0.791005291005291*$A$2</f>
        <v>79.100529100529101</v>
      </c>
      <c r="E7" s="23"/>
      <c r="F7" s="23">
        <f>0.783068783068783*$A$2</f>
        <v>78.306878306878303</v>
      </c>
      <c r="G7" s="23"/>
      <c r="H7" s="23">
        <f>0.783068783068783*$A$2</f>
        <v>78.306878306878303</v>
      </c>
      <c r="I7" s="23"/>
      <c r="J7" s="23">
        <f>0.783068783068783*$A$2</f>
        <v>78.306878306878303</v>
      </c>
      <c r="K7" s="23"/>
      <c r="M7" s="32"/>
      <c r="N7" s="6"/>
      <c r="O7" s="6"/>
      <c r="P7" s="33"/>
      <c r="Q7" s="6"/>
      <c r="R7" s="7"/>
    </row>
    <row r="8" spans="1:18" x14ac:dyDescent="0.35">
      <c r="A8" s="24"/>
      <c r="B8" s="23">
        <f>0.737400530503979*$A$2</f>
        <v>73.740053050397904</v>
      </c>
      <c r="C8" s="23"/>
      <c r="D8" s="23">
        <f>0.758620689655172*$A$2</f>
        <v>75.86206896551721</v>
      </c>
      <c r="E8" s="23"/>
      <c r="F8" s="23">
        <f>0.748010610079576*$A$2</f>
        <v>74.8010610079576</v>
      </c>
      <c r="G8" s="23"/>
      <c r="H8" s="23">
        <f>0.742705570291777*$A$2</f>
        <v>74.270557029177695</v>
      </c>
      <c r="I8" s="23"/>
      <c r="J8" s="23">
        <f>0.763925729442971*$A$2</f>
        <v>76.3925729442971</v>
      </c>
      <c r="K8" s="23"/>
      <c r="M8" s="8"/>
      <c r="N8" s="9"/>
      <c r="O8" s="9"/>
      <c r="P8" s="9"/>
      <c r="Q8" s="9"/>
      <c r="R8" s="10"/>
    </row>
    <row r="9" spans="1:18" x14ac:dyDescent="0.35">
      <c r="A9" s="24"/>
      <c r="B9" s="23">
        <f>0.795755968169761*$A$2</f>
        <v>79.575596816976102</v>
      </c>
      <c r="C9" s="23"/>
      <c r="D9" s="23">
        <f>0.795755968169761*$A$2</f>
        <v>79.575596816976102</v>
      </c>
      <c r="E9" s="23"/>
      <c r="F9" s="23">
        <f>0.795755968169761*$A$2</f>
        <v>79.575596816976102</v>
      </c>
      <c r="G9" s="23"/>
      <c r="H9" s="23">
        <f>0.782493368700265*$A$2</f>
        <v>78.249336870026497</v>
      </c>
      <c r="I9" s="23"/>
      <c r="J9" s="23">
        <f>0.790450928381963*$A$2</f>
        <v>79.045092838196297</v>
      </c>
      <c r="K9" s="23"/>
      <c r="M9" s="32"/>
      <c r="N9" s="6"/>
      <c r="O9" s="6"/>
      <c r="P9" s="33"/>
      <c r="Q9" s="6"/>
      <c r="R9" s="7"/>
    </row>
    <row r="10" spans="1:18" x14ac:dyDescent="0.35">
      <c r="A10" s="24"/>
      <c r="B10" s="23">
        <f>0.80106100795756*$A$2</f>
        <v>80.106100795755992</v>
      </c>
      <c r="C10" s="23"/>
      <c r="D10" s="23">
        <f>0.793103448275862*$A$2</f>
        <v>79.310344827586192</v>
      </c>
      <c r="E10" s="23"/>
      <c r="F10" s="23">
        <f>0.787798408488064*$A$2</f>
        <v>78.779840848806401</v>
      </c>
      <c r="G10" s="23"/>
      <c r="H10" s="23">
        <f>0.790450928381963*$A$2</f>
        <v>79.045092838196297</v>
      </c>
      <c r="I10" s="23"/>
      <c r="J10" s="23">
        <f>0.774535809018568*$A$2</f>
        <v>77.453580901856796</v>
      </c>
      <c r="K10" s="23"/>
      <c r="M10" s="32"/>
      <c r="N10" s="6"/>
      <c r="O10" s="6"/>
      <c r="P10" s="33"/>
      <c r="Q10" s="6"/>
      <c r="R10" s="7"/>
    </row>
    <row r="11" spans="1:18" x14ac:dyDescent="0.35">
      <c r="A11" s="24"/>
      <c r="B11" s="23">
        <f>0.774535809018568*$A$2</f>
        <v>77.453580901856796</v>
      </c>
      <c r="C11" s="23"/>
      <c r="D11" s="23">
        <f>0.798408488063661*$A$2</f>
        <v>79.840848806366111</v>
      </c>
      <c r="E11" s="23"/>
      <c r="F11" s="23">
        <f>0.785145888594165*$A$2</f>
        <v>78.514588859416506</v>
      </c>
      <c r="G11" s="23"/>
      <c r="H11" s="23">
        <f>0.777188328912467*$A$2</f>
        <v>77.718832891246706</v>
      </c>
      <c r="I11" s="23"/>
      <c r="J11" s="23">
        <f>0.785145888594165*$A$2</f>
        <v>78.514588859416506</v>
      </c>
      <c r="K11" s="23"/>
      <c r="M11" s="32"/>
      <c r="N11" s="6"/>
      <c r="O11" s="6"/>
      <c r="P11" s="33"/>
      <c r="Q11" s="6"/>
      <c r="R11" s="7"/>
    </row>
    <row r="12" spans="1:18" x14ac:dyDescent="0.35">
      <c r="A12" s="24"/>
      <c r="B12" s="23">
        <f>0.787798408488064*$A$2</f>
        <v>78.779840848806401</v>
      </c>
      <c r="C12" s="23"/>
      <c r="D12" s="23">
        <f>0.787798408488064*$A$2</f>
        <v>78.779840848806401</v>
      </c>
      <c r="E12" s="23"/>
      <c r="F12" s="23">
        <f>0.790450928381963*$A$2</f>
        <v>79.045092838196297</v>
      </c>
      <c r="G12" s="23"/>
      <c r="H12" s="23">
        <f>0.793103448275862*$A$2</f>
        <v>79.310344827586192</v>
      </c>
      <c r="I12" s="23"/>
      <c r="J12" s="23">
        <f>0.790450928381963*$A$2</f>
        <v>79.045092838196297</v>
      </c>
      <c r="K12" s="23"/>
      <c r="M12" s="32"/>
      <c r="N12" s="6"/>
      <c r="O12" s="6"/>
      <c r="P12" s="33"/>
      <c r="Q12" s="6"/>
      <c r="R12" s="7"/>
    </row>
    <row r="13" spans="1:18" ht="15" thickBot="1" x14ac:dyDescent="0.4">
      <c r="A13" s="4" t="s">
        <v>8</v>
      </c>
      <c r="B13" s="25">
        <f>AVERAGE(B3:C12)</f>
        <v>78.171866447728533</v>
      </c>
      <c r="C13" s="25"/>
      <c r="D13" s="27">
        <f>AVERAGE(D3:E12)</f>
        <v>78.543219232874407</v>
      </c>
      <c r="E13" s="27"/>
      <c r="F13" s="28">
        <f>AVERAGE(F3:G12)</f>
        <v>78.225057190574447</v>
      </c>
      <c r="G13" s="28"/>
      <c r="H13" s="29">
        <f>AVERAGE(H3:I12)</f>
        <v>78.171585757792641</v>
      </c>
      <c r="I13" s="29"/>
      <c r="J13" s="25">
        <f>AVERAGE(J3:K12)</f>
        <v>78.172076965180423</v>
      </c>
      <c r="K13" s="30"/>
      <c r="M13" s="34"/>
      <c r="N13" s="18"/>
      <c r="O13" s="18"/>
      <c r="P13" s="35"/>
      <c r="Q13" s="11"/>
      <c r="R13" s="12"/>
    </row>
  </sheetData>
  <mergeCells count="66">
    <mergeCell ref="M1:R1"/>
    <mergeCell ref="M3:M7"/>
    <mergeCell ref="P3:P7"/>
    <mergeCell ref="M9:M13"/>
    <mergeCell ref="P9:P13"/>
    <mergeCell ref="J1:K1"/>
    <mergeCell ref="J11:K11"/>
    <mergeCell ref="H11:I11"/>
    <mergeCell ref="J3:K3"/>
    <mergeCell ref="J4:K4"/>
    <mergeCell ref="J5:K5"/>
    <mergeCell ref="J6:K6"/>
    <mergeCell ref="J7:K7"/>
    <mergeCell ref="J8:K8"/>
    <mergeCell ref="J9:K9"/>
    <mergeCell ref="J10:K10"/>
    <mergeCell ref="H3:I3"/>
    <mergeCell ref="H10:I10"/>
    <mergeCell ref="J12:K12"/>
    <mergeCell ref="D13:E13"/>
    <mergeCell ref="F13:G13"/>
    <mergeCell ref="H13:I13"/>
    <mergeCell ref="J13:K13"/>
    <mergeCell ref="H12:I12"/>
    <mergeCell ref="F12:G12"/>
    <mergeCell ref="B12:C12"/>
    <mergeCell ref="H4:I4"/>
    <mergeCell ref="H5:I5"/>
    <mergeCell ref="H6:I6"/>
    <mergeCell ref="D3:E3"/>
    <mergeCell ref="D4:E4"/>
    <mergeCell ref="D5:E5"/>
    <mergeCell ref="D6:E6"/>
    <mergeCell ref="H7:I7"/>
    <mergeCell ref="H8:I8"/>
    <mergeCell ref="F10:G10"/>
    <mergeCell ref="F11:G11"/>
    <mergeCell ref="B3:C3"/>
    <mergeCell ref="B4:C4"/>
    <mergeCell ref="B5:C5"/>
    <mergeCell ref="H9:I9"/>
    <mergeCell ref="A3:A12"/>
    <mergeCell ref="B13:C13"/>
    <mergeCell ref="D1:E1"/>
    <mergeCell ref="F1:G1"/>
    <mergeCell ref="H1:I1"/>
    <mergeCell ref="D11:E11"/>
    <mergeCell ref="D12:E12"/>
    <mergeCell ref="F3:G3"/>
    <mergeCell ref="F4:G4"/>
    <mergeCell ref="B6:C6"/>
    <mergeCell ref="B7:C7"/>
    <mergeCell ref="B8:C8"/>
    <mergeCell ref="B9:C9"/>
    <mergeCell ref="B10:C10"/>
    <mergeCell ref="B11:C11"/>
    <mergeCell ref="B1:C1"/>
    <mergeCell ref="D7:E7"/>
    <mergeCell ref="D8:E8"/>
    <mergeCell ref="D9:E9"/>
    <mergeCell ref="D10:E10"/>
    <mergeCell ref="F5:G5"/>
    <mergeCell ref="F6:G6"/>
    <mergeCell ref="F7:G7"/>
    <mergeCell ref="F8:G8"/>
    <mergeCell ref="F9:G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0AB0-5F41-4FB8-B0ED-372105B99C26}">
  <dimension ref="A1:R13"/>
  <sheetViews>
    <sheetView zoomScaleNormal="100" workbookViewId="0">
      <selection activeCell="E14" sqref="E14"/>
    </sheetView>
  </sheetViews>
  <sheetFormatPr defaultRowHeight="14.5" x14ac:dyDescent="0.35"/>
  <cols>
    <col min="7" max="7" width="10.6328125" customWidth="1"/>
    <col min="9" max="9" width="10.6328125" customWidth="1"/>
    <col min="11" max="11" width="11.26953125" customWidth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31" t="s">
        <v>17</v>
      </c>
      <c r="N1" s="31"/>
      <c r="O1" s="31"/>
      <c r="P1" s="31"/>
      <c r="Q1" s="31"/>
      <c r="R1" s="31"/>
    </row>
    <row r="2" spans="1:18" x14ac:dyDescent="0.35">
      <c r="A2" s="2">
        <v>100</v>
      </c>
      <c r="B2" s="5" t="s">
        <v>30</v>
      </c>
      <c r="C2" s="5" t="s">
        <v>29</v>
      </c>
      <c r="D2" s="5" t="s">
        <v>12</v>
      </c>
      <c r="E2" s="5" t="s">
        <v>31</v>
      </c>
      <c r="F2" s="5" t="s">
        <v>32</v>
      </c>
      <c r="G2" s="5" t="s">
        <v>33</v>
      </c>
      <c r="H2" s="5" t="s">
        <v>28</v>
      </c>
      <c r="I2" s="5" t="s">
        <v>7</v>
      </c>
      <c r="J2" s="5" t="s">
        <v>32</v>
      </c>
      <c r="K2" s="5" t="s">
        <v>7</v>
      </c>
      <c r="M2" s="13" t="s">
        <v>22</v>
      </c>
      <c r="N2" s="13" t="s">
        <v>18</v>
      </c>
      <c r="O2" s="13" t="s">
        <v>19</v>
      </c>
      <c r="P2" s="13" t="s">
        <v>22</v>
      </c>
      <c r="Q2" s="13" t="s">
        <v>18</v>
      </c>
      <c r="R2" s="13" t="s">
        <v>19</v>
      </c>
    </row>
    <row r="3" spans="1:18" x14ac:dyDescent="0.35">
      <c r="A3" s="24" t="s">
        <v>27</v>
      </c>
      <c r="B3" s="23">
        <f>0.870876531573987*$A$2</f>
        <v>87.087653157398705</v>
      </c>
      <c r="C3" s="23"/>
      <c r="D3" s="23">
        <f>0.870876531573987*$A$2</f>
        <v>87.087653157398705</v>
      </c>
      <c r="E3" s="23"/>
      <c r="F3" s="23">
        <f>0.866163996229972*$A$2</f>
        <v>86.616399622997193</v>
      </c>
      <c r="G3" s="23"/>
      <c r="H3" s="23">
        <f>0.868049010367578*$A$2</f>
        <v>86.804901036757798</v>
      </c>
      <c r="I3" s="23"/>
      <c r="J3" s="23">
        <f>0.867106503298775*$A$2</f>
        <v>86.71065032987751</v>
      </c>
      <c r="K3" s="23"/>
      <c r="M3" s="32" t="s">
        <v>27</v>
      </c>
      <c r="N3" s="14"/>
      <c r="O3" s="14"/>
      <c r="P3" s="33"/>
      <c r="Q3" s="6"/>
      <c r="R3" s="7"/>
    </row>
    <row r="4" spans="1:18" x14ac:dyDescent="0.35">
      <c r="A4" s="24"/>
      <c r="B4" s="23">
        <f>0.85296889726673*$A$2</f>
        <v>85.296889726673001</v>
      </c>
      <c r="C4" s="23"/>
      <c r="D4" s="23">
        <f>0.85296889726673*$A$2</f>
        <v>85.296889726673001</v>
      </c>
      <c r="E4" s="23"/>
      <c r="F4" s="23">
        <f>0.851083883129123*$A$2</f>
        <v>85.108388312912297</v>
      </c>
      <c r="G4" s="23"/>
      <c r="H4" s="23">
        <f>0.85296889726673*$A$2</f>
        <v>85.296889726673001</v>
      </c>
      <c r="I4" s="23"/>
      <c r="J4" s="23">
        <f>0.847313854853911*$A$2</f>
        <v>84.731385485391101</v>
      </c>
      <c r="K4" s="23"/>
      <c r="M4" s="32"/>
      <c r="N4" s="6"/>
      <c r="O4" s="6"/>
      <c r="P4" s="33"/>
      <c r="Q4" s="6"/>
      <c r="R4" s="7"/>
    </row>
    <row r="5" spans="1:18" x14ac:dyDescent="0.35">
      <c r="A5" s="24"/>
      <c r="B5" s="23">
        <f>0.888784165881244*$A$2</f>
        <v>88.878416588124395</v>
      </c>
      <c r="C5" s="23"/>
      <c r="D5" s="23">
        <f>0.89066918001885*$A$2</f>
        <v>89.066918001885</v>
      </c>
      <c r="E5" s="23"/>
      <c r="F5" s="23">
        <f>0.891611687087653*$A$2</f>
        <v>89.161168708765302</v>
      </c>
      <c r="G5" s="23"/>
      <c r="H5" s="23">
        <f>0.891611687087653*$A$2</f>
        <v>89.161168708765302</v>
      </c>
      <c r="I5" s="23"/>
      <c r="J5" s="23">
        <f>0.882186616399623*$A$2</f>
        <v>88.218661639962306</v>
      </c>
      <c r="K5" s="23"/>
      <c r="M5" s="32"/>
      <c r="N5" s="6"/>
      <c r="O5" s="6"/>
      <c r="P5" s="33"/>
      <c r="Q5" s="6"/>
      <c r="R5" s="7"/>
    </row>
    <row r="6" spans="1:18" x14ac:dyDescent="0.35">
      <c r="A6" s="24"/>
      <c r="B6" s="23">
        <f>0.869934024505184*$A$2</f>
        <v>86.993402450518403</v>
      </c>
      <c r="C6" s="23"/>
      <c r="D6" s="23">
        <f>0.868049010367578*$A$2</f>
        <v>86.804901036757798</v>
      </c>
      <c r="E6" s="23"/>
      <c r="F6" s="23">
        <f>0.866163996229972*$A$2</f>
        <v>86.616399622997193</v>
      </c>
      <c r="G6" s="23"/>
      <c r="H6" s="23">
        <f>0.872761545711593*$A$2</f>
        <v>87.27615457115931</v>
      </c>
      <c r="I6" s="23"/>
      <c r="J6" s="23">
        <f>0.863336475023563*$A$2</f>
        <v>86.3336475023563</v>
      </c>
      <c r="K6" s="23"/>
      <c r="M6" s="32"/>
      <c r="N6" s="6"/>
      <c r="O6" s="6"/>
      <c r="P6" s="33"/>
      <c r="Q6" s="6"/>
      <c r="R6" s="7"/>
    </row>
    <row r="7" spans="1:18" x14ac:dyDescent="0.35">
      <c r="A7" s="24"/>
      <c r="B7" s="23">
        <f>0.869934024505184*$A$2</f>
        <v>86.993402450518403</v>
      </c>
      <c r="C7" s="23"/>
      <c r="D7" s="23">
        <f>0.866163996229972*$A$2</f>
        <v>86.616399622997193</v>
      </c>
      <c r="E7" s="23"/>
      <c r="F7" s="23">
        <f>0.873704052780396*$A$2</f>
        <v>87.370405278039598</v>
      </c>
      <c r="G7" s="23"/>
      <c r="H7" s="23">
        <f>0.87181903864279*$A$2</f>
        <v>87.181903864278993</v>
      </c>
      <c r="I7" s="23"/>
      <c r="J7" s="23">
        <f>0.861451460885957*$A$2</f>
        <v>86.145146088595709</v>
      </c>
      <c r="K7" s="23"/>
      <c r="M7" s="32"/>
      <c r="N7" s="6"/>
      <c r="O7" s="6"/>
      <c r="P7" s="33"/>
      <c r="Q7" s="6"/>
      <c r="R7" s="7"/>
    </row>
    <row r="8" spans="1:18" x14ac:dyDescent="0.35">
      <c r="A8" s="24"/>
      <c r="B8" s="23">
        <f>0.880301602262017*$A$2</f>
        <v>88.030160226201701</v>
      </c>
      <c r="C8" s="23"/>
      <c r="D8" s="23">
        <f>0.878416588124411*$A$2</f>
        <v>87.841658812441096</v>
      </c>
      <c r="E8" s="23"/>
      <c r="F8" s="23">
        <f>0.876531573986805*$A$2</f>
        <v>87.653157398680506</v>
      </c>
      <c r="G8" s="23"/>
      <c r="H8" s="23">
        <f>0.868049010367578*$A$2</f>
        <v>86.804901036757798</v>
      </c>
      <c r="I8" s="23"/>
      <c r="J8" s="23">
        <f>0.879359095193214*$A$2</f>
        <v>87.935909519321399</v>
      </c>
      <c r="K8" s="23"/>
      <c r="M8" s="8"/>
      <c r="N8" s="9"/>
      <c r="O8" s="9"/>
      <c r="P8" s="9"/>
      <c r="Q8" s="9"/>
      <c r="R8" s="10"/>
    </row>
    <row r="9" spans="1:18" x14ac:dyDescent="0.35">
      <c r="A9" s="24"/>
      <c r="B9" s="23">
        <f>0.847169811320755*$A$2</f>
        <v>84.716981132075503</v>
      </c>
      <c r="C9" s="23"/>
      <c r="D9" s="23">
        <f>0.85188679245283*$A$2</f>
        <v>85.188679245283012</v>
      </c>
      <c r="E9" s="23"/>
      <c r="F9" s="23">
        <f>0.854716981132076*$A$2</f>
        <v>85.471698113207594</v>
      </c>
      <c r="G9" s="23"/>
      <c r="H9" s="23">
        <f>0.847169811320755*$A$2</f>
        <v>84.716981132075503</v>
      </c>
      <c r="I9" s="23"/>
      <c r="J9" s="23">
        <f>0.856603773584906*$A$2</f>
        <v>85.660377358490607</v>
      </c>
      <c r="K9" s="23"/>
      <c r="M9" s="32"/>
      <c r="N9" s="6"/>
      <c r="O9" s="6"/>
      <c r="P9" s="33"/>
      <c r="Q9" s="6"/>
      <c r="R9" s="7"/>
    </row>
    <row r="10" spans="1:18" x14ac:dyDescent="0.35">
      <c r="A10" s="24"/>
      <c r="B10" s="23">
        <f>0.868867924528302*$A$2</f>
        <v>86.886792452830193</v>
      </c>
      <c r="C10" s="23"/>
      <c r="D10" s="23">
        <f>0.867924528301887*$A$2</f>
        <v>86.792452830188708</v>
      </c>
      <c r="E10" s="23"/>
      <c r="F10" s="23">
        <f>0.870754716981132*$A$2</f>
        <v>87.075471698113205</v>
      </c>
      <c r="G10" s="23"/>
      <c r="H10" s="23">
        <f>0.882075471698113*$A$2</f>
        <v>88.207547169811292</v>
      </c>
      <c r="I10" s="23"/>
      <c r="J10" s="23">
        <f>0.872641509433962*$A$2</f>
        <v>87.264150943396203</v>
      </c>
      <c r="K10" s="23"/>
      <c r="M10" s="32"/>
      <c r="N10" s="6"/>
      <c r="O10" s="6"/>
      <c r="P10" s="33"/>
      <c r="Q10" s="6"/>
      <c r="R10" s="7"/>
    </row>
    <row r="11" spans="1:18" x14ac:dyDescent="0.35">
      <c r="A11" s="24"/>
      <c r="B11" s="23">
        <f>0.859433962264151*$A$2</f>
        <v>85.943396226415103</v>
      </c>
      <c r="C11" s="23"/>
      <c r="D11" s="23">
        <f>0.859433962264151*$A$2</f>
        <v>85.943396226415103</v>
      </c>
      <c r="E11" s="23"/>
      <c r="F11" s="23">
        <f>0.865094339622642*$A$2</f>
        <v>86.509433962264211</v>
      </c>
      <c r="G11" s="23"/>
      <c r="H11" s="23">
        <f>0.855660377358491*$A$2</f>
        <v>85.566037735849093</v>
      </c>
      <c r="I11" s="23"/>
      <c r="J11" s="23">
        <f>0.863207547169811*$A$2</f>
        <v>86.320754716981099</v>
      </c>
      <c r="K11" s="23"/>
      <c r="M11" s="32"/>
      <c r="N11" s="6"/>
      <c r="O11" s="6"/>
      <c r="P11" s="33"/>
      <c r="Q11" s="6"/>
      <c r="R11" s="7"/>
    </row>
    <row r="12" spans="1:18" x14ac:dyDescent="0.35">
      <c r="A12" s="24"/>
      <c r="B12" s="23">
        <f>0.85377358490566*$A$2</f>
        <v>85.377358490565996</v>
      </c>
      <c r="C12" s="23"/>
      <c r="D12" s="23">
        <f>0.857547169811321*$A$2</f>
        <v>85.754716981132091</v>
      </c>
      <c r="E12" s="23"/>
      <c r="F12" s="23">
        <f>0.85*$A$2</f>
        <v>85</v>
      </c>
      <c r="G12" s="23"/>
      <c r="H12" s="23">
        <f>0.845283018867925*$A$2</f>
        <v>84.528301886792505</v>
      </c>
      <c r="I12" s="23"/>
      <c r="J12" s="23">
        <f>0.85377358490566*$A$2</f>
        <v>85.377358490565996</v>
      </c>
      <c r="K12" s="23"/>
      <c r="M12" s="32"/>
      <c r="N12" s="6"/>
      <c r="O12" s="6"/>
      <c r="P12" s="33"/>
      <c r="Q12" s="6"/>
      <c r="R12" s="7"/>
    </row>
    <row r="13" spans="1:18" ht="15" thickBot="1" x14ac:dyDescent="0.4">
      <c r="A13" s="4" t="s">
        <v>8</v>
      </c>
      <c r="B13" s="25">
        <f>AVERAGE(B3:C12)</f>
        <v>86.620445290132125</v>
      </c>
      <c r="C13" s="25"/>
      <c r="D13" s="25">
        <f>AVERAGE(D3:E12)</f>
        <v>86.639366564117168</v>
      </c>
      <c r="E13" s="25"/>
      <c r="F13" s="25">
        <f>AVERAGE(F3:G12)</f>
        <v>86.658252271797707</v>
      </c>
      <c r="G13" s="25"/>
      <c r="H13" s="29">
        <f>AVERAGE(H3:I12)</f>
        <v>86.554478686892054</v>
      </c>
      <c r="I13" s="29"/>
      <c r="J13" s="25">
        <f>AVERAGE(J3:K12)</f>
        <v>86.469804207493823</v>
      </c>
      <c r="K13" s="30"/>
      <c r="M13" s="34"/>
      <c r="N13" s="11"/>
      <c r="O13" s="11"/>
      <c r="P13" s="35"/>
      <c r="Q13" s="11"/>
      <c r="R13" s="12"/>
    </row>
  </sheetData>
  <mergeCells count="66">
    <mergeCell ref="M1:R1"/>
    <mergeCell ref="M3:M7"/>
    <mergeCell ref="P3:P7"/>
    <mergeCell ref="M9:M13"/>
    <mergeCell ref="P9:P13"/>
    <mergeCell ref="B13:C13"/>
    <mergeCell ref="D13:E13"/>
    <mergeCell ref="F13:G13"/>
    <mergeCell ref="H13:I13"/>
    <mergeCell ref="J13:K13"/>
    <mergeCell ref="A3:A12"/>
    <mergeCell ref="B7:C7"/>
    <mergeCell ref="D7:E7"/>
    <mergeCell ref="B9:C9"/>
    <mergeCell ref="D9:E9"/>
    <mergeCell ref="B5:C5"/>
    <mergeCell ref="D5:E5"/>
    <mergeCell ref="J11:K11"/>
    <mergeCell ref="B12:C12"/>
    <mergeCell ref="D12:E12"/>
    <mergeCell ref="F12:G12"/>
    <mergeCell ref="H12:I12"/>
    <mergeCell ref="J12:K12"/>
    <mergeCell ref="B11:C11"/>
    <mergeCell ref="D11:E11"/>
    <mergeCell ref="F11:G11"/>
    <mergeCell ref="H11:I11"/>
    <mergeCell ref="J9:K9"/>
    <mergeCell ref="B10:C10"/>
    <mergeCell ref="D10:E10"/>
    <mergeCell ref="F10:G10"/>
    <mergeCell ref="H10:I10"/>
    <mergeCell ref="J10:K10"/>
    <mergeCell ref="F9:G9"/>
    <mergeCell ref="H9:I9"/>
    <mergeCell ref="J7:K7"/>
    <mergeCell ref="B8:C8"/>
    <mergeCell ref="D8:E8"/>
    <mergeCell ref="F8:G8"/>
    <mergeCell ref="H8:I8"/>
    <mergeCell ref="J8:K8"/>
    <mergeCell ref="F7:G7"/>
    <mergeCell ref="H7:I7"/>
    <mergeCell ref="H5:I5"/>
    <mergeCell ref="J5:K5"/>
    <mergeCell ref="B6:C6"/>
    <mergeCell ref="D6:E6"/>
    <mergeCell ref="F6:G6"/>
    <mergeCell ref="H6:I6"/>
    <mergeCell ref="J6:K6"/>
    <mergeCell ref="F5:G5"/>
    <mergeCell ref="J3:K3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308E-E9C1-4043-9E4B-8864647610B4}">
  <dimension ref="A1:R13"/>
  <sheetViews>
    <sheetView workbookViewId="0">
      <selection activeCell="L9" sqref="L9"/>
    </sheetView>
  </sheetViews>
  <sheetFormatPr defaultRowHeight="14.5" x14ac:dyDescent="0.35"/>
  <cols>
    <col min="9" max="9" width="10.26953125" customWidth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31" t="s">
        <v>17</v>
      </c>
      <c r="N1" s="31"/>
      <c r="O1" s="31"/>
      <c r="P1" s="31"/>
      <c r="Q1" s="31"/>
      <c r="R1" s="31"/>
    </row>
    <row r="2" spans="1:18" x14ac:dyDescent="0.35">
      <c r="A2" s="2">
        <v>100</v>
      </c>
      <c r="B2" s="5" t="s">
        <v>16</v>
      </c>
      <c r="C2" s="5" t="s">
        <v>13</v>
      </c>
      <c r="D2" s="5" t="s">
        <v>34</v>
      </c>
      <c r="E2" s="5" t="s">
        <v>35</v>
      </c>
      <c r="F2" s="5" t="s">
        <v>30</v>
      </c>
      <c r="G2" s="5" t="s">
        <v>13</v>
      </c>
      <c r="H2" s="5" t="s">
        <v>16</v>
      </c>
      <c r="I2" s="5" t="s">
        <v>7</v>
      </c>
      <c r="J2" s="5" t="s">
        <v>30</v>
      </c>
      <c r="K2" s="5" t="s">
        <v>13</v>
      </c>
      <c r="M2" s="13" t="s">
        <v>22</v>
      </c>
      <c r="N2" s="13" t="s">
        <v>18</v>
      </c>
      <c r="O2" s="13" t="s">
        <v>19</v>
      </c>
      <c r="P2" s="13" t="s">
        <v>22</v>
      </c>
      <c r="Q2" s="13" t="s">
        <v>18</v>
      </c>
      <c r="R2" s="13" t="s">
        <v>19</v>
      </c>
    </row>
    <row r="3" spans="1:18" x14ac:dyDescent="0.35">
      <c r="A3" s="24" t="s">
        <v>25</v>
      </c>
      <c r="B3" s="23">
        <f>0.753514526710403*$A$2</f>
        <v>75.351452671040292</v>
      </c>
      <c r="C3" s="23"/>
      <c r="D3" s="23">
        <f>0.754451733833177*$A$2</f>
        <v>75.445173383317695</v>
      </c>
      <c r="E3" s="23"/>
      <c r="F3" s="23">
        <f>0.767572633552015*$A$2</f>
        <v>76.757263355201502</v>
      </c>
      <c r="G3" s="23"/>
      <c r="H3" s="23">
        <f>0.758200562324274*$A$2</f>
        <v>75.820056232427405</v>
      </c>
      <c r="I3" s="23"/>
      <c r="J3" s="23">
        <f>0.760074976569822*$A$2</f>
        <v>76.00749765698221</v>
      </c>
      <c r="K3" s="23"/>
      <c r="M3" s="32" t="s">
        <v>0</v>
      </c>
      <c r="N3" s="14">
        <v>78.039000000000001</v>
      </c>
      <c r="O3" s="14" t="s">
        <v>4</v>
      </c>
      <c r="P3" s="33" t="s">
        <v>9</v>
      </c>
      <c r="Q3" s="6">
        <v>77.615188132429509</v>
      </c>
      <c r="R3" s="7" t="s">
        <v>5</v>
      </c>
    </row>
    <row r="4" spans="1:18" x14ac:dyDescent="0.35">
      <c r="A4" s="24"/>
      <c r="B4" s="23">
        <f>0.771321462043112*$A$2</f>
        <v>77.132146204311198</v>
      </c>
      <c r="C4" s="23"/>
      <c r="D4" s="23">
        <f>0.771321462043112*$A$2</f>
        <v>77.132146204311198</v>
      </c>
      <c r="E4" s="23"/>
      <c r="F4" s="23">
        <f>0.772258669165886*$A$2</f>
        <v>77.2258669165886</v>
      </c>
      <c r="G4" s="23"/>
      <c r="H4" s="23">
        <f>0.769447047797563*$A$2</f>
        <v>76.944704779756307</v>
      </c>
      <c r="I4" s="23"/>
      <c r="J4" s="23">
        <f>0.769447047797563*$A$2</f>
        <v>76.944704779756307</v>
      </c>
      <c r="K4" s="23"/>
      <c r="M4" s="32"/>
      <c r="N4" s="6">
        <v>77.986999999999995</v>
      </c>
      <c r="O4" s="6" t="s">
        <v>20</v>
      </c>
      <c r="P4" s="33"/>
      <c r="Q4" s="6">
        <v>77.56241842448739</v>
      </c>
      <c r="R4" s="7" t="s">
        <v>4</v>
      </c>
    </row>
    <row r="5" spans="1:18" x14ac:dyDescent="0.35">
      <c r="A5" s="24"/>
      <c r="B5" s="23">
        <f>0.768292682926829*$A$2</f>
        <v>76.829268292682897</v>
      </c>
      <c r="C5" s="23"/>
      <c r="D5" s="23">
        <f>0.765478424015009*$A$2</f>
        <v>76.547842401500901</v>
      </c>
      <c r="E5" s="23"/>
      <c r="F5" s="23">
        <f>0.773921200750469*$A$2</f>
        <v>77.392120075046904</v>
      </c>
      <c r="G5" s="23"/>
      <c r="H5" s="23">
        <f>0.764540337711069*$A$2</f>
        <v>76.454033771106893</v>
      </c>
      <c r="I5" s="23"/>
      <c r="J5" s="23">
        <f>0.773921200750469*$A$2</f>
        <v>77.392120075046904</v>
      </c>
      <c r="K5" s="23"/>
      <c r="M5" s="32"/>
      <c r="N5" s="6">
        <v>77.986999999999995</v>
      </c>
      <c r="O5" s="6" t="s">
        <v>2</v>
      </c>
      <c r="P5" s="33"/>
      <c r="Q5" s="6">
        <v>77.45659831866729</v>
      </c>
      <c r="R5" s="7" t="s">
        <v>2</v>
      </c>
    </row>
    <row r="6" spans="1:18" x14ac:dyDescent="0.35">
      <c r="A6" s="24"/>
      <c r="B6" s="23">
        <f>0.75797373358349*$A$2</f>
        <v>75.797373358348992</v>
      </c>
      <c r="C6" s="23"/>
      <c r="D6" s="23">
        <f>0.767354596622889*$A$2</f>
        <v>76.735459662288889</v>
      </c>
      <c r="E6" s="23"/>
      <c r="F6" s="23">
        <f>0.776735459662289*$A$2</f>
        <v>77.6735459662289</v>
      </c>
      <c r="G6" s="23"/>
      <c r="H6" s="23">
        <f>0.76360225140713*$A$2</f>
        <v>76.360225140712998</v>
      </c>
      <c r="I6" s="23"/>
      <c r="J6" s="23">
        <f>0.75891181988743*$A$2</f>
        <v>75.891181988743</v>
      </c>
      <c r="K6" s="23"/>
      <c r="M6" s="32"/>
      <c r="N6" s="6">
        <v>77.430000000000007</v>
      </c>
      <c r="O6" s="6" t="s">
        <v>3</v>
      </c>
      <c r="P6" s="33"/>
      <c r="Q6" s="6">
        <v>77.323972323972313</v>
      </c>
      <c r="R6" s="7" t="s">
        <v>20</v>
      </c>
    </row>
    <row r="7" spans="1:18" x14ac:dyDescent="0.35">
      <c r="A7" s="24"/>
      <c r="B7" s="23">
        <f>0.766416510318949*$A$2</f>
        <v>76.641651031894895</v>
      </c>
      <c r="C7" s="23"/>
      <c r="D7" s="23">
        <f>0.75891181988743*$A$2</f>
        <v>75.891181988743</v>
      </c>
      <c r="E7" s="23"/>
      <c r="F7" s="23">
        <f>0.76360225140713*$A$2</f>
        <v>76.360225140712998</v>
      </c>
      <c r="G7" s="23"/>
      <c r="H7" s="23">
        <f>0.76266416510319*$A$2</f>
        <v>76.266416510319004</v>
      </c>
      <c r="I7" s="23"/>
      <c r="J7" s="23">
        <f>0.770168855534709*$A$2</f>
        <v>77.0168855534709</v>
      </c>
      <c r="K7" s="23"/>
      <c r="M7" s="32"/>
      <c r="N7" s="6">
        <v>76.742000000000004</v>
      </c>
      <c r="O7" s="6" t="s">
        <v>5</v>
      </c>
      <c r="P7" s="33"/>
      <c r="Q7" s="6">
        <v>77.2182223906362</v>
      </c>
      <c r="R7" s="7" t="s">
        <v>21</v>
      </c>
    </row>
    <row r="8" spans="1:18" x14ac:dyDescent="0.35">
      <c r="A8" s="24"/>
      <c r="B8" s="23">
        <f>0.75797373358349*$A$2</f>
        <v>75.797373358348992</v>
      </c>
      <c r="C8" s="23"/>
      <c r="D8" s="23">
        <f>0.771106941838649*$A$2</f>
        <v>77.110694183864908</v>
      </c>
      <c r="E8" s="23"/>
      <c r="F8" s="23">
        <f>0.769230769230769*$A$2</f>
        <v>76.923076923076906</v>
      </c>
      <c r="G8" s="23"/>
      <c r="H8" s="23">
        <f>0.76172607879925*$A$2</f>
        <v>76.172607879924996</v>
      </c>
      <c r="I8" s="23"/>
      <c r="J8" s="23">
        <f>0.767354596622889*$A$2</f>
        <v>76.735459662288889</v>
      </c>
      <c r="K8" s="23"/>
      <c r="M8" s="8"/>
      <c r="N8" s="9"/>
      <c r="O8" s="9"/>
      <c r="P8" s="9"/>
      <c r="Q8" s="9"/>
      <c r="R8" s="10"/>
    </row>
    <row r="9" spans="1:18" x14ac:dyDescent="0.35">
      <c r="A9" s="24"/>
      <c r="B9" s="23">
        <f>0.765478424015009*$A$2</f>
        <v>76.547842401500901</v>
      </c>
      <c r="C9" s="23"/>
      <c r="D9" s="23">
        <f>0.778611632270169*$A$2</f>
        <v>77.861163227016903</v>
      </c>
      <c r="E9" s="23"/>
      <c r="F9" s="23">
        <f>0.764540337711069*$A$2</f>
        <v>76.454033771106893</v>
      </c>
      <c r="G9" s="23"/>
      <c r="H9" s="23">
        <f>0.770168855534709*$A$2</f>
        <v>77.0168855534709</v>
      </c>
      <c r="I9" s="23"/>
      <c r="J9" s="23">
        <f>0.75797373358349*$A$2</f>
        <v>75.797373358348992</v>
      </c>
      <c r="K9" s="23"/>
      <c r="M9" s="32" t="s">
        <v>10</v>
      </c>
      <c r="N9" s="6">
        <v>75.947889913407167</v>
      </c>
      <c r="O9" s="6" t="s">
        <v>4</v>
      </c>
      <c r="P9" s="33" t="s">
        <v>11</v>
      </c>
      <c r="Q9" s="6"/>
      <c r="R9" s="7"/>
    </row>
    <row r="10" spans="1:18" x14ac:dyDescent="0.35">
      <c r="A10" s="24"/>
      <c r="B10" s="23">
        <f>0.75703564727955*$A$2</f>
        <v>75.703564727954998</v>
      </c>
      <c r="C10" s="23"/>
      <c r="D10" s="23">
        <f>0.76078799249531*$A$2</f>
        <v>76.078799249531002</v>
      </c>
      <c r="E10" s="23"/>
      <c r="F10" s="23">
        <f>0.766416510318949*$A$2</f>
        <v>76.641651031894895</v>
      </c>
      <c r="G10" s="23"/>
      <c r="H10" s="23">
        <f>0.76172607879925*$A$2</f>
        <v>76.172607879924996</v>
      </c>
      <c r="I10" s="23"/>
      <c r="J10" s="23">
        <f>0.764540337711069*$A$2</f>
        <v>76.454033771106893</v>
      </c>
      <c r="K10" s="23"/>
      <c r="M10" s="32"/>
      <c r="N10" s="6">
        <v>75.47050650498926</v>
      </c>
      <c r="O10" s="6" t="s">
        <v>5</v>
      </c>
      <c r="P10" s="33"/>
      <c r="Q10" s="6"/>
      <c r="R10" s="7"/>
    </row>
    <row r="11" spans="1:18" x14ac:dyDescent="0.35">
      <c r="A11" s="24"/>
      <c r="B11" s="23">
        <f>0.768292682926829*$A$2</f>
        <v>76.829268292682897</v>
      </c>
      <c r="C11" s="23"/>
      <c r="D11" s="23">
        <f>0.774859287054409*$A$2</f>
        <v>77.485928705440898</v>
      </c>
      <c r="E11" s="23"/>
      <c r="F11" s="23">
        <f>0.776735459662289*$A$2</f>
        <v>77.6735459662289</v>
      </c>
      <c r="G11" s="23"/>
      <c r="H11" s="23">
        <f>0.771106941838649*$A$2</f>
        <v>77.110694183864908</v>
      </c>
      <c r="I11" s="23"/>
      <c r="J11" s="23">
        <f>0.771106941838649*$A$2</f>
        <v>77.110694183864908</v>
      </c>
      <c r="K11" s="23"/>
      <c r="M11" s="32"/>
      <c r="N11" s="6">
        <v>75.285531837256002</v>
      </c>
      <c r="O11" s="6" t="s">
        <v>20</v>
      </c>
      <c r="P11" s="33"/>
      <c r="Q11" s="6"/>
      <c r="R11" s="7"/>
    </row>
    <row r="12" spans="1:18" x14ac:dyDescent="0.35">
      <c r="A12" s="24"/>
      <c r="B12" s="23">
        <f>0.771106941838649*$A$2</f>
        <v>77.110694183864908</v>
      </c>
      <c r="C12" s="23"/>
      <c r="D12" s="23">
        <f>0.765478424015009*$A$2</f>
        <v>76.547842401500901</v>
      </c>
      <c r="E12" s="23"/>
      <c r="F12" s="23">
        <f>0.766416510318949*$A$2</f>
        <v>76.641651031894895</v>
      </c>
      <c r="G12" s="23"/>
      <c r="H12" s="23">
        <f>0.76172607879925*$A$2</f>
        <v>76.172607879924996</v>
      </c>
      <c r="I12" s="23"/>
      <c r="J12" s="23">
        <f>0.768292682926829*$A$2</f>
        <v>76.829268292682897</v>
      </c>
      <c r="K12" s="23"/>
      <c r="M12" s="32"/>
      <c r="N12" s="6">
        <v>75.046945391772979</v>
      </c>
      <c r="O12" s="6" t="s">
        <v>2</v>
      </c>
      <c r="P12" s="33"/>
      <c r="Q12" s="6"/>
      <c r="R12" s="7"/>
    </row>
    <row r="13" spans="1:18" ht="15" thickBot="1" x14ac:dyDescent="0.4">
      <c r="A13" s="4" t="s">
        <v>8</v>
      </c>
      <c r="B13" s="25">
        <f>AVERAGE(B3:C12)</f>
        <v>76.374063452263101</v>
      </c>
      <c r="C13" s="25"/>
      <c r="D13" s="25">
        <f>AVERAGE(D3:E12)</f>
        <v>76.683623140751635</v>
      </c>
      <c r="E13" s="25"/>
      <c r="F13" s="25">
        <f>AVERAGE(F3:G12)</f>
        <v>76.974298017798134</v>
      </c>
      <c r="G13" s="25"/>
      <c r="H13" s="29">
        <f>AVERAGE(H3:I12)</f>
        <v>76.449083981143332</v>
      </c>
      <c r="I13" s="29"/>
      <c r="J13" s="25">
        <f>AVERAGE(J3:K12)</f>
        <v>76.61792193222918</v>
      </c>
      <c r="K13" s="30"/>
      <c r="M13" s="34"/>
      <c r="N13" s="11">
        <v>74.914670259497854</v>
      </c>
      <c r="O13" s="11" t="s">
        <v>21</v>
      </c>
      <c r="P13" s="35"/>
      <c r="Q13" s="11"/>
      <c r="R13" s="12"/>
    </row>
  </sheetData>
  <mergeCells count="66">
    <mergeCell ref="M1:R1"/>
    <mergeCell ref="M3:M7"/>
    <mergeCell ref="P3:P7"/>
    <mergeCell ref="M9:M13"/>
    <mergeCell ref="P9:P13"/>
    <mergeCell ref="B13:C13"/>
    <mergeCell ref="D13:E13"/>
    <mergeCell ref="F13:G13"/>
    <mergeCell ref="H13:I13"/>
    <mergeCell ref="J13:K13"/>
    <mergeCell ref="A3:A12"/>
    <mergeCell ref="B7:C7"/>
    <mergeCell ref="D7:E7"/>
    <mergeCell ref="F7:G7"/>
    <mergeCell ref="H7:I7"/>
    <mergeCell ref="B9:C9"/>
    <mergeCell ref="D9:E9"/>
    <mergeCell ref="F9:G9"/>
    <mergeCell ref="H9:I9"/>
    <mergeCell ref="B5:C5"/>
    <mergeCell ref="D5:E5"/>
    <mergeCell ref="F5:G5"/>
    <mergeCell ref="H5:I5"/>
    <mergeCell ref="J11:K11"/>
    <mergeCell ref="B12:C12"/>
    <mergeCell ref="D12:E12"/>
    <mergeCell ref="F12:G12"/>
    <mergeCell ref="H12:I12"/>
    <mergeCell ref="J12:K12"/>
    <mergeCell ref="B11:C11"/>
    <mergeCell ref="D11:E11"/>
    <mergeCell ref="F11:G11"/>
    <mergeCell ref="H11:I11"/>
    <mergeCell ref="J9:K9"/>
    <mergeCell ref="B10:C10"/>
    <mergeCell ref="D10:E10"/>
    <mergeCell ref="F10:G10"/>
    <mergeCell ref="H10:I10"/>
    <mergeCell ref="J10:K10"/>
    <mergeCell ref="J7:K7"/>
    <mergeCell ref="B8:C8"/>
    <mergeCell ref="D8:E8"/>
    <mergeCell ref="F8:G8"/>
    <mergeCell ref="H8:I8"/>
    <mergeCell ref="J8:K8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3946-E1B7-4CB3-8789-B4FD15B27E1D}">
  <dimension ref="A1:R13"/>
  <sheetViews>
    <sheetView tabSelected="1" workbookViewId="0">
      <selection activeCell="F16" sqref="F16"/>
    </sheetView>
  </sheetViews>
  <sheetFormatPr defaultRowHeight="14.5" x14ac:dyDescent="0.35"/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31" t="s">
        <v>17</v>
      </c>
      <c r="N1" s="31"/>
      <c r="O1" s="31"/>
      <c r="P1" s="31"/>
      <c r="Q1" s="31"/>
      <c r="R1" s="31"/>
    </row>
    <row r="2" spans="1:18" x14ac:dyDescent="0.35">
      <c r="A2" s="2">
        <v>100</v>
      </c>
      <c r="B2" s="5" t="s">
        <v>30</v>
      </c>
      <c r="C2" s="5" t="s">
        <v>36</v>
      </c>
      <c r="D2" s="5" t="s">
        <v>32</v>
      </c>
      <c r="E2" s="5" t="s">
        <v>37</v>
      </c>
      <c r="F2" s="5" t="s">
        <v>34</v>
      </c>
      <c r="G2" s="5" t="s">
        <v>37</v>
      </c>
      <c r="H2" s="5" t="s">
        <v>15</v>
      </c>
      <c r="I2" s="5" t="s">
        <v>36</v>
      </c>
      <c r="J2" s="5" t="s">
        <v>32</v>
      </c>
      <c r="K2" s="5" t="s">
        <v>7</v>
      </c>
      <c r="M2" s="13" t="s">
        <v>22</v>
      </c>
      <c r="N2" s="13" t="s">
        <v>18</v>
      </c>
      <c r="O2" s="13" t="s">
        <v>19</v>
      </c>
      <c r="P2" s="13" t="s">
        <v>22</v>
      </c>
      <c r="Q2" s="13" t="s">
        <v>18</v>
      </c>
      <c r="R2" s="13" t="s">
        <v>19</v>
      </c>
    </row>
    <row r="3" spans="1:18" x14ac:dyDescent="0.35">
      <c r="A3" s="24" t="s">
        <v>25</v>
      </c>
      <c r="B3" s="23">
        <f>0.908*$A$2</f>
        <v>90.8</v>
      </c>
      <c r="C3" s="23"/>
      <c r="D3" s="23">
        <f>0.906*$A$2</f>
        <v>90.600000000000009</v>
      </c>
      <c r="E3" s="23"/>
      <c r="F3" s="23">
        <f>0.909*$A$2</f>
        <v>90.9</v>
      </c>
      <c r="G3" s="23"/>
      <c r="H3" s="23">
        <f>0.907*$A$2</f>
        <v>90.7</v>
      </c>
      <c r="I3" s="23"/>
      <c r="J3" s="23">
        <f>0.905*$A$2</f>
        <v>90.5</v>
      </c>
      <c r="K3" s="23"/>
      <c r="M3" s="32" t="s">
        <v>0</v>
      </c>
      <c r="N3" s="14">
        <v>78.039000000000001</v>
      </c>
      <c r="O3" s="14" t="s">
        <v>4</v>
      </c>
      <c r="P3" s="33" t="s">
        <v>9</v>
      </c>
      <c r="Q3" s="6">
        <v>77.615188132429509</v>
      </c>
      <c r="R3" s="7" t="s">
        <v>5</v>
      </c>
    </row>
    <row r="4" spans="1:18" x14ac:dyDescent="0.35">
      <c r="A4" s="24"/>
      <c r="B4" s="23">
        <f>0.908*$A$2</f>
        <v>90.8</v>
      </c>
      <c r="C4" s="23"/>
      <c r="D4" s="23">
        <f>0.908*$A$2</f>
        <v>90.8</v>
      </c>
      <c r="E4" s="23"/>
      <c r="F4" s="23">
        <f>0.913*$A$2</f>
        <v>91.3</v>
      </c>
      <c r="G4" s="23"/>
      <c r="H4" s="23">
        <f>0.9*$A$2</f>
        <v>90</v>
      </c>
      <c r="I4" s="23"/>
      <c r="J4" s="23">
        <f>0.907*$A$2</f>
        <v>90.7</v>
      </c>
      <c r="K4" s="23"/>
      <c r="M4" s="32"/>
      <c r="N4" s="6">
        <v>77.986999999999995</v>
      </c>
      <c r="O4" s="6" t="s">
        <v>20</v>
      </c>
      <c r="P4" s="33"/>
      <c r="Q4" s="6">
        <v>77.56241842448739</v>
      </c>
      <c r="R4" s="7" t="s">
        <v>4</v>
      </c>
    </row>
    <row r="5" spans="1:18" x14ac:dyDescent="0.35">
      <c r="A5" s="24"/>
      <c r="B5" s="23">
        <f>0.894*$A$2</f>
        <v>89.4</v>
      </c>
      <c r="C5" s="23"/>
      <c r="D5" s="23">
        <f>0.894*$A$2</f>
        <v>89.4</v>
      </c>
      <c r="E5" s="23"/>
      <c r="F5" s="23">
        <f>0.889*$A$2</f>
        <v>88.9</v>
      </c>
      <c r="G5" s="23"/>
      <c r="H5" s="23">
        <f>0.888*$A$2</f>
        <v>88.8</v>
      </c>
      <c r="I5" s="23"/>
      <c r="J5" s="23">
        <f>0.891*$A$2</f>
        <v>89.1</v>
      </c>
      <c r="K5" s="23"/>
      <c r="M5" s="32"/>
      <c r="N5" s="6">
        <v>77.986999999999995</v>
      </c>
      <c r="O5" s="6" t="s">
        <v>2</v>
      </c>
      <c r="P5" s="33"/>
      <c r="Q5" s="6">
        <v>77.45659831866729</v>
      </c>
      <c r="R5" s="7" t="s">
        <v>2</v>
      </c>
    </row>
    <row r="6" spans="1:18" x14ac:dyDescent="0.35">
      <c r="A6" s="24"/>
      <c r="B6" s="23">
        <f>0.91*$A$2</f>
        <v>91</v>
      </c>
      <c r="C6" s="23"/>
      <c r="D6" s="23">
        <f>0.908*$A$2</f>
        <v>90.8</v>
      </c>
      <c r="E6" s="23"/>
      <c r="F6" s="23">
        <f>0.908*$A$2</f>
        <v>90.8</v>
      </c>
      <c r="G6" s="23"/>
      <c r="H6" s="23">
        <f>0.912*$A$2</f>
        <v>91.2</v>
      </c>
      <c r="I6" s="23"/>
      <c r="J6" s="23">
        <f>0.903*$A$2</f>
        <v>90.3</v>
      </c>
      <c r="K6" s="23"/>
      <c r="M6" s="32"/>
      <c r="N6" s="6">
        <v>77.430000000000007</v>
      </c>
      <c r="O6" s="6" t="s">
        <v>3</v>
      </c>
      <c r="P6" s="33"/>
      <c r="Q6" s="6">
        <v>77.323972323972313</v>
      </c>
      <c r="R6" s="7" t="s">
        <v>20</v>
      </c>
    </row>
    <row r="7" spans="1:18" x14ac:dyDescent="0.35">
      <c r="A7" s="24"/>
      <c r="B7" s="23">
        <f>0.907*$A$2</f>
        <v>90.7</v>
      </c>
      <c r="C7" s="23"/>
      <c r="D7" s="23">
        <f>0.91*$A$2</f>
        <v>91</v>
      </c>
      <c r="E7" s="23"/>
      <c r="F7" s="23">
        <f>0.901*$A$2</f>
        <v>90.100000000000009</v>
      </c>
      <c r="G7" s="23"/>
      <c r="H7" s="23">
        <f>0.897*$A$2</f>
        <v>89.7</v>
      </c>
      <c r="I7" s="23"/>
      <c r="J7" s="23">
        <f>0.899*$A$2</f>
        <v>89.9</v>
      </c>
      <c r="K7" s="23"/>
      <c r="M7" s="32"/>
      <c r="N7" s="6">
        <v>76.742000000000004</v>
      </c>
      <c r="O7" s="6" t="s">
        <v>5</v>
      </c>
      <c r="P7" s="33"/>
      <c r="Q7" s="6">
        <v>77.2182223906362</v>
      </c>
      <c r="R7" s="7" t="s">
        <v>21</v>
      </c>
    </row>
    <row r="8" spans="1:18" x14ac:dyDescent="0.35">
      <c r="A8" s="24"/>
      <c r="B8" s="23">
        <f>0.907*$A$2</f>
        <v>90.7</v>
      </c>
      <c r="C8" s="23"/>
      <c r="D8" s="23">
        <f>0.901*$A$2</f>
        <v>90.100000000000009</v>
      </c>
      <c r="E8" s="23"/>
      <c r="F8" s="23">
        <f>0.896*$A$2</f>
        <v>89.600000000000009</v>
      </c>
      <c r="G8" s="23"/>
      <c r="H8" s="23">
        <f>0.898*$A$2</f>
        <v>89.8</v>
      </c>
      <c r="I8" s="23"/>
      <c r="J8" s="23">
        <f>0.901*$A$2</f>
        <v>90.100000000000009</v>
      </c>
      <c r="K8" s="23"/>
      <c r="M8" s="8"/>
      <c r="N8" s="9"/>
      <c r="O8" s="9"/>
      <c r="P8" s="9"/>
      <c r="Q8" s="9"/>
      <c r="R8" s="10"/>
    </row>
    <row r="9" spans="1:18" x14ac:dyDescent="0.35">
      <c r="A9" s="24"/>
      <c r="B9" s="23">
        <f>0.914*$A$2</f>
        <v>91.4</v>
      </c>
      <c r="C9" s="23"/>
      <c r="D9" s="23">
        <f>0.913*$A$2</f>
        <v>91.3</v>
      </c>
      <c r="E9" s="23"/>
      <c r="F9" s="23">
        <f>0.909*$A$2</f>
        <v>90.9</v>
      </c>
      <c r="G9" s="23"/>
      <c r="H9" s="23">
        <f>0.908*$A$2</f>
        <v>90.8</v>
      </c>
      <c r="I9" s="23"/>
      <c r="J9" s="23">
        <f>0.909*$A$2</f>
        <v>90.9</v>
      </c>
      <c r="K9" s="23"/>
      <c r="M9" s="32" t="s">
        <v>10</v>
      </c>
      <c r="N9" s="6">
        <v>75.947889913407167</v>
      </c>
      <c r="O9" s="6" t="s">
        <v>4</v>
      </c>
      <c r="P9" s="33" t="s">
        <v>11</v>
      </c>
      <c r="Q9" s="6"/>
      <c r="R9" s="7"/>
    </row>
    <row r="10" spans="1:18" x14ac:dyDescent="0.35">
      <c r="A10" s="24"/>
      <c r="B10" s="23">
        <f>0.917*$A$2</f>
        <v>91.7</v>
      </c>
      <c r="C10" s="23"/>
      <c r="D10" s="23">
        <f>0.91*$A$2</f>
        <v>91</v>
      </c>
      <c r="E10" s="23"/>
      <c r="F10" s="23">
        <f>0.911*$A$2</f>
        <v>91.100000000000009</v>
      </c>
      <c r="G10" s="23"/>
      <c r="H10" s="23">
        <f>0.909*$A$2</f>
        <v>90.9</v>
      </c>
      <c r="I10" s="23"/>
      <c r="J10" s="23">
        <f>0.912*$A$2</f>
        <v>91.2</v>
      </c>
      <c r="K10" s="23"/>
      <c r="M10" s="32"/>
      <c r="N10" s="6">
        <v>75.47050650498926</v>
      </c>
      <c r="O10" s="6" t="s">
        <v>5</v>
      </c>
      <c r="P10" s="33"/>
      <c r="Q10" s="6"/>
      <c r="R10" s="7"/>
    </row>
    <row r="11" spans="1:18" x14ac:dyDescent="0.35">
      <c r="A11" s="24"/>
      <c r="B11" s="23">
        <f>0.896*$A$2</f>
        <v>89.600000000000009</v>
      </c>
      <c r="C11" s="23"/>
      <c r="D11" s="23">
        <f>0.895*$A$2</f>
        <v>89.5</v>
      </c>
      <c r="E11" s="23"/>
      <c r="F11" s="23">
        <f>0.898*$A$2</f>
        <v>89.8</v>
      </c>
      <c r="G11" s="23"/>
      <c r="H11" s="23">
        <f>0.898*$A$2</f>
        <v>89.8</v>
      </c>
      <c r="I11" s="23"/>
      <c r="J11" s="23">
        <f>0.892*$A$2</f>
        <v>89.2</v>
      </c>
      <c r="K11" s="23"/>
      <c r="M11" s="32"/>
      <c r="N11" s="6">
        <v>75.285531837256002</v>
      </c>
      <c r="O11" s="6" t="s">
        <v>20</v>
      </c>
      <c r="P11" s="33"/>
      <c r="Q11" s="6"/>
      <c r="R11" s="7"/>
    </row>
    <row r="12" spans="1:18" x14ac:dyDescent="0.35">
      <c r="A12" s="24"/>
      <c r="B12" s="23">
        <f>0.897*$A$2</f>
        <v>89.7</v>
      </c>
      <c r="C12" s="23"/>
      <c r="D12" s="23">
        <f>0.904*$A$2</f>
        <v>90.4</v>
      </c>
      <c r="E12" s="23"/>
      <c r="F12" s="23">
        <f>0.903*$A$2</f>
        <v>90.3</v>
      </c>
      <c r="G12" s="23"/>
      <c r="H12" s="23">
        <f>0.899*$A$2</f>
        <v>89.9</v>
      </c>
      <c r="I12" s="23"/>
      <c r="J12" s="23">
        <f>0.898*$A$2</f>
        <v>89.8</v>
      </c>
      <c r="K12" s="23"/>
      <c r="M12" s="32"/>
      <c r="N12" s="6">
        <v>75.046945391772979</v>
      </c>
      <c r="O12" s="6" t="s">
        <v>2</v>
      </c>
      <c r="P12" s="33"/>
      <c r="Q12" s="6"/>
      <c r="R12" s="7"/>
    </row>
    <row r="13" spans="1:18" ht="15" thickBot="1" x14ac:dyDescent="0.4">
      <c r="A13" s="4" t="s">
        <v>8</v>
      </c>
      <c r="B13" s="25">
        <f>AVERAGE(B3:C12)</f>
        <v>90.580000000000013</v>
      </c>
      <c r="C13" s="25"/>
      <c r="D13" s="25">
        <f>AVERAGE(D3:E12)</f>
        <v>90.49</v>
      </c>
      <c r="E13" s="25"/>
      <c r="F13" s="25">
        <f>AVERAGE(F3:G12)</f>
        <v>90.36999999999999</v>
      </c>
      <c r="G13" s="25"/>
      <c r="H13" s="27">
        <f>AVERAGE(H3:I12)</f>
        <v>90.159999999999982</v>
      </c>
      <c r="I13" s="27"/>
      <c r="J13" s="25">
        <f>AVERAGE(J3:K12)</f>
        <v>90.17</v>
      </c>
      <c r="K13" s="30"/>
      <c r="M13" s="34"/>
      <c r="N13" s="11">
        <v>74.914670259497854</v>
      </c>
      <c r="O13" s="11" t="s">
        <v>21</v>
      </c>
      <c r="P13" s="35"/>
      <c r="Q13" s="11"/>
      <c r="R13" s="12"/>
    </row>
  </sheetData>
  <mergeCells count="66">
    <mergeCell ref="M1:R1"/>
    <mergeCell ref="M3:M7"/>
    <mergeCell ref="P3:P7"/>
    <mergeCell ref="M9:M13"/>
    <mergeCell ref="P9:P13"/>
    <mergeCell ref="B13:C13"/>
    <mergeCell ref="D13:E13"/>
    <mergeCell ref="F13:G13"/>
    <mergeCell ref="H13:I13"/>
    <mergeCell ref="J13:K13"/>
    <mergeCell ref="A3:A12"/>
    <mergeCell ref="B7:C7"/>
    <mergeCell ref="D7:E7"/>
    <mergeCell ref="F7:G7"/>
    <mergeCell ref="H7:I7"/>
    <mergeCell ref="B9:C9"/>
    <mergeCell ref="D9:E9"/>
    <mergeCell ref="F9:G9"/>
    <mergeCell ref="H9:I9"/>
    <mergeCell ref="B5:C5"/>
    <mergeCell ref="D5:E5"/>
    <mergeCell ref="F5:G5"/>
    <mergeCell ref="H5:I5"/>
    <mergeCell ref="J11:K11"/>
    <mergeCell ref="B12:C12"/>
    <mergeCell ref="D12:E12"/>
    <mergeCell ref="F12:G12"/>
    <mergeCell ref="H12:I12"/>
    <mergeCell ref="J12:K12"/>
    <mergeCell ref="B11:C11"/>
    <mergeCell ref="D11:E11"/>
    <mergeCell ref="F11:G11"/>
    <mergeCell ref="H11:I11"/>
    <mergeCell ref="J9:K9"/>
    <mergeCell ref="B10:C10"/>
    <mergeCell ref="D10:E10"/>
    <mergeCell ref="F10:G10"/>
    <mergeCell ref="H10:I10"/>
    <mergeCell ref="J10:K10"/>
    <mergeCell ref="J7:K7"/>
    <mergeCell ref="B8:C8"/>
    <mergeCell ref="D8:E8"/>
    <mergeCell ref="F8:G8"/>
    <mergeCell ref="H8:I8"/>
    <mergeCell ref="J8:K8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A0A7-1078-4684-891F-55BA0C124406}">
  <dimension ref="A1:R4"/>
  <sheetViews>
    <sheetView workbookViewId="0">
      <selection activeCell="D3" sqref="D3:E3"/>
    </sheetView>
  </sheetViews>
  <sheetFormatPr defaultRowHeight="14.5" x14ac:dyDescent="0.35"/>
  <cols>
    <col min="14" max="14" width="11.36328125" customWidth="1"/>
    <col min="15" max="15" width="10.6328125" customWidth="1"/>
    <col min="17" max="17" width="11.36328125" customWidth="1"/>
  </cols>
  <sheetData>
    <row r="1" spans="1:18" x14ac:dyDescent="0.35">
      <c r="A1" s="15">
        <v>100</v>
      </c>
      <c r="B1" s="40" t="s">
        <v>1</v>
      </c>
      <c r="C1" s="40"/>
      <c r="D1" s="40" t="s">
        <v>2</v>
      </c>
      <c r="E1" s="40"/>
      <c r="F1" s="40" t="s">
        <v>3</v>
      </c>
      <c r="G1" s="40"/>
      <c r="H1" s="40" t="s">
        <v>4</v>
      </c>
      <c r="I1" s="40"/>
      <c r="J1" s="40" t="s">
        <v>5</v>
      </c>
      <c r="K1" s="41"/>
      <c r="M1" s="31" t="s">
        <v>24</v>
      </c>
      <c r="N1" s="31"/>
      <c r="O1" s="31"/>
      <c r="P1" s="31"/>
      <c r="Q1" s="31"/>
      <c r="R1" s="31"/>
    </row>
    <row r="2" spans="1:18" x14ac:dyDescent="0.35">
      <c r="A2" s="16">
        <v>100</v>
      </c>
      <c r="B2" s="3" t="s">
        <v>38</v>
      </c>
      <c r="C2" s="3" t="s">
        <v>37</v>
      </c>
      <c r="D2" s="3" t="s">
        <v>30</v>
      </c>
      <c r="E2" s="3" t="s">
        <v>39</v>
      </c>
      <c r="F2" s="3" t="s">
        <v>16</v>
      </c>
      <c r="G2" s="3" t="s">
        <v>13</v>
      </c>
      <c r="H2" s="3" t="s">
        <v>6</v>
      </c>
      <c r="I2" s="3" t="s">
        <v>7</v>
      </c>
      <c r="J2" s="3" t="s">
        <v>38</v>
      </c>
      <c r="K2" s="3" t="s">
        <v>37</v>
      </c>
      <c r="M2" s="13" t="s">
        <v>22</v>
      </c>
      <c r="N2" s="13" t="s">
        <v>18</v>
      </c>
      <c r="O2" s="13" t="s">
        <v>19</v>
      </c>
      <c r="P2" s="13" t="s">
        <v>22</v>
      </c>
      <c r="Q2" s="13" t="s">
        <v>18</v>
      </c>
      <c r="R2" s="13" t="s">
        <v>19</v>
      </c>
    </row>
    <row r="3" spans="1:18" x14ac:dyDescent="0.35">
      <c r="A3" s="17" t="s">
        <v>25</v>
      </c>
      <c r="B3" s="39">
        <f>0.816*$A$2</f>
        <v>81.599999999999994</v>
      </c>
      <c r="C3" s="39"/>
      <c r="D3" s="39">
        <f>0.836*$A$2</f>
        <v>83.6</v>
      </c>
      <c r="E3" s="39"/>
      <c r="F3" s="39">
        <f>0.82*$A$2</f>
        <v>82</v>
      </c>
      <c r="G3" s="39"/>
      <c r="H3" s="39">
        <f>0.816*$A$2</f>
        <v>81.599999999999994</v>
      </c>
      <c r="I3" s="39"/>
      <c r="J3" s="39">
        <f>0.818*$A$2</f>
        <v>81.8</v>
      </c>
      <c r="K3" s="39"/>
      <c r="M3" s="21" t="s">
        <v>0</v>
      </c>
      <c r="N3" s="14">
        <v>75.2</v>
      </c>
      <c r="O3" s="14" t="s">
        <v>21</v>
      </c>
      <c r="P3" s="22" t="s">
        <v>9</v>
      </c>
      <c r="Q3" s="6"/>
      <c r="R3" s="7"/>
    </row>
    <row r="4" spans="1:18" ht="15" thickBot="1" x14ac:dyDescent="0.4">
      <c r="A4" s="36"/>
      <c r="B4" s="37"/>
      <c r="C4" s="37"/>
      <c r="D4" s="37"/>
      <c r="E4" s="37"/>
      <c r="F4" s="37"/>
      <c r="G4" s="37"/>
      <c r="H4" s="37"/>
      <c r="I4" s="37"/>
      <c r="J4" s="37"/>
      <c r="K4" s="38"/>
      <c r="M4" s="19"/>
      <c r="N4" s="11"/>
      <c r="O4" s="11"/>
      <c r="P4" s="20"/>
      <c r="Q4" s="11"/>
      <c r="R4" s="12"/>
    </row>
  </sheetData>
  <mergeCells count="12">
    <mergeCell ref="A4:K4"/>
    <mergeCell ref="M1:R1"/>
    <mergeCell ref="J3:K3"/>
    <mergeCell ref="B1:C1"/>
    <mergeCell ref="D1:E1"/>
    <mergeCell ref="F1:G1"/>
    <mergeCell ref="H1:I1"/>
    <mergeCell ref="J1:K1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</vt:lpstr>
      <vt:lpstr>MPQA</vt:lpstr>
      <vt:lpstr>MR</vt:lpstr>
      <vt:lpstr>SUBJ</vt:lpstr>
      <vt:lpstr>TREC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2021-02-12T08:06:10Z</dcterms:created>
  <dcterms:modified xsi:type="dcterms:W3CDTF">2021-03-21T17:03:35Z</dcterms:modified>
</cp:coreProperties>
</file>