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/Desktop/Excel Challenge/"/>
    </mc:Choice>
  </mc:AlternateContent>
  <xr:revisionPtr revIDLastSave="0" documentId="8_{8B22045C-71D9-AF46-B050-73055D342EDC}" xr6:coauthVersionLast="47" xr6:coauthVersionMax="47" xr10:uidLastSave="{00000000-0000-0000-0000-000000000000}"/>
  <bookViews>
    <workbookView xWindow="34820" yWindow="3080" windowWidth="31440" windowHeight="14480" activeTab="5" xr2:uid="{00000000-000D-0000-FFFF-FFFF00000000}"/>
  </bookViews>
  <sheets>
    <sheet name="Crowdfunding" sheetId="1" r:id="rId1"/>
    <sheet name="Pivot Table 1" sheetId="4" r:id="rId2"/>
    <sheet name="Pivot Table 2" sheetId="5" r:id="rId3"/>
    <sheet name="Pivot Table 3" sheetId="6" r:id="rId4"/>
    <sheet name="Crowfunding Goal Analysis" sheetId="8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96" r:id="rId7"/>
    <pivotCache cacheId="9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2" i="9"/>
  <c r="K3" i="9"/>
  <c r="K2" i="9"/>
  <c r="J3" i="9"/>
  <c r="J2" i="9"/>
  <c r="I3" i="9"/>
  <c r="I2" i="9"/>
  <c r="H3" i="9"/>
  <c r="H2" i="9"/>
  <c r="G3" i="9"/>
  <c r="G2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B13" i="8"/>
  <c r="E13" i="8" s="1"/>
  <c r="B12" i="8"/>
  <c r="B11" i="8"/>
  <c r="E11" i="8" s="1"/>
  <c r="B10" i="8"/>
  <c r="E10" i="8" s="1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12" i="8" l="1"/>
  <c r="E8" i="8"/>
  <c r="F8" i="8" s="1"/>
  <c r="E5" i="8"/>
  <c r="G5" i="8" s="1"/>
  <c r="E6" i="8"/>
  <c r="H6" i="8" s="1"/>
  <c r="E9" i="8"/>
  <c r="G9" i="8" s="1"/>
  <c r="E2" i="8"/>
  <c r="F2" i="8" s="1"/>
  <c r="E3" i="8"/>
  <c r="H3" i="8" s="1"/>
  <c r="E7" i="8"/>
  <c r="G7" i="8" s="1"/>
  <c r="E4" i="8"/>
  <c r="G4" i="8" s="1"/>
  <c r="F10" i="8"/>
  <c r="G10" i="8"/>
  <c r="H10" i="8"/>
  <c r="F6" i="8"/>
  <c r="G6" i="8"/>
  <c r="G8" i="8"/>
  <c r="H8" i="8"/>
  <c r="H11" i="8"/>
  <c r="F11" i="8"/>
  <c r="G11" i="8"/>
  <c r="H12" i="8"/>
  <c r="F12" i="8"/>
  <c r="G12" i="8"/>
  <c r="H5" i="8"/>
  <c r="F5" i="8"/>
  <c r="H13" i="8"/>
  <c r="F13" i="8"/>
  <c r="G13" i="8"/>
  <c r="G2" i="8" l="1"/>
  <c r="H2" i="8"/>
  <c r="F9" i="8"/>
  <c r="F7" i="8"/>
  <c r="H9" i="8"/>
  <c r="H4" i="8"/>
  <c r="H7" i="8"/>
  <c r="F4" i="8"/>
  <c r="G3" i="8"/>
  <c r="F3" i="8"/>
</calcChain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<sst xmlns="http://schemas.openxmlformats.org/spreadsheetml/2006/main" count="7062" uniqueCount="2115">
  <si>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</si>
  <si>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</si>
  <si>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</si>
  <si>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</si>
  <si>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</si>
  <si>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</si>
  <si>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</si>
  <si>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</si>
  <si>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</si>
  <si>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</si>
  <si>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</si>
  <si>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</si>
  <si>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</si>
  <si>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</si>
  <si>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</si>
  <si>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</si>
  <si>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</si>
  <si>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</si>
  <si>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</si>
  <si>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</si>
  <si>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</si>
  <si>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</si>
  <si>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</si>
  <si>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</si>
  <si>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</si>
  <si>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</si>
  <si>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</si>
  <si>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</si>
  <si>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</si>
  <si>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</si>
  <si>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</si>
  <si>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</si>
  <si>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</si>
  <si>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</si>
  <si>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</si>
  <si>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</si>
  <si>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</si>
  <si>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</si>
  <si>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</si>
  <si>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</si>
  <si>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</si>
  <si>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</si>
  <si>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</si>
  <si>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</si>
  <si>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</si>
  <si>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</si>
  <si>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</si>
  <si>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</si>
  <si>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</si>
  <si>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</si>
  <si>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</si>
  <si>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</si>
  <si>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</si>
  <si>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</si>
  <si>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</si>
  <si>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</si>
  <si>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</si>
  <si>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</si>
  <si>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</si>
  <si>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</si>
  <si>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</si>
  <si>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</si>
  <si>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</si>
  <si>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</si>
  <si>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</si>
  <si>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</si>
  <si>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</si>
  <si>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</si>
  <si>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</si>
  <si>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</si>
  <si>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</si>
  <si>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</si>
  <si>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</si>
  <si>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</si>
  <si>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</si>
  <si>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</si>
  <si>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</si>
  <si>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</si>
  <si>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</si>
  <si>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</si>
  <si>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</si>
  <si>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</si>
  <si>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</si>
  <si>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</si>
  <si>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</si>
  <si>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</si>
  <si>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</si>
  <si>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</si>
  <si>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</si>
  <si>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</si>
  <si>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</si>
  <si>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</si>
  <si>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</si>
  <si>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</si>
  <si>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</si>
  <si>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</si>
  <si>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</si>
  <si>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</si>
  <si>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</si>
  <si>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</si>
  <si>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</si>
  <si>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</si>
  <si>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</si>
  <si>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</si>
  <si>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</si>
  <si>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</si>
  <si>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</si>
  <si>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</si>
  <si>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</si>
  <si>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</si>
  <si>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</si>
  <si>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</si>
  <si>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</si>
  <si>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</si>
  <si>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</si>
  <si>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</si>
  <si>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</si>
  <si>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</si>
  <si>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</si>
  <si>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</si>
  <si>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</si>
  <si>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</si>
  <si>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</si>
  <si>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</si>
  <si>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</si>
  <si>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</si>
  <si>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</si>
  <si>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</si>
  <si>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</si>
  <si>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</si>
  <si>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</si>
  <si>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</si>
  <si>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</si>
  <si>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</si>
  <si>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</si>
  <si>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</si>
  <si>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</si>
  <si>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</si>
  <si>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</si>
  <si>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</si>
  <si>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</si>
  <si>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</si>
  <si>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</si>
  <si>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</si>
  <si>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</si>
  <si>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</si>
  <si>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</si>
  <si>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</si>
  <si>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</si>
  <si>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</si>
  <si>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</si>
  <si>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</si>
  <si>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</si>
  <si>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</si>
  <si>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</si>
  <si>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</si>
  <si>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</si>
  <si>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</si>
  <si>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</si>
  <si>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</si>
  <si>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</si>
  <si>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</si>
  <si>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</si>
  <si>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</si>
  <si>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</si>
  <si>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</si>
  <si>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</si>
  <si>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</si>
  <si>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</si>
  <si>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</si>
  <si>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</si>
  <si>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</si>
  <si>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</si>
  <si>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</si>
  <si>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</si>
  <si>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</si>
  <si>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</si>
  <si>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</si>
  <si>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</si>
  <si>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</si>
  <si>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</si>
  <si>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</si>
  <si>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</si>
  <si>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</si>
  <si>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</si>
  <si>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</si>
  <si>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</si>
  <si>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</si>
  <si>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</si>
  <si>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</si>
  <si>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</si>
  <si>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</si>
  <si>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</si>
  <si>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</si>
  <si>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</si>
  <si>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</si>
  <si>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</si>
  <si>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</si>
  <si>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</si>
  <si>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</si>
  <si>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</si>
  <si>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</si>
  <si>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</si>
  <si>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</si>
  <si>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</si>
  <si>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</si>
  <si>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</si>
  <si>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</si>
  <si>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</si>
  <si>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</si>
  <si>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</si>
  <si>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</si>
  <si>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</si>
  <si>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</si>
  <si>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</si>
  <si>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</si>
  <si>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</si>
  <si>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</si>
  <si>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</si>
  <si>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</si>
  <si>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</si>
  <si>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</si>
  <si>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</si>
  <si>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</si>
  <si>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</si>
  <si>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</si>
  <si>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</si>
  <si>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</si>
  <si>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</si>
  <si>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</si>
  <si>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</si>
  <si>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</si>
  <si>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</si>
  <si>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</si>
  <si>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</si>
  <si>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</si>
  <si>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</si>
  <si>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</si>
  <si>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</si>
  <si>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</si>
  <si>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</si>
  <si>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</si>
  <si>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</si>
  <si>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</si>
  <si>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</si>
  <si>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</si>
  <si>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</si>
  <si>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</si>
  <si>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</si>
  <si>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</si>
  <si>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</si>
  <si>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</si>
  <si>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</si>
  <si>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</si>
  <si>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</si>
  <si>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</si>
  <si>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</si>
  <si>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</si>
  <si>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</si>
  <si>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</si>
  <si>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</si>
  <si>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</si>
  <si>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</si>
  <si>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</si>
  <si>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</si>
  <si>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</si>
  <si>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</si>
  <si>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</si>
  <si>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</si>
  <si>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</si>
  <si>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</si>
  <si>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</si>
  <si>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</si>
  <si>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</si>
  <si>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</si>
  <si>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</si>
  <si>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</si>
  <si>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</si>
  <si>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</si>
  <si>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</si>
  <si>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</si>
  <si>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</si>
  <si>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</si>
  <si>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</si>
  <si>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</si>
  <si>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</si>
  <si>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</si>
  <si>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</si>
  <si>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</si>
  <si>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</si>
  <si>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</si>
  <si>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</si>
  <si>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</si>
  <si>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</si>
  <si>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</si>
  <si>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</si>
  <si>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</si>
  <si>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</si>
  <si>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</si>
  <si>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</si>
  <si>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</si>
  <si>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</si>
  <si>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</si>
  <si>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</si>
  <si>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</si>
  <si>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</si>
  <si>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</si>
  <si>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</si>
  <si>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</si>
  <si>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</si>
  <si>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</si>
  <si>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</si>
  <si>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</si>
  <si>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</si>
  <si>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</si>
  <si>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</si>
  <si>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</si>
  <si>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</si>
  <si>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</si>
  <si>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</si>
  <si>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</si>
  <si>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</si>
  <si>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</si>
  <si>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</si>
  <si>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</si>
  <si>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</si>
  <si>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</si>
  <si>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</si>
  <si>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</si>
  <si>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</si>
  <si>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</si>
  <si>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</si>
  <si>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</si>
  <si>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</si>
  <si>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</si>
  <si>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</si>
  <si>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</si>
  <si>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</si>
  <si>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</si>
  <si>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</si>
  <si>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</si>
  <si>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</si>
  <si>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</si>
  <si>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</si>
  <si>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</si>
  <si>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</si>
  <si>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</si>
  <si>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</si>
  <si>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</si>
  <si>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</si>
  <si>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</si>
  <si>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</si>
  <si>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</si>
  <si>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</si>
  <si>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</si>
  <si>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</si>
  <si>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</si>
  <si>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</si>
  <si>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</si>
  <si>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</si>
  <si>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</si>
  <si>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</si>
  <si>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</si>
  <si>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</si>
  <si>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</si>
  <si>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</si>
  <si>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</si>
  <si>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</si>
  <si>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</si>
  <si>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</si>
  <si>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</si>
  <si>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</si>
  <si>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</si>
  <si>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</si>
  <si>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</si>
  <si>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</si>
  <si>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</si>
  <si>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</si>
  <si>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</si>
  <si>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</si>
  <si>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</si>
  <si>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</si>
  <si>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</si>
  <si>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</si>
  <si>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</si>
  <si>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</si>
  <si>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</si>
  <si>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</si>
  <si>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</si>
  <si>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</si>
  <si>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</si>
  <si>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</si>
  <si>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</si>
  <si>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</si>
  <si>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</si>
  <si>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</si>
  <si>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</si>
  <si>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</si>
  <si>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</si>
  <si>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</si>
  <si>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</si>
  <si>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</si>
  <si>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</si>
  <si>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</si>
  <si>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</si>
  <si>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</si>
  <si>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</si>
  <si>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</si>
  <si>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</si>
  <si>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</si>
  <si>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</si>
  <si>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</si>
  <si>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</si>
  <si>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</si>
  <si>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</si>
  <si>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</si>
  <si>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</si>
  <si>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</si>
  <si>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</si>
  <si>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</si>
  <si>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</si>
  <si>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</si>
  <si>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</si>
  <si>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</si>
  <si>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</si>
  <si>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</si>
  <si>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</si>
  <si>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</si>
  <si>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</si>
  <si>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</si>
  <si>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</si>
  <si>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</si>
  <si>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</si>
  <si>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</si>
  <si>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</si>
  <si>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</si>
  <si>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</si>
  <si>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</si>
  <si>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</si>
  <si>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</si>
  <si>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</si>
  <si>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</si>
  <si>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</si>
  <si>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</si>
  <si>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</si>
  <si>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</si>
  <si>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</si>
  <si>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</si>
  <si>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</si>
  <si>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</si>
  <si>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</si>
  <si>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</si>
  <si>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</si>
  <si>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</si>
  <si>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</si>
  <si>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</si>
  <si>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</si>
  <si>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</si>
  <si>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</si>
  <si>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</si>
  <si>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</si>
  <si>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</si>
  <si>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</si>
  <si>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</si>
  <si>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</si>
  <si>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</si>
  <si>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</si>
  <si>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</si>
  <si>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</si>
  <si>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</si>
  <si>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</si>
  <si>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</si>
  <si>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</si>
  <si>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</si>
  <si>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</si>
  <si>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</si>
  <si>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</si>
  <si>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</si>
  <si>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</si>
  <si>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</si>
  <si>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</si>
  <si>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</si>
  <si>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</si>
  <si>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</si>
  <si>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</si>
  <si>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</si>
  <si>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</si>
  <si>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</si>
  <si>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</si>
  <si>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</si>
  <si>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</si>
  <si>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</si>
  <si>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</si>
  <si>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</si>
  <si>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</si>
  <si>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</si>
  <si>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</si>
  <si>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</si>
  <si>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</si>
  <si>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</si>
  <si>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</si>
  <si>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</si>
  <si>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</si>
  <si>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</si>
  <si>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</si>
  <si>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</si>
  <si>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</si>
  <si>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</si>
  <si>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</si>
  <si>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</si>
  <si>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</si>
  <si>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</si>
  <si>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</si>
  <si>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</si>
  <si>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</si>
  <si>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</si>
  <si>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</si>
  <si>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</si>
  <si>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</si>
  <si>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</si>
  <si>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</si>
  <si>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</si>
  <si>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</si>
  <si>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</si>
  <si>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</si>
  <si>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</si>
  <si>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</si>
  <si>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</si>
  <si>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</si>
  <si>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</si>
  <si>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</si>
  <si>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</si>
  <si>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</si>
  <si>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</si>
  <si>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</si>
  <si>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</si>
  <si>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</si>
  <si>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</si>
  <si>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</si>
  <si>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</si>
  <si>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</si>
  <si>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</si>
  <si>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</si>
  <si>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</si>
  <si>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</si>
  <si>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</si>
  <si>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</si>
  <si>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</si>
  <si>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</si>
  <si>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</si>
  <si>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</si>
  <si>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</si>
  <si>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</si>
  <si>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</si>
  <si>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</si>
  <si>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</si>
  <si>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</si>
  <si>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</si>
  <si>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</si>
  <si>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</si>
  <si>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</si>
  <si>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</si>
  <si>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</si>
  <si>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</si>
  <si>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</si>
  <si>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</si>
  <si>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</si>
  <si>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</si>
  <si>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</si>
  <si>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</si>
  <si>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</si>
  <si>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</si>
  <si>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</si>
  <si>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</si>
  <si>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</si>
  <si>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</si>
  <si>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</si>
  <si>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</si>
  <si>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</si>
  <si>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</si>
  <si>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</si>
  <si>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</si>
  <si>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</si>
  <si>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</si>
  <si>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</si>
  <si>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</si>
  <si>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</si>
  <si>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</si>
  <si>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</si>
  <si>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</si>
  <si>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</si>
  <si>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</si>
  <si>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</si>
  <si>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</si>
  <si>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</si>
  <si>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</si>
  <si>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</si>
  <si>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</si>
  <si>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</si>
  <si>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</si>
  <si>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</si>
  <si>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</si>
  <si>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</si>
  <si>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</si>
  <si>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</si>
  <si>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</si>
  <si>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</si>
  <si>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</si>
  <si>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</si>
  <si>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</si>
  <si>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</si>
  <si>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</si>
  <si>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</si>
  <si>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</si>
  <si>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</si>
  <si>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</si>
  <si>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</si>
  <si>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</si>
  <si>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</si>
  <si>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</si>
  <si>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</si>
  <si>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</si>
  <si>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</si>
  <si>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</si>
  <si>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</si>
  <si>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</si>
  <si>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</si>
  <si>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</si>
  <si>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</si>
  <si>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</si>
  <si>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</si>
  <si>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</si>
  <si>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</si>
  <si>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</si>
  <si>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</si>
  <si>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</si>
  <si>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</si>
  <si>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</si>
  <si>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</si>
  <si>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</si>
  <si>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</si>
  <si>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</si>
  <si>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</si>
  <si>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</si>
  <si>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</si>
  <si>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</si>
  <si>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</si>
  <si>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</si>
  <si>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</si>
  <si>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</si>
  <si>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</si>
  <si>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</si>
  <si>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</si>
  <si>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</si>
  <si>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</si>
  <si>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</si>
  <si>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</si>
  <si>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</si>
  <si>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</si>
  <si>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</si>
  <si>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</si>
  <si>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</si>
  <si>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</si>
  <si>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</si>
  <si>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</si>
  <si>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</si>
  <si>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</si>
  <si>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</si>
  <si>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</si>
  <si>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</si>
  <si>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</si>
  <si>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</si>
  <si>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</si>
  <si>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</si>
  <si>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</si>
  <si>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</si>
  <si>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</si>
  <si>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</si>
  <si>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</si>
  <si>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</si>
  <si>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</si>
  <si>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</si>
  <si>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</si>
  <si>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</si>
  <si>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</si>
  <si>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</si>
  <si>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</si>
  <si>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</si>
  <si>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</si>
  <si>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</si>
  <si>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</si>
  <si>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</si>
  <si>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</si>
  <si>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</si>
  <si>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</si>
  <si>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</si>
  <si>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</si>
  <si>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</si>
  <si>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</si>
  <si>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</si>
  <si>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</si>
  <si>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</si>
  <si>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</si>
  <si>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</si>
  <si>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</si>
  <si>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</si>
  <si>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</si>
  <si>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</si>
  <si>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</si>
  <si>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</si>
  <si>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</si>
  <si>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</si>
  <si>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</si>
  <si>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</si>
  <si>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</si>
  <si>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</si>
  <si>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</si>
  <si>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</si>
  <si>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</si>
  <si>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</si>
  <si>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</si>
  <si>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</si>
  <si>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</si>
  <si>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</si>
  <si>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</si>
  <si>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</si>
  <si>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</si>
  <si>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</si>
  <si>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</si>
  <si>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</si>
  <si>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</si>
  <si>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</si>
  <si>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</si>
  <si>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</si>
  <si>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</si>
  <si>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</si>
  <si>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</si>
  <si>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</si>
  <si>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</si>
  <si>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</si>
  <si>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</si>
  <si>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</si>
  <si>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</si>
  <si>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</si>
  <si>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</si>
  <si>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</si>
  <si>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</si>
  <si>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</si>
  <si>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</si>
  <si>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</si>
  <si>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</si>
  <si>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</si>
  <si>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</si>
  <si>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</si>
  <si>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</si>
  <si>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</si>
  <si>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</si>
  <si>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</si>
  <si>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</si>
  <si>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</si>
  <si>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</si>
  <si>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</si>
  <si>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</si>
  <si>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</si>
  <si>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</si>
  <si>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</si>
  <si>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</si>
  <si>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</si>
  <si>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</si>
  <si>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</si>
  <si>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</si>
  <si>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</si>
  <si>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</si>
  <si>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</si>
  <si>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</si>
  <si>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</si>
  <si>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</si>
  <si>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</si>
  <si>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</si>
  <si>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</si>
  <si>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</si>
  <si>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</si>
  <si>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</si>
  <si>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</si>
  <si>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</si>
  <si>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</si>
  <si>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</si>
  <si>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</si>
  <si>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</si>
  <si>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</si>
  <si>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</si>
  <si>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</si>
  <si>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</si>
  <si>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</si>
  <si>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</si>
  <si>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</si>
  <si>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</si>
  <si>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</si>
  <si>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</si>
  <si>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</si>
  <si>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</si>
  <si>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</si>
  <si>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</si>
  <si>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</si>
  <si>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</si>
  <si>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</si>
  <si>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</si>
  <si>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</si>
  <si>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</si>
  <si>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</si>
  <si>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</si>
  <si>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</si>
  <si>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</si>
  <si>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</si>
  <si>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</si>
  <si>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</si>
  <si>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</si>
  <si>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</si>
  <si>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</si>
  <si>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</si>
  <si>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</si>
  <si>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</si>
  <si>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</si>
  <si>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</si>
  <si>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</si>
  <si>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</si>
  <si>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</si>
  <si>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</si>
  <si>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</si>
  <si>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</si>
  <si>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</si>
  <si>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</si>
  <si>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</si>
  <si>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</si>
  <si>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</si>
  <si>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</si>
  <si>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</si>
  <si>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</si>
  <si>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</si>
  <si>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</si>
  <si>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</si>
  <si>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</si>
  <si>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</si>
  <si>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</si>
  <si>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</si>
  <si>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</si>
  <si>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</si>
  <si>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</si>
  <si>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</si>
  <si>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</si>
  <si>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</si>
  <si>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</si>
  <si>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</si>
  <si>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</si>
  <si>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</si>
  <si>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</si>
  <si>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</si>
  <si>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</si>
  <si>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</si>
  <si>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</si>
  <si>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</si>
  <si>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</si>
  <si>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</si>
  <si>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</si>
  <si>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</si>
  <si>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</si>
  <si>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</si>
  <si>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</si>
  <si>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</si>
  <si>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</si>
  <si>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</si>
  <si>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</si>
  <si>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</si>
  <si>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</si>
  <si>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</si>
  <si>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</si>
  <si>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</si>
  <si>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</si>
  <si>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</si>
  <si>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</si>
  <si>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</si>
  <si>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</si>
  <si>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</si>
  <si>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</si>
  <si>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</si>
  <si>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</si>
  <si>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</si>
  <si>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</si>
  <si>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</si>
  <si>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</si>
  <si>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</si>
  <si>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</si>
  <si>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</si>
  <si>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</si>
  <si>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</si>
  <si>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</si>
  <si>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</si>
  <si>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</si>
  <si>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</si>
  <si>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</si>
  <si>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</si>
  <si>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</si>
  <si>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</si>
  <si>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</si>
  <si>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</si>
  <si>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</si>
  <si>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</si>
  <si>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</si>
  <si>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</si>
  <si>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</si>
  <si>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</si>
  <si>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</si>
  <si>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</si>
  <si>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</si>
  <si>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</si>
  <si>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</si>
  <si>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</si>
  <si>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</si>
  <si>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</si>
  <si>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</si>
  <si>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</si>
  <si>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</si>
  <si>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</si>
  <si>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</si>
  <si>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</si>
  <si>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</si>
  <si>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</si>
  <si>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</si>
  <si>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</si>
  <si>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</si>
  <si>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</si>
  <si>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</si>
  <si>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</si>
  <si>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</si>
  <si>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</si>
  <si>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</si>
  <si>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</si>
  <si>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</si>
  <si>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</si>
  <si>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</si>
  <si>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</si>
  <si>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</si>
  <si>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</si>
  <si>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</si>
  <si>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</si>
  <si>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</si>
  <si>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</si>
  <si>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</si>
  <si>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</si>
  <si>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</si>
  <si>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</si>
  <si>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</si>
  <si>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</si>
  <si>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</si>
  <si>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</si>
  <si>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</si>
  <si>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</si>
  <si>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</si>
  <si>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</si>
  <si>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</si>
  <si>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</si>
  <si>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</si>
  <si>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</si>
  <si>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</si>
  <si>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</si>
  <si>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</si>
  <si>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</si>
  <si>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</si>
  <si>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</si>
  <si>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</si>
  <si>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</si>
  <si>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</si>
  <si>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</si>
  <si>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</si>
  <si>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</si>
  <si>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</si>
  <si>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</si>
  <si>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</si>
  <si>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</si>
  <si>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</si>
  <si>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</si>
  <si>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</si>
  <si>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</si>
  <si>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</si>
  <si>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</si>
  <si>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</si>
  <si>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</si>
  <si>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</si>
  <si>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</si>
  <si>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</si>
  <si>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</si>
  <si>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</si>
  <si>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</si>
  <si>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</si>
  <si>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</si>
  <si>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</si>
  <si>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</si>
  <si>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</si>
  <si>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</si>
  <si>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</si>
  <si>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</si>
  <si>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</si>
  <si>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</si>
  <si>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</si>
  <si>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</si>
  <si>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</si>
  <si>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</si>
  <si>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</si>
  <si>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</si>
  <si>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</si>
  <si>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</si>
  <si>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</si>
  <si>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</si>
  <si>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</si>
  <si>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</si>
  <si>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</si>
  <si>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</si>
  <si>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</si>
  <si>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</si>
  <si>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</si>
  <si>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</si>
  <si>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</si>
  <si>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</si>
  <si>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</si>
  <si>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</si>
  <si>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</si>
  <si>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</si>
  <si>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</si>
  <si>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</si>
  <si>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</si>
  <si>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</si>
  <si>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</si>
  <si>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</si>
  <si>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</si>
  <si>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</si>
  <si>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</si>
  <si>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</si>
  <si>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</si>
  <si>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</si>
  <si>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</si>
  <si>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</si>
  <si>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</si>
  <si>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</si>
  <si>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</si>
  <si>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</si>
  <si>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</si>
  <si>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</si>
  <si>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</si>
  <si>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</si>
  <si>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</si>
  <si>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</si>
  <si>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</si>
  <si>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</si>
  <si>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</si>
  <si>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</si>
  <si>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</si>
  <si>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</si>
  <si>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</si>
  <si>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</si>
  <si>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</si>
  <si>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</si>
  <si>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</si>
  <si>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</si>
  <si>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</si>
  <si>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</si>
  <si>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</si>
  <si>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</si>
  <si>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</si>
  <si>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</si>
  <si>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</si>
  <si>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</si>
  <si>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</si>
  <si>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</si>
  <si>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</si>
  <si>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</si>
  <si>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</si>
  <si>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</si>
  <si>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</si>
  <si>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</si>
  <si>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</si>
  <si>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</si>
  <si>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</si>
  <si>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</si>
  <si>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</si>
  <si>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</si>
  <si>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</si>
  <si>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</si>
  <si>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</si>
  <si>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</si>
  <si>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</si>
  <si>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</si>
  <si>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</si>
  <si>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</si>
  <si>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</si>
  <si>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</si>
  <si>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</si>
  <si>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</si>
  <si>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</si>
  <si>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</si>
  <si>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</si>
  <si>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</si>
  <si>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</si>
  <si>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</si>
  <si>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</si>
  <si>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</si>
  <si>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</si>
  <si>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</si>
  <si>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</si>
  <si>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</si>
  <si>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</si>
  <si>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</si>
  <si>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</si>
  <si>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</si>
  <si>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</si>
  <si>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</si>
  <si>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</si>
  <si>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</si>
  <si>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</si>
  <si>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</si>
  <si>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</si>
  <si>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</si>
  <si>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</si>
  <si>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</si>
  <si>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</si>
  <si>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</si>
  <si>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</si>
  <si>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</si>
  <si>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</si>
  <si>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</si>
  <si>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</si>
  <si>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</si>
  <si>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</si>
  <si>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</si>
  <si>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</si>
  <si>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</si>
  <si>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</si>
  <si>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</si>
  <si>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</si>
  <si>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</si>
  <si>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</si>
  <si>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</si>
  <si>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</si>
  <si>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</si>
  <si>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</si>
  <si>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</si>
  <si>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</si>
  <si>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</si>
  <si>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</si>
  <si>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</si>
  <si>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</si>
  <si>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</si>
  <si>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</si>
  <si>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</si>
  <si>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</si>
  <si>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</si>
  <si>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</si>
  <si>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</si>
  <si>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</si>
  <si>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</si>
  <si>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</si>
  <si>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</si>
  <si>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</si>
  <si>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</si>
  <si>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</si>
  <si>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</si>
  <si>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</si>
  <si>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</si>
  <si>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</si>
  <si>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</si>
  <si>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</si>
  <si>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</si>
  <si>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</si>
  <si>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</si>
  <si>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</si>
  <si>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</si>
  <si>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</si>
  <si>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</si>
  <si>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</si>
  <si>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</si>
  <si>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</si>
  <si>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</si>
  <si>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</si>
  <si>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</si>
  <si>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</si>
  <si>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</si>
  <si>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</si>
  <si>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</si>
  <si>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</si>
  <si>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</si>
  <si>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</si>
  <si>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</si>
  <si>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</si>
  <si>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</si>
  <si>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</si>
  <si>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</si>
  <si>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</si>
  <si>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</si>
  <si>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</si>
  <si>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</si>
  <si>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</si>
  <si>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</si>
  <si>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</si>
  <si>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</si>
  <si>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</si>
  <si>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</si>
  <si>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</si>
  <si>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</si>
  <si>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</si>
  <si>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</si>
  <si>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</si>
  <si>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</si>
  <si>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</si>
  <si>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</si>
  <si>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</si>
  <si>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</si>
  <si>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</si>
  <si>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</si>
  <si>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</si>
  <si>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</si>
  <si>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</si>
  <si>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</si>
  <si>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</si>
  <si>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</si>
  <si>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</si>
  <si>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</si>
  <si>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</si>
  <si>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</si>
  <si>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</si>
  <si>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</si>
  <si>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</si>
  <si>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</si>
  <si>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</si>
  <si>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</si>
  <si>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</si>
  <si>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</si>
  <si>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</si>
  <si>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</si>
  <si>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</si>
  <si>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</si>
  <si>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</si>
  <si>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</si>
  <si>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</si>
  <si>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</si>
  <si>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</si>
  <si>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</si>
  <si>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</si>
  <si>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</si>
  <si>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</si>
  <si>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</si>
  <si>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</si>
  <si>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</si>
  <si>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</si>
  <si>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</si>
  <si>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</si>
  <si>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</si>
  <si>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</si>
  <si>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</si>
  <si>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</si>
  <si>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</si>
  <si>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</si>
  <si>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</si>
  <si>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</si>
  <si>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</si>
  <si>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</si>
  <si>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</si>
  <si>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</si>
  <si>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</si>
  <si>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</si>
  <si>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</si>
  <si>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</si>
  <si>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</si>
  <si>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</si>
  <si>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</si>
  <si>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</si>
  <si>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</si>
  <si>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</si>
  <si>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</si>
  <si>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</si>
  <si>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</si>
  <si>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</si>
  <si>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</si>
  <si>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</si>
  <si>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</si>
  <si>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</si>
  <si>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</si>
  <si>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</si>
  <si>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</si>
  <si>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</si>
  <si>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</si>
  <si>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</si>
  <si>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</si>
  <si>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</si>
  <si>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</si>
  <si>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</si>
  <si>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</si>
  <si>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</si>
  <si>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</si>
  <si>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</si>
  <si>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</si>
  <si>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</si>
  <si>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</si>
  <si>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</si>
  <si>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</si>
  <si>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</si>
  <si>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</si>
  <si>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</si>
  <si>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</si>
  <si>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</si>
  <si>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</si>
  <si>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</si>
  <si>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</si>
  <si>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</si>
  <si>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</si>
  <si>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</si>
  <si>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</si>
  <si>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</si>
  <si>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</si>
  <si>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</si>
  <si>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</si>
  <si>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</si>
  <si>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</si>
  <si>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</si>
  <si>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</si>
  <si>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</si>
  <si>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</si>
  <si>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</si>
  <si>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</si>
  <si>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</si>
  <si>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</si>
  <si>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</si>
  <si>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</si>
  <si>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</si>
  <si>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</si>
  <si>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</si>
  <si>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</si>
  <si>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</si>
  <si>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</si>
  <si>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</si>
  <si>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</si>
  <si>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</si>
  <si>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</si>
  <si>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</si>
  <si>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</si>
  <si>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</si>
  <si>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</si>
  <si>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</si>
  <si>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</si>
  <si>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</si>
  <si>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</si>
  <si>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</si>
  <si>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</si>
  <si>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</si>
  <si>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</si>
  <si>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</si>
  <si>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</si>
  <si>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</si>
  <si>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</si>
  <si>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</si>
  <si>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</si>
  <si>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</si>
  <si>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</si>
  <si>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</si>
  <si>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</si>
  <si>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</si>
  <si>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</si>
  <si>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</si>
  <si>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</si>
  <si>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</si>
  <si>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</si>
  <si>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</si>
  <si>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</si>
  <si>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</si>
  <si>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</si>
  <si>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</si>
  <si>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</si>
  <si>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</si>
  <si>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</si>
  <si>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</si>
  <si>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</si>
  <si>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</si>
  <si>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</si>
  <si>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</si>
  <si>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</si>
  <si>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</si>
  <si>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</si>
  <si>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</si>
  <si>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</si>
  <si>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</si>
  <si>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</si>
  <si>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</si>
  <si>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</si>
  <si>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</si>
  <si>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</si>
  <si>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</si>
  <si>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</si>
  <si>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</si>
  <si>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</si>
  <si>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</si>
  <si>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</si>
  <si>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</si>
  <si>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</si>
  <si>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</si>
  <si>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</si>
  <si>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</si>
  <si>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</si>
  <si>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</si>
  <si>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</si>
  <si>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</si>
  <si>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</si>
  <si>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</si>
  <si>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</si>
  <si>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</si>
  <si>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</si>
  <si>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</si>
  <si>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</si>
  <si>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</si>
  <si>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</si>
  <si>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</si>
  <si>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</si>
  <si>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</si>
  <si>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</si>
  <si>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</si>
  <si>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</si>
  <si>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</si>
  <si>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</si>
  <si>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</si>
  <si>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</si>
  <si>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</si>
  <si>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</si>
  <si>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</si>
  <si>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</si>
  <si>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</si>
  <si>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</si>
  <si>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</si>
  <si>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</si>
  <si>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</si>
  <si>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</si>
  <si>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</si>
  <si>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</si>
  <si>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</si>
  <si>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</si>
  <si>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</si>
  <si>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</si>
  <si>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</si>
  <si>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</si>
  <si>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</si>
  <si>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</si>
  <si>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</si>
  <si>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</si>
  <si>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</si>
  <si>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</si>
  <si>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</si>
  <si>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</si>
  <si>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</si>
  <si>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</si>
  <si>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</si>
  <si>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</si>
  <si>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</si>
  <si>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</si>
  <si>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</si>
  <si>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</si>
  <si>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</si>
  <si>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</si>
  <si>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</si>
  <si>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</si>
  <si>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</si>
  <si>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</si>
  <si>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</si>
  <si>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</si>
  <si>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</si>
  <si>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</si>
  <si>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</si>
  <si>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</si>
  <si>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</si>
  <si>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</si>
  <si>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</si>
  <si>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</si>
  <si>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</si>
  <si>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</si>
  <si>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</si>
  <si>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</si>
  <si>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</si>
  <si>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</si>
  <si>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</si>
  <si>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</si>
  <si>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</si>
  <si>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</si>
  <si>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</si>
  <si>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</si>
  <si>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</si>
  <si>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</si>
  <si>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</si>
  <si>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</si>
  <si>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</si>
  <si>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</si>
  <si>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</si>
  <si>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</si>
  <si>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</si>
  <si>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</si>
  <si>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</si>
  <si>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</si>
  <si>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</si>
  <si>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</si>
  <si>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</si>
  <si>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</si>
  <si>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</si>
  <si>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</si>
  <si>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</si>
  <si>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</si>
  <si>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</si>
  <si>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</si>
  <si>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</si>
  <si>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</si>
  <si>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</si>
  <si>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</si>
  <si>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</si>
  <si>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</si>
  <si>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</si>
  <si>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</si>
  <si>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</si>
  <si>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</si>
  <si>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</si>
  <si>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</si>
  <si>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</si>
  <si>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</si>
  <si>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</si>
  <si>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</si>
  <si>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</si>
  <si>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</si>
  <si>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</si>
  <si>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</si>
  <si>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</si>
  <si>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</si>
  <si>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</si>
  <si>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</si>
  <si>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</si>
  <si>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</si>
  <si>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</si>
  <si>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</si>
  <si>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</si>
  <si>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</si>
  <si>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</si>
  <si>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</si>
  <si>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</si>
  <si>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</si>
  <si>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</si>
  <si>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</si>
  <si>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</si>
  <si>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</si>
  <si>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</si>
  <si>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</si>
  <si>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</si>
  <si>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</si>
  <si>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</si>
  <si>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</si>
  <si>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</si>
  <si>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</si>
  <si>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</si>
  <si>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</si>
  <si>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</si>
  <si>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</si>
  <si>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</si>
  <si>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</si>
  <si>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</si>
  <si>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</si>
  <si>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</si>
  <si>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</si>
  <si>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</si>
  <si>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</si>
  <si>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</si>
  <si>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</si>
  <si>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</si>
  <si>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</si>
  <si>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</si>
  <si>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</si>
  <si>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</si>
  <si>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</si>
  <si>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</si>
  <si>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</si>
  <si>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</si>
  <si>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</si>
  <si>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</si>
  <si>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</si>
  <si>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</si>
  <si>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</si>
  <si>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</si>
  <si>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</si>
  <si>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</si>
  <si>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</si>
  <si>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</si>
  <si>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</si>
  <si>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</si>
  <si>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</si>
  <si>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</si>
  <si>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</si>
  <si>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</si>
  <si>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</si>
  <si>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</si>
  <si>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</si>
  <si>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</si>
  <si>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</si>
  <si>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</si>
  <si>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</si>
  <si>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</si>
  <si>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</si>
  <si>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</si>
  <si>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</si>
  <si>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</si>
  <si>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</si>
  <si>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</si>
  <si>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</si>
  <si>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</si>
  <si>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</si>
  <si>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</si>
  <si>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</si>
  <si>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</si>
  <si>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</si>
  <si>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</si>
  <si>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</si>
  <si>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</si>
  <si>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</si>
  <si>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</si>
  <si>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</si>
  <si>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</si>
  <si>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</si>
  <si>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</si>
  <si>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</si>
  <si>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</si>
  <si>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</si>
  <si>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</si>
  <si>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</si>
  <si>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</si>
  <si>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</si>
  <si>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</si>
  <si>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</si>
  <si>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</si>
  <si>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</si>
  <si>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</si>
  <si>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</si>
  <si>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</si>
  <si>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</si>
  <si>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</si>
  <si>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</si>
  <si>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</si>
  <si>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</si>
  <si>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</si>
  <si>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</si>
  <si>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</si>
  <si>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</si>
  <si>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</si>
  <si>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</si>
  <si>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</si>
  <si>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</si>
  <si>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</si>
  <si>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</si>
  <si>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</si>
  <si>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</si>
  <si>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</si>
  <si>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</si>
  <si>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</si>
  <si>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</si>
  <si>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</si>
  <si>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</si>
  <si>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</si>
  <si>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</si>
  <si>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</si>
  <si>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</si>
  <si>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</si>
  <si>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</si>
  <si>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</si>
  <si>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</si>
  <si>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</si>
  <si>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</si>
  <si>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</si>
  <si>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</si>
  <si>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</si>
  <si>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</si>
  <si>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</si>
  <si>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</si>
  <si>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</si>
  <si>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</si>
  <si>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</si>
  <si>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</si>
  <si>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</si>
  <si>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</si>
  <si>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</si>
  <si>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</si>
  <si>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</si>
  <si>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</si>
  <si>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</si>
  <si>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</si>
  <si>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</si>
  <si>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</si>
  <si>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</si>
  <si>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</si>
  <si>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</si>
  <si>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</si>
  <si>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</si>
  <si>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</si>
  <si>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</si>
  <si>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</si>
  <si>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</si>
  <si>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</si>
  <si>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</si>
  <si>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</si>
  <si>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</si>
  <si>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</si>
  <si>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</si>
  <si>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</si>
  <si>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</si>
  <si>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</si>
  <si>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</si>
  <si>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</si>
  <si>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</si>
  <si>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</si>
  <si>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</si>
  <si>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</si>
  <si>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</si>
  <si>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</si>
  <si>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</si>
  <si>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</si>
  <si>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</si>
  <si>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</si>
  <si>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</si>
  <si>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</si>
  <si>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</si>
  <si>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</si>
  <si>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</si>
  <si>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</si>
  <si>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</si>
  <si>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</si>
  <si>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</si>
  <si>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</si>
  <si>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</si>
  <si>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</si>
  <si>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</si>
  <si>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</si>
  <si>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</si>
  <si>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</si>
  <si>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</si>
  <si>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</si>
  <si>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</si>
  <si>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</si>
  <si>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</si>
  <si>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</si>
  <si>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</si>
  <si>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</si>
  <si>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</si>
  <si>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</si>
  <si>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</si>
  <si>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</si>
  <si>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</si>
  <si>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</si>
  <si>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</si>
  <si>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</si>
  <si>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</si>
  <si>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</si>
  <si>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</si>
  <si>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</si>
  <si>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</si>
  <si>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</si>
  <si>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</si>
  <si>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</si>
  <si>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</si>
  <si>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</si>
  <si>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</si>
  <si>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</si>
  <si>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</si>
  <si>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</si>
  <si>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</si>
  <si>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</si>
  <si>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</si>
  <si>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</si>
  <si>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</si>
  <si>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</si>
  <si>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</si>
  <si>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</si>
  <si>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</si>
  <si>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</si>
  <si>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</si>
  <si>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</si>
  <si>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</si>
  <si>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</si>
  <si>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</si>
  <si>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</si>
  <si>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</si>
  <si>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</si>
  <si>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</si>
  <si>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</si>
  <si>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</si>
  <si>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</si>
  <si>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</si>
  <si>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</si>
  <si>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</si>
  <si>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</si>
  <si>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</si>
  <si>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</si>
  <si>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</si>
  <si>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</si>
  <si>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</si>
  <si>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</si>
  <si>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</si>
  <si>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</si>
  <si>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</si>
  <si>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</si>
  <si>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</si>
  <si>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</si>
  <si>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</si>
  <si>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</si>
  <si>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</si>
  <si>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</si>
  <si>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</si>
  <si>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</si>
  <si>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</si>
  <si>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</si>
  <si>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</si>
  <si>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</si>
  <si>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</si>
  <si>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</si>
  <si>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</si>
  <si>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</si>
  <si>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</si>
  <si>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</si>
  <si>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</si>
  <si>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</si>
  <si>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</si>
  <si>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</si>
  <si>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</si>
  <si>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</si>
  <si>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</si>
  <si>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</si>
  <si>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</si>
  <si>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</si>
  <si>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</si>
  <si>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</si>
  <si>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</si>
  <si>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</si>
  <si>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</si>
  <si>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</si>
  <si>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</si>
  <si>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</si>
  <si>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</si>
  <si>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</si>
  <si>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</si>
  <si>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</si>
  <si>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</si>
  <si>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</si>
  <si>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</si>
  <si>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</si>
  <si>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</si>
  <si>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</si>
  <si>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</si>
  <si>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</si>
  <si>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</si>
  <si>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</si>
  <si>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</si>
  <si>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</si>
  <si>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</si>
  <si>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</si>
  <si>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</si>
  <si>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</si>
  <si>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</si>
  <si>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</si>
  <si>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</si>
  <si>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</si>
  <si>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</si>
  <si>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</si>
  <si>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</si>
  <si>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</si>
  <si>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</si>
  <si>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</si>
  <si>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</si>
  <si>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</si>
  <si>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</si>
  <si>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</si>
  <si>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</si>
  <si>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</si>
  <si>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</si>
  <si>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</si>
  <si>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</si>
  <si>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</si>
  <si>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</si>
  <si>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</si>
  <si>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</si>
  <si>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</si>
  <si>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</si>
  <si>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</si>
  <si>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</si>
  <si>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</si>
  <si>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</si>
  <si>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</si>
  <si>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</si>
  <si>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</si>
  <si>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</si>
  <si>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</si>
  <si>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</si>
  <si>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</si>
  <si>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</si>
  <si>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</si>
  <si>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</si>
  <si>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</si>
  <si>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</si>
  <si>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</si>
  <si>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</si>
  <si>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</si>
  <si>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</si>
  <si>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</si>
  <si>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</si>
  <si>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</si>
  <si>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</si>
  <si>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</si>
  <si>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</si>
  <si>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</si>
  <si>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</si>
  <si>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</si>
  <si>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</si>
  <si>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</si>
  <si>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</si>
  <si>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</si>
  <si>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</si>
  <si>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</si>
  <si>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</si>
  <si>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</si>
  <si>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</si>
  <si>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</si>
  <si>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</si>
  <si>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</si>
  <si>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</si>
  <si>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</si>
  <si>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</si>
  <si>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</si>
  <si>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</si>
  <si>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</si>
  <si>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</si>
  <si>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</si>
  <si>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</si>
  <si>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</si>
  <si>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</si>
  <si>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</si>
  <si>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</si>
  <si>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</si>
  <si>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</si>
  <si>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</si>
  <si>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</si>
  <si>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</si>
  <si>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</si>
  <si>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</si>
  <si>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</si>
  <si>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</si>
  <si>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</si>
  <si>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</si>
  <si>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</si>
  <si>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</si>
  <si>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</si>
  <si>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</si>
  <si>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</si>
  <si>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</si>
  <si>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</si>
  <si>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</si>
  <si>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</si>
  <si>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</si>
  <si>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</si>
  <si>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</si>
  <si>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</si>
  <si>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</si>
  <si>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</si>
  <si>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</si>
  <si>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</si>
  <si>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</si>
  <si>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</si>
  <si>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</si>
  <si>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</si>
  <si>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</si>
  <si>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</si>
  <si>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</si>
  <si>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</si>
  <si>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</si>
  <si>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</si>
  <si>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</si>
  <si>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</si>
  <si>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</si>
  <si>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</si>
  <si>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</si>
  <si>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</si>
  <si>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</si>
  <si>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</si>
  <si>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</si>
  <si>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</si>
  <si>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</si>
  <si>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</si>
  <si>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</si>
  <si>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</si>
  <si>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</si>
  <si>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</si>
  <si>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</si>
  <si>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</si>
  <si>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</si>
  <si>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</si>
  <si>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</si>
  <si>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</si>
  <si>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</si>
  <si>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</si>
  <si>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</si>
  <si>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</si>
  <si>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</si>
  <si>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</si>
  <si>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</si>
  <si>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</si>
  <si>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</si>
  <si>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</si>
  <si>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</si>
  <si>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</si>
  <si>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</si>
  <si>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</si>
  <si>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</si>
  <si>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</si>
  <si>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</si>
  <si>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</si>
  <si>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</si>
  <si>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</si>
  <si>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</si>
  <si>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</si>
  <si>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</si>
  <si>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</si>
  <si>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</si>
  <si>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</si>
  <si>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</si>
  <si>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</si>
  <si>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</si>
  <si>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</si>
  <si>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</si>
  <si>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</si>
  <si>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 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</si>
  <si>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</si>
  <si>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</si>
  <si>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</si>
  <si>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</si>
  <si>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</si>
  <si>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</si>
  <si>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</si>
  <si>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</si>
  <si>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</si>
  <si>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</si>
  <si>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</si>
  <si>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</si>
  <si>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</si>
  <si>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</si>
  <si>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</si>
  <si>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</si>
  <si>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</si>
  <si>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</si>
  <si>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</si>
  <si>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</si>
  <si>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</si>
  <si>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</si>
  <si>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</si>
  <si>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</si>
  <si>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</si>
  <si>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</si>
  <si>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</si>
  <si>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</si>
  <si>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</si>
  <si>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</si>
  <si>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</si>
  <si>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</si>
  <si>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</si>
  <si>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</si>
  <si>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</si>
  <si>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Row Labels</t>
  </si>
  <si>
    <t>Count of outcome</t>
  </si>
  <si>
    <t>(All)</t>
  </si>
  <si>
    <t>(Multiple Items)</t>
  </si>
  <si>
    <t>Data Created Conversion</t>
  </si>
  <si>
    <t>Data Ended Conversion</t>
  </si>
  <si>
    <t>Jan</t>
  </si>
  <si>
    <t>Feb</t>
  </si>
  <si>
    <t>Mar</t>
  </si>
  <si>
    <t>Jul</t>
  </si>
  <si>
    <t>Aug</t>
  </si>
  <si>
    <t>Sep</t>
  </si>
  <si>
    <t>Years (Data Created Conversion)</t>
  </si>
  <si>
    <t>Apr</t>
  </si>
  <si>
    <t>May</t>
  </si>
  <si>
    <t>Jun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</si>
  <si>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</si>
  <si>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</si>
  <si>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</si>
  <si>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</si>
  <si>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</si>
  <si>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</si>
  <si>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</si>
  <si>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</si>
  <si>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</si>
  <si>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</si>
  <si>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</si>
  <si>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</si>
  <si>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</si>
  <si>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</si>
  <si>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</si>
  <si>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</si>
  <si>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</si>
  <si>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</si>
  <si>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</si>
  <si>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</si>
  <si>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</si>
  <si>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</si>
  <si>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</si>
  <si>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</si>
  <si>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</si>
  <si>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Minimum</t>
  </si>
  <si>
    <t>Maximum</t>
  </si>
  <si>
    <t>Variance</t>
  </si>
  <si>
    <t>Standard Deviation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</si>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</sst>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1" fontId="0" fillId="0" borderId="0" xfId="42" applyNumberFormat="1" applyFont="1"/>
    <xf numFmtId="1" fontId="16" fillId="33" borderId="0" xfId="0" applyNumberFormat="1" applyFont="1" applyFill="1" applyAlignment="1">
      <alignment horizontal="center"/>
    </xf>
    <xf numFmtId="1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[CrowdfundingBook-Submission.xlsx]Pivot Table 1!PivotTable13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1-0444-8617-648A7339DFD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1-0444-8617-648A7339DFD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1-0444-8617-648A7339DFD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1-0444-8617-648A7339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906224"/>
        <c:axId val="274413488"/>
      </c:barChart>
      <c:catAx>
        <c:axId val="2739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13488"/>
        <c:crosses val="autoZero"/>
        <c:auto val="1"/>
        <c:lblAlgn val="ctr"/>
        <c:lblOffset val="100"/>
        <c:noMultiLvlLbl val="0"/>
      </c:catAx>
      <c:valAx>
        <c:axId val="274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[CrowdfundingBook-Submission.xlsx]Pivot Table 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4-A743-98F4-01003DEE2D27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4-A743-98F4-01003DEE2D27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4-A743-98F4-01003DEE2D27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4-A743-98F4-01003DEE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569280"/>
        <c:axId val="163697280"/>
      </c:barChart>
      <c:catAx>
        <c:axId val="2745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7280"/>
        <c:crosses val="autoZero"/>
        <c:auto val="1"/>
        <c:lblAlgn val="ctr"/>
        <c:lblOffset val="100"/>
        <c:noMultiLvlLbl val="0"/>
      </c:catAx>
      <c:valAx>
        <c:axId val="1636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[CrowdfundingBook-Submission.xlsx]Pivot Table 3!PivotTable15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5-4442-AA8E-9A3C6CAFD79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5-4442-AA8E-9A3C6CAFD79B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5-4442-AA8E-9A3C6CAF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42176"/>
        <c:axId val="348293007"/>
      </c:lineChart>
      <c:catAx>
        <c:axId val="2998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93007"/>
        <c:crosses val="autoZero"/>
        <c:auto val="1"/>
        <c:lblAlgn val="ctr"/>
        <c:lblOffset val="100"/>
        <c:noMultiLvlLbl val="0"/>
      </c:catAx>
      <c:valAx>
        <c:axId val="3482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0-1246-BFCF-3BDCD13C2DB1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 formatCode="General">
                  <c:v>40</c:v>
                </c:pt>
                <c:pt idx="3">
                  <c:v>55.555555555555557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21.428571428571427</c:v>
                </c:pt>
                <c:pt idx="7" formatCode="General">
                  <c:v>0</c:v>
                </c:pt>
                <c:pt idx="8" formatCode="General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0-1246-BFCF-3BDCD13C2DB1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8.3333333333333321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0-1246-BFCF-3BDCD13C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5664"/>
        <c:axId val="127076416"/>
      </c:lineChart>
      <c:catAx>
        <c:axId val="1271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6416"/>
        <c:crosses val="autoZero"/>
        <c:auto val="1"/>
        <c:lblAlgn val="ctr"/>
        <c:lblOffset val="100"/>
        <c:noMultiLvlLbl val="0"/>
      </c:catAx>
      <c:valAx>
        <c:axId val="127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190500</xdr:rowOff>
    </xdr:from>
    <xdr:to>
      <xdr:col>14</xdr:col>
      <xdr:colOff>647700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8D3AC-3A2A-928A-D872-EF7CDA39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177800</xdr:rowOff>
    </xdr:from>
    <xdr:to>
      <xdr:col>15</xdr:col>
      <xdr:colOff>609600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1AE00-C999-C1CC-2DB8-9F39A32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139700</xdr:rowOff>
    </xdr:from>
    <xdr:to>
      <xdr:col>16</xdr:col>
      <xdr:colOff>101600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4A082-82DA-6125-A15E-9AD1AB8A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14</xdr:row>
      <xdr:rowOff>171450</xdr:rowOff>
    </xdr:from>
    <xdr:to>
      <xdr:col>7</xdr:col>
      <xdr:colOff>615950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B0362-C6E6-BD93-79B3-7D2339E5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25400</xdr:colOff>
      <xdr:row>9</xdr:row>
      <xdr:rowOff>12700</xdr:rowOff>
    </xdr:from>
    <xdr:ext cx="5270500" cy="9528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FF890B-AA83-AC9D-E985-5B017C4651BD}"/>
            </a:ext>
          </a:extLst>
        </xdr:cNvPr>
        <xdr:cNvSpPr txBox="1"/>
      </xdr:nvSpPr>
      <xdr:spPr>
        <a:xfrm>
          <a:off x="10998200" y="1841500"/>
          <a:ext cx="5270500" cy="9528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both successful and unsuccessful campaigns, the </a:t>
          </a:r>
          <a:r>
            <a:rPr lang="en-US" sz="1100" b="1"/>
            <a:t>median</a:t>
          </a:r>
          <a:r>
            <a:rPr lang="en-US" sz="1100" baseline="0"/>
            <a:t> gives a better summary of the data since the mean is significantly higher in both cases. A significantly higher mean compared to the median indicates the mean contains some outliers in its dataset which increases its value and may give a misleading summary of the data. In conclusion, the median gives a better summarization of the data than the mean. 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Thomas" refreshedDate="45557.798157986108" createdVersion="8" refreshedVersion="8" minRefreshableVersion="3" recordCount="1001" xr:uid="{98FBA4F7-99C3-3548-B40C-9376A18CBAC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Thomas" refreshedDate="45557.814808680552" createdVersion="8" refreshedVersion="8" minRefreshableVersion="3" recordCount="1000" xr:uid="{94AAA437-F15E-304F-9C4E-55797918B38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Months (Data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a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a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x v="41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x v="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x v="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x v="196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x v="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x v="166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x v="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x v="22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x v="172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x v="81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x v="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x v="3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x v="83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x v="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x v="31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x v="17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x v="126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x v="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CD9EC-5758-1240-A0C4-65F4E20CA05F}" name="PivotTable13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22049-AB3B-6A4C-94AB-24C53B6E4FF3}" name="PivotTable14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0FA5A-437E-4C4F-A7B2-59FCA6B1421F}" name="PivotTable15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F1" sqref="F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style="5" customWidth="1"/>
    <col min="8" max="8" width="20.33203125" customWidth="1"/>
    <col min="9" max="9" width="18" style="5" customWidth="1"/>
    <col min="12" max="12" width="11.1640625" bestFit="1" customWidth="1"/>
    <col min="13" max="13" width="28.6640625" customWidth="1"/>
    <col min="14" max="14" width="14.5" customWidth="1"/>
    <col min="15" max="15" width="25.6640625" customWidth="1"/>
    <col min="18" max="18" width="28" bestFit="1" customWidth="1"/>
    <col min="19" max="19" width="24.1640625" customWidth="1"/>
    <col min="20" max="20" width="16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IF(D2&lt;&gt;0, (E2/D2)*100, 0)</f>
        <v>0</v>
      </c>
      <c r="G2" t="s">
        <v>14</v>
      </c>
      <c r="H2">
        <v>0</v>
      </c>
      <c r="I2" s="5">
        <f>IF(H2&lt;&gt;0, E2/H2, 0)</f>
        <v>0</v>
      </c>
      <c r="J2" t="s">
        <v>15</v>
      </c>
      <c r="K2" t="s">
        <v>16</v>
      </c>
      <c r="L2">
        <v>1448690400</v>
      </c>
      <c r="M2" s="8">
        <f>(((L2 / 60) / 60) / 24) + 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IF(D3&lt;&gt;0, (E3/D3)*100, 0)</f>
        <v>1040</v>
      </c>
      <c r="G3" t="s">
        <v>20</v>
      </c>
      <c r="H3">
        <v>158</v>
      </c>
      <c r="I3" s="5">
        <f t="shared" ref="I3:I66" si="1">IF(H3&lt;&gt;0, E3/H3, 0)</f>
        <v>92.151898734177209</v>
      </c>
      <c r="J3" t="s">
        <v>21</v>
      </c>
      <c r="K3" t="s">
        <v>22</v>
      </c>
      <c r="L3">
        <v>1408424400</v>
      </c>
      <c r="M3" s="8">
        <f t="shared" ref="M3:M66" si="2">(((L3 / 60) / 60) / 24) + 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IF(D67&lt;&gt;0, (E67/D67)*100, 0)</f>
        <v>236.14754098360655</v>
      </c>
      <c r="G67" t="s">
        <v>20</v>
      </c>
      <c r="H67">
        <v>236</v>
      </c>
      <c r="I67" s="5">
        <f t="shared" ref="I67:I130" si="7">IF(H67&lt;&gt;0, E67/H67, 0)</f>
        <v>61.038135593220339</v>
      </c>
      <c r="J67" t="s">
        <v>21</v>
      </c>
      <c r="K67" t="s">
        <v>22</v>
      </c>
      <c r="L67">
        <v>1296108000</v>
      </c>
      <c r="M67" s="8">
        <f t="shared" ref="M67:M130" si="8">(((L67 / 60) / 60) / 24) + 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IF(D131&lt;&gt;0, (E131/D131)*100, 0)</f>
        <v>3.202693602693603</v>
      </c>
      <c r="G131" t="s">
        <v>74</v>
      </c>
      <c r="H131">
        <v>55</v>
      </c>
      <c r="I131" s="5">
        <f t="shared" ref="I131:I194" si="13">IF(H131&lt;&gt;0, E131/H131, 0)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">(((L131 / 60) / 60) / 24) + 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IF(D195&lt;&gt;0, (E195/D195)*100, 0)</f>
        <v>45.636363636363633</v>
      </c>
      <c r="G195" t="s">
        <v>14</v>
      </c>
      <c r="H195">
        <v>65</v>
      </c>
      <c r="I195" s="5">
        <f t="shared" ref="I195:I258" si="19">IF(H195&lt;&gt;0, E195/H195, 0)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 / 60) / 60) / 24) + 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IF(D259&lt;&gt;0, (E259/D259)*100, 0)</f>
        <v>146</v>
      </c>
      <c r="G259" t="s">
        <v>20</v>
      </c>
      <c r="H259">
        <v>92</v>
      </c>
      <c r="I259" s="5">
        <f t="shared" ref="I259:I322" si="25">IF(H259&lt;&gt;0, E259/H259, 0)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 / 60) / 60) / 24) + 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IF(D323&lt;&gt;0, (E323/D323)*100, 0)</f>
        <v>94.144366197183089</v>
      </c>
      <c r="G323" t="s">
        <v>14</v>
      </c>
      <c r="H323">
        <v>2468</v>
      </c>
      <c r="I323" s="5">
        <f t="shared" ref="I323:I386" si="31">IF(H323&lt;&gt;0, E323/H323, 0)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 / 60) / 60) / 24) + 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IF(D387&lt;&gt;0, (E387/D387)*100, 0)</f>
        <v>146.16709511568124</v>
      </c>
      <c r="G387" t="s">
        <v>20</v>
      </c>
      <c r="H387">
        <v>1137</v>
      </c>
      <c r="I387" s="5">
        <f t="shared" ref="I387:I450" si="37">IF(H387&lt;&gt;0, E387/H387, 0)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 / 60) / 60) / 24) + 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IF(D451&lt;&gt;0, (E451/D451)*100, 0)</f>
        <v>967</v>
      </c>
      <c r="G451" t="s">
        <v>20</v>
      </c>
      <c r="H451">
        <v>86</v>
      </c>
      <c r="I451" s="5">
        <f t="shared" ref="I451:I514" si="43">IF(H451&lt;&gt;0, E451/H451, 0)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 / 60) / 60) / 24) + 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IF(D515&lt;&gt;0, (E515/D515)*100, 0)</f>
        <v>39.277108433734945</v>
      </c>
      <c r="G515" t="s">
        <v>74</v>
      </c>
      <c r="H515">
        <v>35</v>
      </c>
      <c r="I515" s="5">
        <f t="shared" ref="I515:I578" si="49">IF(H515&lt;&gt;0, E515/H515, 0)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 / 60) / 60) / 24) + 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IF(D579&lt;&gt;0, (E579/D579)*100, 0)</f>
        <v>18.853658536585368</v>
      </c>
      <c r="G579" t="s">
        <v>74</v>
      </c>
      <c r="H579">
        <v>37</v>
      </c>
      <c r="I579" s="5">
        <f t="shared" ref="I579:I642" si="55">IF(H579&lt;&gt;0, E579/H579, 0)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 / 60) / 60) / 24) + 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IF(D643&lt;&gt;0, (E643/D643)*100, 0)</f>
        <v>119.96808510638297</v>
      </c>
      <c r="G643" t="s">
        <v>20</v>
      </c>
      <c r="H643">
        <v>194</v>
      </c>
      <c r="I643" s="5">
        <f t="shared" ref="I643:I706" si="61">IF(H643&lt;&gt;0, E643/H643, 0)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 / 60) / 60) / 24) + 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IF(D707&lt;&gt;0, (E707/D707)*100, 0)</f>
        <v>99.026517383618156</v>
      </c>
      <c r="G707" t="s">
        <v>14</v>
      </c>
      <c r="H707">
        <v>2025</v>
      </c>
      <c r="I707" s="5">
        <f t="shared" ref="I707:I770" si="67">IF(H707&lt;&gt;0, E707/H707, 0)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 / 60) / 60) / 24) + 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IF(D771&lt;&gt;0, (E771/D771)*100, 0)</f>
        <v>86.867834394904463</v>
      </c>
      <c r="G771" t="s">
        <v>14</v>
      </c>
      <c r="H771">
        <v>3410</v>
      </c>
      <c r="I771" s="5">
        <f t="shared" ref="I771:I834" si="73">IF(H771&lt;&gt;0, E771/H771, 0)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 / 60) / 60) / 24) + 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IF(D835&lt;&gt;0, (E835/D835)*100, 0)</f>
        <v>157.69117647058823</v>
      </c>
      <c r="G835" t="s">
        <v>20</v>
      </c>
      <c r="H835">
        <v>165</v>
      </c>
      <c r="I835" s="5">
        <f t="shared" ref="I835:I898" si="79">IF(H835&lt;&gt;0, E835/H835, 0)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 / 60) / 60) / 24) + 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IF(D899&lt;&gt;0, (E899/D899)*100, 0)</f>
        <v>27.693181818181817</v>
      </c>
      <c r="G899" t="s">
        <v>14</v>
      </c>
      <c r="H899">
        <v>27</v>
      </c>
      <c r="I899" s="5">
        <f t="shared" ref="I899:I962" si="85">IF(H899&lt;&gt;0, E899/H899, 0)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 / 60) / 60) / 24) + 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IF(D963&lt;&gt;0, (E963/D963)*100, 0)</f>
        <v>119.29824561403508</v>
      </c>
      <c r="G963" t="s">
        <v>20</v>
      </c>
      <c r="H963">
        <v>155</v>
      </c>
      <c r="I963" s="5">
        <f t="shared" ref="I963:I1001" si="91">IF(H963&lt;&gt;0, E963/H963, 0)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 / 60) / 60) / 24) + 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7" stopIfTrue="1" operator="containsText" text="canceled">
      <formula>NOT(ISERROR(SEARCH("canceled",G1)))</formula>
    </cfRule>
    <cfRule type="containsText" dxfId="10" priority="8" stopIfTrue="1" operator="containsText" text="live">
      <formula>NOT(ISERROR(SEARCH("live",G1)))</formula>
    </cfRule>
    <cfRule type="containsText" dxfId="9" priority="9" stopIfTrue="1" operator="containsText" text="failed">
      <formula>NOT(ISERROR(SEARCH("failed",G1)))</formula>
    </cfRule>
    <cfRule type="containsText" dxfId="8" priority="10" stopIfTrue="1" operator="containsText" text="successful">
      <formula>NOT(ISERROR(SEARCH("successful",G1)))</formula>
    </cfRule>
  </conditionalFormatting>
  <conditionalFormatting sqref="G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E17B-7C79-6E4C-8607-93FEA049ECCB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2033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B35B-3DD2-284E-A549-D4C72B291C80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2071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2033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2053</v>
      </c>
      <c r="E7">
        <v>4</v>
      </c>
      <c r="F7">
        <v>4</v>
      </c>
    </row>
    <row r="8" spans="1:6" x14ac:dyDescent="0.2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2054</v>
      </c>
      <c r="C10">
        <v>8</v>
      </c>
      <c r="E10">
        <v>10</v>
      </c>
      <c r="F10">
        <v>18</v>
      </c>
    </row>
    <row r="11" spans="1:6" x14ac:dyDescent="0.2">
      <c r="A11" s="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2063</v>
      </c>
      <c r="C20">
        <v>4</v>
      </c>
      <c r="E20">
        <v>4</v>
      </c>
      <c r="F20">
        <v>8</v>
      </c>
    </row>
    <row r="21" spans="1:6" x14ac:dyDescent="0.2">
      <c r="A21" s="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2047</v>
      </c>
      <c r="C22">
        <v>9</v>
      </c>
      <c r="E22">
        <v>5</v>
      </c>
      <c r="F22">
        <v>14</v>
      </c>
    </row>
    <row r="23" spans="1:6" x14ac:dyDescent="0.2">
      <c r="A23" s="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2064</v>
      </c>
      <c r="C25">
        <v>7</v>
      </c>
      <c r="E25">
        <v>14</v>
      </c>
      <c r="F25">
        <v>21</v>
      </c>
    </row>
    <row r="26" spans="1:6" x14ac:dyDescent="0.2">
      <c r="A26" s="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1747-028C-ED40-A0A3-909AC197E4AA}">
  <dimension ref="A1:E18"/>
  <sheetViews>
    <sheetView workbookViewId="0">
      <selection activeCell="D5" sqref="D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2080</v>
      </c>
      <c r="B2" t="s">
        <v>2070</v>
      </c>
    </row>
    <row r="4" spans="1:5" x14ac:dyDescent="0.2">
      <c r="A4" s="6" t="s">
        <v>2069</v>
      </c>
      <c r="B4" s="6" t="s">
        <v>2033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2081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2082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2083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5F5A-1A7A-E74D-915C-80DE34545264}">
  <dimension ref="A1:H13"/>
  <sheetViews>
    <sheetView workbookViewId="0">
      <selection activeCell="H9" sqref="H9"/>
    </sheetView>
  </sheetViews>
  <sheetFormatPr baseColWidth="10" defaultRowHeight="16" x14ac:dyDescent="0.2"/>
  <cols>
    <col min="1" max="1" width="27.1640625" customWidth="1"/>
    <col min="2" max="2" width="17.33203125" customWidth="1"/>
    <col min="3" max="3" width="19.5" customWidth="1"/>
    <col min="4" max="4" width="18.6640625" customWidth="1"/>
    <col min="5" max="5" width="14" customWidth="1"/>
    <col min="6" max="6" width="19.33203125" customWidth="1"/>
    <col min="7" max="7" width="19.83203125" customWidth="1"/>
    <col min="8" max="8" width="19.5" customWidth="1"/>
  </cols>
  <sheetData>
    <row r="1" spans="1:8" x14ac:dyDescent="0.2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">
      <c r="A2" t="s">
        <v>2095</v>
      </c>
      <c r="B2">
        <f>COUNTIFS(Crowdfunding!$D:$D, "&lt;1000", Crowdfunding!$G:$G,"successful")</f>
        <v>30</v>
      </c>
      <c r="C2">
        <f>COUNTIFS(Crowdfunding!$D:$D, "&lt;1000", Crowdfunding!$G:$G,"failed")</f>
        <v>20</v>
      </c>
      <c r="D2">
        <f>COUNTIFS(Crowdfunding!$D:$D, "&lt;1000", Crowdfunding!$G:$G,"canceled")</f>
        <v>1</v>
      </c>
      <c r="E2">
        <f>SUM(B2,C2,D2)</f>
        <v>51</v>
      </c>
      <c r="F2" s="11">
        <f>IF(E2&lt;&gt;0, (B2/E2)*100, 0)</f>
        <v>58.82352941176471</v>
      </c>
      <c r="G2" s="5">
        <f>IF(E2&lt;&gt;0, (C2/E2)*100, 0)</f>
        <v>39.215686274509807</v>
      </c>
      <c r="H2" s="5">
        <f>IF(E2&lt;&gt;0, (D2/E2)*100, 0)</f>
        <v>1.9607843137254901</v>
      </c>
    </row>
    <row r="3" spans="1:8" x14ac:dyDescent="0.2">
      <c r="A3" t="s">
        <v>2096</v>
      </c>
      <c r="B3">
        <f>COUNTIFS(Crowdfunding!$D:$D, "&gt;=1000",Crowdfunding!$D:$D, "&lt;=4999", Crowdfunding!$G:$G,"successful")</f>
        <v>191</v>
      </c>
      <c r="C3">
        <f>COUNTIFS(Crowdfunding!$D:$D, "&gt;=1000",Crowdfunding!$D:$D, "&lt;=4999", Crowdfunding!$G:$G,"failed")</f>
        <v>38</v>
      </c>
      <c r="D3">
        <f>COUNTIFS(Crowdfunding!$D:$D, "&gt;=1000",Crowdfunding!$D:$D, "&lt;=4999", Crowdfunding!$G:$G,"canceled")</f>
        <v>2</v>
      </c>
      <c r="E3">
        <f t="shared" ref="E3:E13" si="0">SUM(B3,C3,D3)</f>
        <v>231</v>
      </c>
      <c r="F3" s="11">
        <f t="shared" ref="F3:F13" si="1">IF(E3&lt;&gt;0, (B3/E3)*100, 0)</f>
        <v>82.683982683982677</v>
      </c>
      <c r="G3" s="5">
        <f t="shared" ref="G3:G13" si="2">IF(E3&lt;&gt;0, (C3/E3)*100, 0)</f>
        <v>16.450216450216452</v>
      </c>
      <c r="H3" s="5">
        <f t="shared" ref="H3:H13" si="3">IF(E3&lt;&gt;0, (D3/E3)*100, 0)</f>
        <v>0.86580086580086579</v>
      </c>
    </row>
    <row r="4" spans="1:8" x14ac:dyDescent="0.2">
      <c r="A4" t="s">
        <v>2097</v>
      </c>
      <c r="B4">
        <f>COUNTIFS(Crowdfunding!$D:$D, "&gt;=5000",Crowdfunding!$D:$D, "&lt;=9999", Crowdfunding!$G:$G,"successful")</f>
        <v>164</v>
      </c>
      <c r="C4">
        <f>COUNTIFS(Crowdfunding!$D:$D, "&gt;=5000",Crowdfunding!$D:$D, "&lt;=9999", Crowdfunding!$G:$G,"failed")</f>
        <v>126</v>
      </c>
      <c r="D4">
        <f>COUNTIFS(Crowdfunding!$D:$D, "&gt;=5000",Crowdfunding!$D:$D, "&lt;=9999", Crowdfunding!$G:$G,"canceled")</f>
        <v>25</v>
      </c>
      <c r="E4">
        <f t="shared" si="0"/>
        <v>315</v>
      </c>
      <c r="F4" s="11">
        <f t="shared" si="1"/>
        <v>52.06349206349207</v>
      </c>
      <c r="G4">
        <f t="shared" si="2"/>
        <v>40</v>
      </c>
      <c r="H4" s="5">
        <f t="shared" si="3"/>
        <v>7.9365079365079358</v>
      </c>
    </row>
    <row r="5" spans="1:8" x14ac:dyDescent="0.2">
      <c r="A5" t="s">
        <v>2098</v>
      </c>
      <c r="B5">
        <f>COUNTIFS(Crowdfunding!$D:$D, "&gt;=10000",Crowdfunding!$D:$D, "&lt;=14999", Crowdfunding!$G:$G,"successful")</f>
        <v>4</v>
      </c>
      <c r="C5">
        <f>COUNTIFS(Crowdfunding!$D:$D, "&gt;=10000",Crowdfunding!$D:$D, "&lt;=14999", Crowdfunding!$G:$G,"failed")</f>
        <v>5</v>
      </c>
      <c r="D5">
        <f>COUNTIFS(Crowdfunding!$D:$D, "&gt;=10000",Crowdfunding!$D:$D, "&lt;=14999", Crowdfunding!$G:$G,"canceled")</f>
        <v>0</v>
      </c>
      <c r="E5">
        <f t="shared" si="0"/>
        <v>9</v>
      </c>
      <c r="F5" s="11">
        <f t="shared" si="1"/>
        <v>44.444444444444443</v>
      </c>
      <c r="G5" s="5">
        <f t="shared" si="2"/>
        <v>55.555555555555557</v>
      </c>
      <c r="H5">
        <f t="shared" si="3"/>
        <v>0</v>
      </c>
    </row>
    <row r="6" spans="1:8" x14ac:dyDescent="0.2">
      <c r="A6" t="s">
        <v>2099</v>
      </c>
      <c r="B6">
        <f>COUNTIFS(Crowdfunding!$D:$D, "&gt;=15000",Crowdfunding!$D:$D, "&lt;=19999", Crowdfunding!$G:$G,"successful")</f>
        <v>10</v>
      </c>
      <c r="C6">
        <f>COUNTIFS(Crowdfunding!$D:$D, "&gt;=15000",Crowdfunding!$D:$D, "&lt;=19999", Crowdfunding!$G:$G,"failed")</f>
        <v>0</v>
      </c>
      <c r="D6">
        <f>COUNTIFS(Crowdfunding!$D:$D, "&gt;=15000",Crowdfunding!$D:$D, "&lt;=19999", Crowdfunding!$G:$G,"canceled")</f>
        <v>0</v>
      </c>
      <c r="E6">
        <f t="shared" si="0"/>
        <v>10</v>
      </c>
      <c r="F6" s="11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2100</v>
      </c>
      <c r="B7">
        <f>COUNTIFS(Crowdfunding!$D:$D, "&gt;=20000",Crowdfunding!$D:$D, "&lt;=24999", Crowdfunding!$G:$G,"successful")</f>
        <v>7</v>
      </c>
      <c r="C7">
        <f>COUNTIFS(Crowdfunding!$D:$D, "&gt;=20000",Crowdfunding!$D:$D, "&lt;=24999", Crowdfunding!$G:$G,"failed")</f>
        <v>0</v>
      </c>
      <c r="D7">
        <f>COUNTIFS(Crowdfunding!$D:$D, "&gt;=20000",Crowdfunding!$D:$D, "&lt;=24999", Crowdfunding!$G:$G,"canceled")</f>
        <v>0</v>
      </c>
      <c r="E7">
        <f t="shared" si="0"/>
        <v>7</v>
      </c>
      <c r="F7" s="11">
        <f t="shared" si="1"/>
        <v>100</v>
      </c>
      <c r="G7">
        <f t="shared" si="2"/>
        <v>0</v>
      </c>
      <c r="H7">
        <f t="shared" si="3"/>
        <v>0</v>
      </c>
    </row>
    <row r="8" spans="1:8" ht="17" x14ac:dyDescent="0.2">
      <c r="A8" s="9" t="s">
        <v>2101</v>
      </c>
      <c r="B8">
        <f>COUNTIFS(Crowdfunding!$D:$D, "&gt;=25000",Crowdfunding!$D:$D, "&lt;=29999", Crowdfunding!$G:$G,"successful")</f>
        <v>11</v>
      </c>
      <c r="C8">
        <f>COUNTIFS(Crowdfunding!$D:$D, "&gt;=25000",Crowdfunding!$D:$D, "&lt;=29999", Crowdfunding!$G:$G,"failed")</f>
        <v>3</v>
      </c>
      <c r="D8">
        <f>COUNTIFS(Crowdfunding!$D:$D, "&gt;=25000",Crowdfunding!$D:$D, "&lt;=29999", Crowdfunding!$G:$G,"canceled")</f>
        <v>0</v>
      </c>
      <c r="E8">
        <f t="shared" si="0"/>
        <v>14</v>
      </c>
      <c r="F8" s="11">
        <f t="shared" si="1"/>
        <v>78.571428571428569</v>
      </c>
      <c r="G8" s="5">
        <f t="shared" si="2"/>
        <v>21.428571428571427</v>
      </c>
      <c r="H8">
        <f t="shared" si="3"/>
        <v>0</v>
      </c>
    </row>
    <row r="9" spans="1:8" x14ac:dyDescent="0.2">
      <c r="A9" t="s">
        <v>2102</v>
      </c>
      <c r="B9">
        <f>COUNTIFS(Crowdfunding!$D:$D, "&gt;=30000",Crowdfunding!$D:$D, "&lt;=34999", Crowdfunding!$G:$G,"successful")</f>
        <v>7</v>
      </c>
      <c r="C9">
        <f>COUNTIFS(Crowdfunding!$D:$D, "&gt;=30000",Crowdfunding!$D:$D, "&lt;=34999", Crowdfunding!$G:$G,"failed")</f>
        <v>0</v>
      </c>
      <c r="D9">
        <f>COUNTIFS(Crowdfunding!$D:$D, "&gt;=30000",Crowdfunding!$D:$D, "&lt;=34999", Crowdfunding!$G:$G,"canceled")</f>
        <v>0</v>
      </c>
      <c r="E9">
        <f t="shared" si="0"/>
        <v>7</v>
      </c>
      <c r="F9" s="11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2103</v>
      </c>
      <c r="B10">
        <f>COUNTIFS(Crowdfunding!$D:$D, "&gt;=35000",Crowdfunding!$D:$D, "&lt;=39999", Crowdfunding!$G:$G,"successful")</f>
        <v>8</v>
      </c>
      <c r="C10">
        <f>COUNTIFS(Crowdfunding!$D:$D, "&gt;=35000",Crowdfunding!$D:$D, "&lt;=39999", Crowdfunding!$G:$G,"failed")</f>
        <v>3</v>
      </c>
      <c r="D10">
        <f>COUNTIFS(Crowdfunding!$D:$D, "&gt;=35000",Crowdfunding!$D:$D, "&lt;=39999", Crowdfunding!$G:$G,"canceled")</f>
        <v>1</v>
      </c>
      <c r="E10">
        <f t="shared" si="0"/>
        <v>12</v>
      </c>
      <c r="F10" s="11">
        <f t="shared" si="1"/>
        <v>66.666666666666657</v>
      </c>
      <c r="G10">
        <f t="shared" si="2"/>
        <v>25</v>
      </c>
      <c r="H10" s="5">
        <f t="shared" si="3"/>
        <v>8.3333333333333321</v>
      </c>
    </row>
    <row r="11" spans="1:8" x14ac:dyDescent="0.2">
      <c r="A11" t="s">
        <v>2104</v>
      </c>
      <c r="B11">
        <f>COUNTIFS(Crowdfunding!$D:$D, "&gt;=40000",Crowdfunding!$D:$D, "&lt;=44999", Crowdfunding!$G:$G,"successful")</f>
        <v>11</v>
      </c>
      <c r="C11">
        <f>COUNTIFS(Crowdfunding!$D:$D, "&gt;=40000",Crowdfunding!$D:$D, "&lt;=44999", Crowdfunding!$G:$G,"failed")</f>
        <v>3</v>
      </c>
      <c r="D11">
        <f>COUNTIFS(Crowdfunding!$D:$D, "&gt;=40000",Crowdfunding!$D:$D, "&lt;=44999", Crowdfunding!$G:$G,"canceled")</f>
        <v>0</v>
      </c>
      <c r="E11">
        <f t="shared" si="0"/>
        <v>14</v>
      </c>
      <c r="F11" s="11">
        <f t="shared" si="1"/>
        <v>78.571428571428569</v>
      </c>
      <c r="G11" s="5">
        <f t="shared" si="2"/>
        <v>21.428571428571427</v>
      </c>
      <c r="H11">
        <f t="shared" si="3"/>
        <v>0</v>
      </c>
    </row>
    <row r="12" spans="1:8" x14ac:dyDescent="0.2">
      <c r="A12" t="s">
        <v>2105</v>
      </c>
      <c r="B12">
        <f>COUNTIFS(Crowdfunding!$D:$D, "&gt;=45000",Crowdfunding!$D:$D, "&lt;=49999", 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1">
        <f t="shared" si="1"/>
        <v>72.727272727272734</v>
      </c>
      <c r="G12" s="5">
        <f t="shared" si="2"/>
        <v>27.27272727272727</v>
      </c>
      <c r="H12">
        <f t="shared" si="3"/>
        <v>0</v>
      </c>
    </row>
    <row r="13" spans="1:8" x14ac:dyDescent="0.2">
      <c r="A13" t="s">
        <v>2106</v>
      </c>
      <c r="B13">
        <f>COUNTIFS(Crowdfunding!$D:$D, "&gt;=50000", Crowdfunding!$G:$G,"successful")</f>
        <v>114</v>
      </c>
      <c r="C13">
        <f>COUNTIFS(Crowdfunding!$D:$D, "&gt;=50000", Crowdfunding!$G:$G,"failed")</f>
        <v>163</v>
      </c>
      <c r="D13">
        <f>COUNTIFS(Crowdfunding!$D:$D, "&gt;=50000", Crowdfunding!$G:$G,"canceled")</f>
        <v>28</v>
      </c>
      <c r="E13">
        <f t="shared" si="0"/>
        <v>305</v>
      </c>
      <c r="F13" s="11">
        <f t="shared" si="1"/>
        <v>37.377049180327873</v>
      </c>
      <c r="G13" s="5">
        <f t="shared" si="2"/>
        <v>53.442622950819676</v>
      </c>
      <c r="H13" s="5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AF92-A736-6D44-A691-A2F28852BEE3}">
  <dimension ref="A1:L566"/>
  <sheetViews>
    <sheetView tabSelected="1" workbookViewId="0">
      <selection activeCell="H16" sqref="H16"/>
    </sheetView>
  </sheetViews>
  <sheetFormatPr baseColWidth="10" defaultRowHeight="16" x14ac:dyDescent="0.2"/>
  <cols>
    <col min="1" max="2" width="36.83203125" customWidth="1"/>
    <col min="3" max="3" width="39" customWidth="1"/>
    <col min="4" max="4" width="21.1640625" customWidth="1"/>
    <col min="5" max="5" width="10.1640625" customWidth="1"/>
    <col min="6" max="6" width="17.1640625" customWidth="1"/>
    <col min="7" max="7" width="18" customWidth="1"/>
    <col min="8" max="8" width="16.33203125" customWidth="1"/>
    <col min="10" max="10" width="14.83203125" customWidth="1"/>
    <col min="11" max="11" width="13.1640625" customWidth="1"/>
    <col min="12" max="12" width="17.83203125" customWidth="1"/>
  </cols>
  <sheetData>
    <row r="1" spans="1:12" x14ac:dyDescent="0.2">
      <c r="A1" s="1" t="s">
        <v>4</v>
      </c>
      <c r="B1" s="1" t="s">
        <v>5</v>
      </c>
      <c r="C1" s="1" t="s">
        <v>4</v>
      </c>
      <c r="D1" s="1" t="s">
        <v>5</v>
      </c>
      <c r="E1" s="1"/>
      <c r="G1" s="10" t="s">
        <v>2108</v>
      </c>
      <c r="H1" s="10" t="s">
        <v>2107</v>
      </c>
      <c r="I1" s="10" t="s">
        <v>2109</v>
      </c>
      <c r="J1" s="10" t="s">
        <v>2110</v>
      </c>
      <c r="K1" s="10" t="s">
        <v>2111</v>
      </c>
      <c r="L1" s="10" t="s">
        <v>2112</v>
      </c>
    </row>
    <row r="2" spans="1:12" x14ac:dyDescent="0.2">
      <c r="A2" t="s">
        <v>20</v>
      </c>
      <c r="B2">
        <v>158</v>
      </c>
      <c r="C2" t="s">
        <v>14</v>
      </c>
      <c r="D2">
        <v>0</v>
      </c>
      <c r="F2" s="10" t="s">
        <v>2113</v>
      </c>
      <c r="G2" s="5">
        <f>AVERAGE(B:B)</f>
        <v>851.14690265486729</v>
      </c>
      <c r="H2">
        <f>MEDIAN(B:B)</f>
        <v>201</v>
      </c>
      <c r="I2">
        <f>MIN(B:B)</f>
        <v>16</v>
      </c>
      <c r="J2">
        <f>MAX(B:B)</f>
        <v>7295</v>
      </c>
      <c r="K2" s="5">
        <f>_xlfn.VAR.S(B:B)</f>
        <v>1606216.5936295739</v>
      </c>
      <c r="L2" s="5">
        <f>_xlfn.STDEV.S(B:B)</f>
        <v>1267.366006183523</v>
      </c>
    </row>
    <row r="3" spans="1:12" x14ac:dyDescent="0.2">
      <c r="A3" t="s">
        <v>20</v>
      </c>
      <c r="B3">
        <v>1425</v>
      </c>
      <c r="C3" t="s">
        <v>14</v>
      </c>
      <c r="D3">
        <v>24</v>
      </c>
      <c r="F3" s="10" t="s">
        <v>2114</v>
      </c>
      <c r="G3" s="5">
        <f>AVERAGE(D:D)</f>
        <v>585.61538461538464</v>
      </c>
      <c r="H3" s="5">
        <f>MEDIAN(D:D)</f>
        <v>114.5</v>
      </c>
      <c r="I3">
        <f>MIN(D2:D365)</f>
        <v>0</v>
      </c>
      <c r="J3">
        <f>MAX(D:D)</f>
        <v>6080</v>
      </c>
      <c r="K3" s="5">
        <f>_xlfn.VAR.S(D:D)</f>
        <v>924113.45496927318</v>
      </c>
      <c r="L3" s="5">
        <f>_xlfn.STDEV.S(D:D)</f>
        <v>961.30819978260524</v>
      </c>
    </row>
    <row r="4" spans="1:12" x14ac:dyDescent="0.2">
      <c r="A4" t="s">
        <v>20</v>
      </c>
      <c r="B4">
        <v>174</v>
      </c>
      <c r="C4" t="s">
        <v>14</v>
      </c>
      <c r="D4">
        <v>53</v>
      </c>
    </row>
    <row r="5" spans="1:12" x14ac:dyDescent="0.2">
      <c r="A5" t="s">
        <v>20</v>
      </c>
      <c r="B5">
        <v>227</v>
      </c>
      <c r="C5" t="s">
        <v>14</v>
      </c>
      <c r="D5">
        <v>18</v>
      </c>
    </row>
    <row r="6" spans="1:12" x14ac:dyDescent="0.2">
      <c r="A6" t="s">
        <v>20</v>
      </c>
      <c r="B6">
        <v>220</v>
      </c>
      <c r="C6" t="s">
        <v>14</v>
      </c>
      <c r="D6">
        <v>44</v>
      </c>
    </row>
    <row r="7" spans="1:12" x14ac:dyDescent="0.2">
      <c r="A7" t="s">
        <v>20</v>
      </c>
      <c r="B7">
        <v>98</v>
      </c>
      <c r="C7" t="s">
        <v>14</v>
      </c>
      <c r="D7">
        <v>27</v>
      </c>
    </row>
    <row r="8" spans="1:12" x14ac:dyDescent="0.2">
      <c r="A8" t="s">
        <v>20</v>
      </c>
      <c r="B8">
        <v>100</v>
      </c>
      <c r="C8" t="s">
        <v>14</v>
      </c>
      <c r="D8">
        <v>55</v>
      </c>
    </row>
    <row r="9" spans="1:12" x14ac:dyDescent="0.2">
      <c r="A9" t="s">
        <v>20</v>
      </c>
      <c r="B9">
        <v>1249</v>
      </c>
      <c r="C9" t="s">
        <v>14</v>
      </c>
      <c r="D9">
        <v>200</v>
      </c>
    </row>
    <row r="10" spans="1:12" x14ac:dyDescent="0.2">
      <c r="A10" t="s">
        <v>20</v>
      </c>
      <c r="B10">
        <v>1396</v>
      </c>
      <c r="C10" t="s">
        <v>14</v>
      </c>
      <c r="D10">
        <v>452</v>
      </c>
    </row>
    <row r="11" spans="1:12" x14ac:dyDescent="0.2">
      <c r="A11" t="s">
        <v>20</v>
      </c>
      <c r="B11">
        <v>890</v>
      </c>
      <c r="C11" t="s">
        <v>14</v>
      </c>
      <c r="D11">
        <v>674</v>
      </c>
    </row>
    <row r="12" spans="1:12" x14ac:dyDescent="0.2">
      <c r="A12" t="s">
        <v>20</v>
      </c>
      <c r="B12">
        <v>142</v>
      </c>
      <c r="C12" t="s">
        <v>14</v>
      </c>
      <c r="D12">
        <v>558</v>
      </c>
    </row>
    <row r="13" spans="1:12" x14ac:dyDescent="0.2">
      <c r="A13" t="s">
        <v>20</v>
      </c>
      <c r="B13">
        <v>2673</v>
      </c>
      <c r="C13" t="s">
        <v>14</v>
      </c>
      <c r="D13">
        <v>15</v>
      </c>
    </row>
    <row r="14" spans="1:12" x14ac:dyDescent="0.2">
      <c r="A14" t="s">
        <v>20</v>
      </c>
      <c r="B14">
        <v>163</v>
      </c>
      <c r="C14" t="s">
        <v>14</v>
      </c>
      <c r="D14">
        <v>2307</v>
      </c>
    </row>
    <row r="15" spans="1:12" x14ac:dyDescent="0.2">
      <c r="A15" t="s">
        <v>20</v>
      </c>
      <c r="B15">
        <v>2220</v>
      </c>
      <c r="C15" t="s">
        <v>14</v>
      </c>
      <c r="D15">
        <v>88</v>
      </c>
    </row>
    <row r="16" spans="1:12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6" stopIfTrue="1" operator="containsText" text="canceled">
      <formula>NOT(ISERROR(SEARCH("canceled",A1)))</formula>
    </cfRule>
    <cfRule type="containsText" dxfId="6" priority="7" stopIfTrue="1" operator="containsText" text="live">
      <formula>NOT(ISERROR(SEARCH("live",A1)))</formula>
    </cfRule>
    <cfRule type="containsText" dxfId="5" priority="8" stopIfTrue="1" operator="containsText" text="failed">
      <formula>NOT(ISERROR(SEARCH("failed",A1)))</formula>
    </cfRule>
    <cfRule type="containsText" dxfId="4" priority="9" stopIfTrue="1" operator="containsText" text="successful">
      <formula>NOT(ISERROR(SEARCH("successful",A1)))</formula>
    </cfRule>
  </conditionalFormatting>
  <conditionalFormatting sqref="C1:C1047940">
    <cfRule type="containsText" dxfId="3" priority="1" stopIfTrue="1" operator="containsText" text="canceled">
      <formula>NOT(ISERROR(SEARCH("canceled",C1)))</formula>
    </cfRule>
    <cfRule type="containsText" dxfId="2" priority="2" stopIfTrue="1" operator="containsText" text="live">
      <formula>NOT(ISERROR(SEARCH("live",C1)))</formula>
    </cfRule>
    <cfRule type="containsText" dxfId="1" priority="3" stopIfTrue="1" operator="containsText" text="failed">
      <formula>NOT(ISERROR(SEARCH("failed",C1)))</formula>
    </cfRule>
    <cfRule type="containsText" dxfId="0" priority="4" stopIfTrue="1" operator="containsText" text="successful">
      <formula>NOT(ISERROR(SEARCH("successful",C1)))</formula>
    </cfRule>
  </conditionalFormatting>
  <conditionalFormatting sqref="C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Jordan Thomas</cp:lastModifiedBy>
  <dcterms:created xsi:type="dcterms:W3CDTF">2021-09-29T18:52:28Z</dcterms:created>
  <dcterms:modified xsi:type="dcterms:W3CDTF">2024-09-24T00:51:59Z</dcterms:modified>
</cp:coreProperties>
</file>