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tchacko/Desktop/Papers/Sapphire Brown/Sapphire Brown Manuscript/Revised Manuscript/"/>
    </mc:Choice>
  </mc:AlternateContent>
  <xr:revisionPtr revIDLastSave="0" documentId="13_ncr:1_{0B4A3308-90A8-9E47-9992-13A0D3086727}" xr6:coauthVersionLast="36" xr6:coauthVersionMax="36" xr10:uidLastSave="{00000000-0000-0000-0000-000000000000}"/>
  <bookViews>
    <workbookView xWindow="0" yWindow="460" windowWidth="28800" windowHeight="14240" activeTab="1" xr2:uid="{00000000-000D-0000-FFFF-FFFF00000000}"/>
  </bookViews>
  <sheets>
    <sheet name="Notes" sheetId="6" r:id="rId1"/>
    <sheet name="Size" sheetId="1" r:id="rId2"/>
    <sheet name="CompareResults" sheetId="7" r:id="rId3"/>
    <sheet name="Chart1" sheetId="8" r:id="rId4"/>
  </sheets>
  <definedNames>
    <definedName name="_MatMult_A" hidden="1">Size!$S$71:$U$88</definedName>
    <definedName name="_MatMult_AxB" hidden="1">Size!$V$76</definedName>
    <definedName name="_Regression_Int" localSheetId="1" hidden="1">1</definedName>
    <definedName name="_xlnm.Print_Area" localSheetId="1">Size!$K$12:$T$50</definedName>
    <definedName name="Print_Area_MI" localSheetId="1">Size!$K$12:$T$50</definedName>
  </definedNames>
  <calcPr calcId="181029"/>
</workbook>
</file>

<file path=xl/calcChain.xml><?xml version="1.0" encoding="utf-8"?>
<calcChain xmlns="http://schemas.openxmlformats.org/spreadsheetml/2006/main">
  <c r="DG12" i="1" l="1"/>
  <c r="DF12" i="1"/>
  <c r="DD12" i="1"/>
  <c r="DC12" i="1"/>
  <c r="CX12" i="1"/>
  <c r="CW12" i="1"/>
  <c r="CV12" i="1"/>
  <c r="B10" i="1" l="1"/>
  <c r="S17" i="7" l="1"/>
  <c r="R17" i="7"/>
  <c r="Q17" i="7"/>
  <c r="P17" i="7"/>
  <c r="O17" i="7"/>
  <c r="N17" i="7"/>
  <c r="L17" i="7"/>
  <c r="K17" i="7"/>
  <c r="J17" i="7"/>
  <c r="I17" i="7"/>
  <c r="H17" i="7"/>
  <c r="G17" i="7"/>
  <c r="F17" i="7"/>
  <c r="E17" i="7"/>
  <c r="D17" i="7"/>
  <c r="C17" i="7"/>
  <c r="B17" i="7"/>
  <c r="H15" i="1"/>
  <c r="L15" i="1" s="1"/>
  <c r="H36" i="1"/>
  <c r="L36" i="1" s="1"/>
  <c r="E5" i="1"/>
  <c r="H32" i="1"/>
  <c r="L32" i="1" s="1"/>
  <c r="H38" i="1"/>
  <c r="L38" i="1" s="1"/>
  <c r="CA12" i="1"/>
  <c r="CB12" i="1"/>
  <c r="CC12" i="1"/>
  <c r="CD12" i="1"/>
  <c r="CE12" i="1"/>
  <c r="CF12" i="1"/>
  <c r="CH12" i="1"/>
  <c r="CI12" i="1"/>
  <c r="CJ12" i="1"/>
  <c r="CK12" i="1"/>
  <c r="CL12" i="1"/>
  <c r="CM12" i="1"/>
  <c r="CO12" i="1"/>
  <c r="CU31" i="1" s="1"/>
  <c r="CP12" i="1"/>
  <c r="CQ12" i="1"/>
  <c r="J15" i="1"/>
  <c r="K15" i="1"/>
  <c r="U15" i="1"/>
  <c r="AN15" i="1"/>
  <c r="BD15" i="1" s="1"/>
  <c r="AO15" i="1"/>
  <c r="J16" i="1"/>
  <c r="K16" i="1"/>
  <c r="U16" i="1"/>
  <c r="AN16" i="1"/>
  <c r="AZ16" i="1" s="1"/>
  <c r="AO16" i="1"/>
  <c r="BU16" i="1"/>
  <c r="J17" i="1"/>
  <c r="K17" i="1"/>
  <c r="U17" i="1"/>
  <c r="AN17" i="1"/>
  <c r="AP17" i="1" s="1"/>
  <c r="AO17" i="1"/>
  <c r="BM17" i="1" s="1"/>
  <c r="BO17" i="1"/>
  <c r="BS17" i="1"/>
  <c r="BX17" i="1"/>
  <c r="J18" i="1"/>
  <c r="K18" i="1"/>
  <c r="U18" i="1"/>
  <c r="AN18" i="1"/>
  <c r="AO18" i="1"/>
  <c r="BR18" i="1" s="1"/>
  <c r="BN18" i="1"/>
  <c r="BU18" i="1"/>
  <c r="BX18" i="1"/>
  <c r="J19" i="1"/>
  <c r="K19" i="1"/>
  <c r="M19" i="1" s="1"/>
  <c r="U19" i="1"/>
  <c r="AN19" i="1"/>
  <c r="AO19" i="1"/>
  <c r="J20" i="1"/>
  <c r="K20" i="1"/>
  <c r="M20" i="1" s="1"/>
  <c r="N20" i="1"/>
  <c r="O20" i="1" s="1"/>
  <c r="U20" i="1"/>
  <c r="AN20" i="1"/>
  <c r="AO20" i="1"/>
  <c r="BV20" i="1" s="1"/>
  <c r="J21" i="1"/>
  <c r="K21" i="1"/>
  <c r="M21" i="1"/>
  <c r="N21" i="1"/>
  <c r="O21" i="1" s="1"/>
  <c r="U21" i="1"/>
  <c r="AN21" i="1"/>
  <c r="AP21" i="1" s="1"/>
  <c r="AO21" i="1"/>
  <c r="BO21" i="1" s="1"/>
  <c r="AS21" i="1"/>
  <c r="J22" i="1"/>
  <c r="K22" i="1"/>
  <c r="M22" i="1" s="1"/>
  <c r="N22" i="1"/>
  <c r="O22" i="1" s="1"/>
  <c r="U22" i="1"/>
  <c r="AN22" i="1"/>
  <c r="AT22" i="1" s="1"/>
  <c r="AO22" i="1"/>
  <c r="BT22" i="1" s="1"/>
  <c r="AZ22" i="1"/>
  <c r="BE22" i="1"/>
  <c r="J23" i="1"/>
  <c r="K23" i="1"/>
  <c r="M23" i="1" s="1"/>
  <c r="N23" i="1"/>
  <c r="O23" i="1" s="1"/>
  <c r="U23" i="1"/>
  <c r="AN23" i="1"/>
  <c r="AT23" i="1" s="1"/>
  <c r="AO23" i="1"/>
  <c r="AQ23" i="1"/>
  <c r="AY23" i="1"/>
  <c r="BC23" i="1"/>
  <c r="J24" i="1"/>
  <c r="K24" i="1"/>
  <c r="U24" i="1"/>
  <c r="AN24" i="1"/>
  <c r="AW24" i="1" s="1"/>
  <c r="AO24" i="1"/>
  <c r="BO24" i="1" s="1"/>
  <c r="BY24" i="1"/>
  <c r="J25" i="1"/>
  <c r="K25" i="1"/>
  <c r="U25" i="1"/>
  <c r="AN25" i="1"/>
  <c r="AX25" i="1" s="1"/>
  <c r="AO25" i="1"/>
  <c r="J26" i="1"/>
  <c r="K26" i="1"/>
  <c r="U26" i="1"/>
  <c r="AN26" i="1"/>
  <c r="AW26" i="1" s="1"/>
  <c r="AO26" i="1"/>
  <c r="BO26" i="1" s="1"/>
  <c r="J27" i="1"/>
  <c r="K27" i="1"/>
  <c r="N27" i="1"/>
  <c r="O27" i="1" s="1"/>
  <c r="U27" i="1"/>
  <c r="AN27" i="1"/>
  <c r="AO27" i="1"/>
  <c r="BK27" i="1" s="1"/>
  <c r="BL27" i="1"/>
  <c r="BS27" i="1"/>
  <c r="BX27" i="1"/>
  <c r="J28" i="1"/>
  <c r="K28" i="1"/>
  <c r="U28" i="1"/>
  <c r="AN28" i="1"/>
  <c r="AO28" i="1"/>
  <c r="BU28" i="1" s="1"/>
  <c r="BM28" i="1"/>
  <c r="BL28" i="1"/>
  <c r="BW28" i="1"/>
  <c r="J29" i="1"/>
  <c r="K29" i="1"/>
  <c r="U29" i="1"/>
  <c r="AN29" i="1"/>
  <c r="AO29" i="1"/>
  <c r="BW29" i="1" s="1"/>
  <c r="AP29" i="1"/>
  <c r="AX29" i="1"/>
  <c r="BG29" i="1"/>
  <c r="J30" i="1"/>
  <c r="K30" i="1"/>
  <c r="U30" i="1"/>
  <c r="AN30" i="1"/>
  <c r="AO30" i="1"/>
  <c r="BO30" i="1" s="1"/>
  <c r="BX30" i="1"/>
  <c r="J31" i="1"/>
  <c r="K31" i="1"/>
  <c r="U31" i="1"/>
  <c r="AN31" i="1"/>
  <c r="BG31" i="1" s="1"/>
  <c r="AO31" i="1"/>
  <c r="BK31" i="1" s="1"/>
  <c r="BT31" i="1"/>
  <c r="J32" i="1"/>
  <c r="K32" i="1"/>
  <c r="U32" i="1"/>
  <c r="AN32" i="1"/>
  <c r="BD32" i="1" s="1"/>
  <c r="AO32" i="1"/>
  <c r="BJ32" i="1" s="1"/>
  <c r="BI32" i="1"/>
  <c r="BU32" i="1"/>
  <c r="J33" i="1"/>
  <c r="K33" i="1"/>
  <c r="U33" i="1"/>
  <c r="AN33" i="1"/>
  <c r="AO33" i="1"/>
  <c r="BV33" i="1" s="1"/>
  <c r="J34" i="1"/>
  <c r="K34" i="1"/>
  <c r="U34" i="1"/>
  <c r="AN34" i="1"/>
  <c r="AV34" i="1" s="1"/>
  <c r="AO34" i="1"/>
  <c r="BJ34" i="1" s="1"/>
  <c r="AR34" i="1"/>
  <c r="BS34" i="1"/>
  <c r="BW34" i="1"/>
  <c r="J35" i="1"/>
  <c r="K35" i="1"/>
  <c r="U35" i="1"/>
  <c r="AN35" i="1"/>
  <c r="AW35" i="1" s="1"/>
  <c r="AO35" i="1"/>
  <c r="BV35" i="1" s="1"/>
  <c r="J36" i="1"/>
  <c r="K36" i="1"/>
  <c r="U36" i="1"/>
  <c r="AN36" i="1"/>
  <c r="AX36" i="1" s="1"/>
  <c r="AY36" i="1"/>
  <c r="AO36" i="1"/>
  <c r="AW36" i="1"/>
  <c r="AZ36" i="1"/>
  <c r="BO36" i="1"/>
  <c r="J37" i="1"/>
  <c r="K37" i="1"/>
  <c r="U37" i="1"/>
  <c r="AN37" i="1"/>
  <c r="AT37" i="1" s="1"/>
  <c r="AO37" i="1"/>
  <c r="BV37" i="1" s="1"/>
  <c r="J38" i="1"/>
  <c r="K38" i="1"/>
  <c r="M38" i="1" s="1"/>
  <c r="N38" i="1"/>
  <c r="O38" i="1" s="1"/>
  <c r="U38" i="1"/>
  <c r="AN38" i="1"/>
  <c r="BE38" i="1" s="1"/>
  <c r="AO38" i="1"/>
  <c r="BY38" i="1" s="1"/>
  <c r="BO38" i="1"/>
  <c r="BT38" i="1"/>
  <c r="J39" i="1"/>
  <c r="K39" i="1"/>
  <c r="M39" i="1" s="1"/>
  <c r="N39" i="1"/>
  <c r="O39" i="1" s="1"/>
  <c r="U39" i="1"/>
  <c r="AN39" i="1"/>
  <c r="BC39" i="1" s="1"/>
  <c r="AO39" i="1"/>
  <c r="AP39" i="1"/>
  <c r="AQ39" i="1"/>
  <c r="J40" i="1"/>
  <c r="K40" i="1"/>
  <c r="M40" i="1" s="1"/>
  <c r="N40" i="1"/>
  <c r="O40" i="1" s="1"/>
  <c r="U40" i="1"/>
  <c r="AN40" i="1"/>
  <c r="BB40" i="1" s="1"/>
  <c r="AO40" i="1"/>
  <c r="BE39" i="1"/>
  <c r="BT37" i="1"/>
  <c r="BS33" i="1"/>
  <c r="BW33" i="1"/>
  <c r="BJ33" i="1"/>
  <c r="BK33" i="1"/>
  <c r="BP33" i="1"/>
  <c r="BR33" i="1"/>
  <c r="BD39" i="1"/>
  <c r="BX33" i="1"/>
  <c r="AP33" i="1"/>
  <c r="BI36" i="1"/>
  <c r="AY39" i="1"/>
  <c r="BB39" i="1"/>
  <c r="AR39" i="1"/>
  <c r="BA39" i="1"/>
  <c r="BF39" i="1"/>
  <c r="BA35" i="1"/>
  <c r="AX39" i="1"/>
  <c r="AV35" i="1"/>
  <c r="BO33" i="1"/>
  <c r="BG39" i="1"/>
  <c r="AW39" i="1"/>
  <c r="BQ37" i="1"/>
  <c r="BU35" i="1"/>
  <c r="AZ39" i="1"/>
  <c r="AV39" i="1"/>
  <c r="BP37" i="1"/>
  <c r="BA28" i="1"/>
  <c r="AU39" i="1"/>
  <c r="AY40" i="1"/>
  <c r="AT39" i="1"/>
  <c r="BM37" i="1"/>
  <c r="BE33" i="1"/>
  <c r="BX32" i="1"/>
  <c r="BS29" i="1"/>
  <c r="BR29" i="1"/>
  <c r="BQ29" i="1"/>
  <c r="BX26" i="1"/>
  <c r="BP29" i="1"/>
  <c r="AT36" i="1"/>
  <c r="BV34" i="1"/>
  <c r="BF34" i="1"/>
  <c r="AP34" i="1"/>
  <c r="BR32" i="1"/>
  <c r="AU30" i="1"/>
  <c r="BM29" i="1"/>
  <c r="BP27" i="1"/>
  <c r="BT27" i="1"/>
  <c r="BS26" i="1"/>
  <c r="BE34" i="1"/>
  <c r="BQ32" i="1"/>
  <c r="AT30" i="1"/>
  <c r="BL29" i="1"/>
  <c r="BR26" i="1"/>
  <c r="BR24" i="1"/>
  <c r="BW24" i="1"/>
  <c r="BP32" i="1"/>
  <c r="BK29" i="1"/>
  <c r="AP24" i="1"/>
  <c r="BP23" i="1"/>
  <c r="BC34" i="1"/>
  <c r="BO32" i="1"/>
  <c r="AR30" i="1"/>
  <c r="BJ29" i="1"/>
  <c r="BJ28" i="1"/>
  <c r="BN28" i="1"/>
  <c r="BP26" i="1"/>
  <c r="AZ23" i="1"/>
  <c r="AR23" i="1"/>
  <c r="AV23" i="1"/>
  <c r="AW23" i="1"/>
  <c r="BV22" i="1"/>
  <c r="BR22" i="1"/>
  <c r="AP22" i="1"/>
  <c r="BF22" i="1"/>
  <c r="AV22" i="1"/>
  <c r="AX22" i="1"/>
  <c r="BB22" i="1"/>
  <c r="BC22" i="1"/>
  <c r="BM32" i="1"/>
  <c r="AP30" i="1"/>
  <c r="BY29" i="1"/>
  <c r="BM26" i="1"/>
  <c r="BE24" i="1"/>
  <c r="BF23" i="1"/>
  <c r="BL21" i="1"/>
  <c r="BR21" i="1"/>
  <c r="BT21" i="1"/>
  <c r="BI21" i="1"/>
  <c r="BY21" i="1"/>
  <c r="BP34" i="1"/>
  <c r="AZ34" i="1"/>
  <c r="BL32" i="1"/>
  <c r="BR31" i="1"/>
  <c r="BX29" i="1"/>
  <c r="BV28" i="1"/>
  <c r="BQ27" i="1"/>
  <c r="BS25" i="1"/>
  <c r="BE23" i="1"/>
  <c r="BG22" i="1"/>
  <c r="BV29" i="1"/>
  <c r="BN26" i="1"/>
  <c r="BV26" i="1"/>
  <c r="BJ26" i="1"/>
  <c r="BY32" i="1"/>
  <c r="BC30" i="1"/>
  <c r="BU29" i="1"/>
  <c r="BS28" i="1"/>
  <c r="BM27" i="1"/>
  <c r="AP26" i="1"/>
  <c r="BU24" i="1"/>
  <c r="BB23" i="1"/>
  <c r="BY22" i="1"/>
  <c r="BD22" i="1"/>
  <c r="BV21" i="1"/>
  <c r="AY15" i="1"/>
  <c r="AZ15" i="1"/>
  <c r="BA15" i="1"/>
  <c r="BB15" i="1"/>
  <c r="BC15" i="1"/>
  <c r="BE15" i="1"/>
  <c r="AP15" i="1"/>
  <c r="BF15" i="1"/>
  <c r="AQ15" i="1"/>
  <c r="BG15" i="1"/>
  <c r="AR15" i="1"/>
  <c r="AS15" i="1"/>
  <c r="AT15" i="1"/>
  <c r="AU15" i="1"/>
  <c r="AV15" i="1"/>
  <c r="AW15" i="1"/>
  <c r="AX15" i="1"/>
  <c r="BO20" i="1"/>
  <c r="BK18" i="1"/>
  <c r="AU18" i="1"/>
  <c r="BQ17" i="1"/>
  <c r="BW16" i="1"/>
  <c r="AZ25" i="1"/>
  <c r="BN20" i="1"/>
  <c r="BT19" i="1"/>
  <c r="BJ18" i="1"/>
  <c r="AT18" i="1"/>
  <c r="BP17" i="1"/>
  <c r="BV16" i="1"/>
  <c r="BE16" i="1"/>
  <c r="BJ20" i="1"/>
  <c r="BV18" i="1"/>
  <c r="BF18" i="1"/>
  <c r="AP18" i="1"/>
  <c r="BL17" i="1"/>
  <c r="BR16" i="1"/>
  <c r="BT18" i="1"/>
  <c r="BJ17" i="1"/>
  <c r="BP16" i="1"/>
  <c r="BV15" i="1"/>
  <c r="BS18" i="1"/>
  <c r="BY17" i="1"/>
  <c r="BI17" i="1"/>
  <c r="BO16" i="1"/>
  <c r="AY16" i="1"/>
  <c r="CN12" i="1"/>
  <c r="BQ18" i="1"/>
  <c r="BA18" i="1"/>
  <c r="BW17" i="1"/>
  <c r="BM16" i="1"/>
  <c r="BO18" i="1"/>
  <c r="BK16" i="1"/>
  <c r="DI23" i="1"/>
  <c r="CU24" i="1"/>
  <c r="DC27" i="1"/>
  <c r="DE33" i="1"/>
  <c r="DD22" i="1"/>
  <c r="DF21" i="1"/>
  <c r="CU28" i="1"/>
  <c r="DE36" i="1"/>
  <c r="CT25" i="1"/>
  <c r="DB34" i="1"/>
  <c r="DD39" i="1"/>
  <c r="DD16" i="1"/>
  <c r="DH26" i="1"/>
  <c r="DI26" i="1"/>
  <c r="DA32" i="1"/>
  <c r="CY29" i="1"/>
  <c r="DJ24" i="1"/>
  <c r="DK24" i="1"/>
  <c r="CZ30" i="1"/>
  <c r="CX40" i="1"/>
  <c r="DD34" i="1"/>
  <c r="CT33" i="1"/>
  <c r="DE40" i="1"/>
  <c r="DA39" i="1"/>
  <c r="CU30" i="1"/>
  <c r="CV30" i="1"/>
  <c r="DI40" i="1"/>
  <c r="DE39" i="1"/>
  <c r="DA35" i="1"/>
  <c r="DK37" i="1"/>
  <c r="CW31" i="1"/>
  <c r="DE35" i="1"/>
  <c r="DG35" i="1"/>
  <c r="DD27" i="1"/>
  <c r="CW34" i="1"/>
  <c r="CV19" i="1"/>
  <c r="CV27" i="1"/>
  <c r="DK20" i="1"/>
  <c r="DD23" i="1"/>
  <c r="CY22" i="1"/>
  <c r="DE21" i="1"/>
  <c r="CX16" i="1"/>
  <c r="DK17" i="1"/>
  <c r="DC15" i="1"/>
  <c r="CV25" i="1"/>
  <c r="DA15" i="1"/>
  <c r="DJ22" i="1"/>
  <c r="DK16" i="1"/>
  <c r="DH17" i="1"/>
  <c r="DC20" i="1"/>
  <c r="CW16" i="1"/>
  <c r="CX24" i="1"/>
  <c r="CY18" i="1"/>
  <c r="DF19" i="1"/>
  <c r="DA20" i="1"/>
  <c r="DC16" i="1"/>
  <c r="CT20" i="1"/>
  <c r="DG18" i="1"/>
  <c r="CY17" i="1"/>
  <c r="DH18" i="1"/>
  <c r="DC17" i="1"/>
  <c r="DF17" i="1"/>
  <c r="DJ20" i="1"/>
  <c r="CT28" i="1"/>
  <c r="DD18" i="1"/>
  <c r="DB18" i="1"/>
  <c r="DK18" i="1"/>
  <c r="N19" i="1"/>
  <c r="O19" i="1" s="1"/>
  <c r="BK25" i="1"/>
  <c r="BX25" i="1"/>
  <c r="BN25" i="1"/>
  <c r="BJ25" i="1"/>
  <c r="BW25" i="1"/>
  <c r="BY25" i="1"/>
  <c r="BO25" i="1"/>
  <c r="BI25" i="1"/>
  <c r="BT25" i="1"/>
  <c r="BM25" i="1"/>
  <c r="BL25" i="1"/>
  <c r="BQ25" i="1"/>
  <c r="BR25" i="1"/>
  <c r="BP25" i="1"/>
  <c r="BU25" i="1"/>
  <c r="BV25" i="1"/>
  <c r="AW40" i="1"/>
  <c r="AT40" i="1"/>
  <c r="BM38" i="1"/>
  <c r="BV38" i="1"/>
  <c r="BS38" i="1"/>
  <c r="BR36" i="1"/>
  <c r="BW36" i="1"/>
  <c r="BN36" i="1"/>
  <c r="BD34" i="1"/>
  <c r="BF29" i="1"/>
  <c r="AP27" i="1"/>
  <c r="AW27" i="1"/>
  <c r="BF27" i="1"/>
  <c r="AQ27" i="1"/>
  <c r="AY27" i="1"/>
  <c r="AV27" i="1"/>
  <c r="BE27" i="1"/>
  <c r="BC25" i="1"/>
  <c r="AX38" i="1"/>
  <c r="AP38" i="1"/>
  <c r="BS37" i="1"/>
  <c r="BA36" i="1"/>
  <c r="AV36" i="1"/>
  <c r="BE36" i="1"/>
  <c r="AR36" i="1"/>
  <c r="BB36" i="1"/>
  <c r="AZ26" i="1"/>
  <c r="AR26" i="1"/>
  <c r="BB26" i="1"/>
  <c r="AY26" i="1"/>
  <c r="AR25" i="1"/>
  <c r="BB25" i="1"/>
  <c r="AT25" i="1"/>
  <c r="BD25" i="1"/>
  <c r="AQ25" i="1"/>
  <c r="BA25" i="1"/>
  <c r="BL33" i="1"/>
  <c r="BQ33" i="1"/>
  <c r="BY33" i="1"/>
  <c r="BN33" i="1"/>
  <c r="BM33" i="1"/>
  <c r="BV32" i="1"/>
  <c r="AR21" i="1"/>
  <c r="AZ21" i="1"/>
  <c r="AU21" i="1"/>
  <c r="BC21" i="1"/>
  <c r="AQ21" i="1"/>
  <c r="BN32" i="1"/>
  <c r="BW32" i="1"/>
  <c r="BK22" i="1"/>
  <c r="BW22" i="1"/>
  <c r="BM22" i="1"/>
  <c r="BO22" i="1"/>
  <c r="BQ22" i="1"/>
  <c r="BJ22" i="1"/>
  <c r="BU22" i="1"/>
  <c r="BD21" i="1"/>
  <c r="AZ18" i="1"/>
  <c r="AQ18" i="1"/>
  <c r="BC18" i="1"/>
  <c r="AR18" i="1"/>
  <c r="BD18" i="1"/>
  <c r="AV18" i="1"/>
  <c r="BG18" i="1"/>
  <c r="AX18" i="1"/>
  <c r="AY18" i="1"/>
  <c r="BI16" i="1"/>
  <c r="BY16" i="1"/>
  <c r="BJ16" i="1"/>
  <c r="BN16" i="1"/>
  <c r="BQ16" i="1"/>
  <c r="BT16" i="1"/>
  <c r="BX16" i="1"/>
  <c r="BL37" i="1"/>
  <c r="BF36" i="1"/>
  <c r="AS36" i="1"/>
  <c r="AX34" i="1"/>
  <c r="AT34" i="1"/>
  <c r="BG34" i="1"/>
  <c r="BU33" i="1"/>
  <c r="BT32" i="1"/>
  <c r="BV30" i="1"/>
  <c r="BP28" i="1"/>
  <c r="BK28" i="1"/>
  <c r="BR28" i="1"/>
  <c r="BO28" i="1"/>
  <c r="BY28" i="1"/>
  <c r="AU26" i="1"/>
  <c r="AU25" i="1"/>
  <c r="BA21" i="1"/>
  <c r="BI20" i="1"/>
  <c r="BU20" i="1"/>
  <c r="BL20" i="1"/>
  <c r="BW20" i="1"/>
  <c r="BM20" i="1"/>
  <c r="BX20" i="1"/>
  <c r="BQ20" i="1"/>
  <c r="BR20" i="1"/>
  <c r="BT20" i="1"/>
  <c r="BM19" i="1"/>
  <c r="BW19" i="1"/>
  <c r="BP19" i="1"/>
  <c r="BO19" i="1"/>
  <c r="BY19" i="1"/>
  <c r="BQ19" i="1"/>
  <c r="BJ19" i="1"/>
  <c r="BS19" i="1"/>
  <c r="BL19" i="1"/>
  <c r="BV19" i="1"/>
  <c r="BS16" i="1"/>
  <c r="BK39" i="1"/>
  <c r="AS38" i="1"/>
  <c r="BJ37" i="1"/>
  <c r="BD36" i="1"/>
  <c r="AQ36" i="1"/>
  <c r="BS32" i="1"/>
  <c r="BI29" i="1"/>
  <c r="BT29" i="1"/>
  <c r="BG26" i="1"/>
  <c r="AS26" i="1"/>
  <c r="BG25" i="1"/>
  <c r="AS25" i="1"/>
  <c r="BA24" i="1"/>
  <c r="AX21" i="1"/>
  <c r="BE18" i="1"/>
  <c r="BL16" i="1"/>
  <c r="BT33" i="1"/>
  <c r="BW37" i="1"/>
  <c r="BI33" i="1"/>
  <c r="BW39" i="1"/>
  <c r="BE40" i="1"/>
  <c r="AQ38" i="1"/>
  <c r="BC36" i="1"/>
  <c r="AP36" i="1"/>
  <c r="AS34" i="1"/>
  <c r="BK32" i="1"/>
  <c r="BO31" i="1"/>
  <c r="BQ31" i="1"/>
  <c r="BM31" i="1"/>
  <c r="BY31" i="1"/>
  <c r="BD30" i="1"/>
  <c r="AQ30" i="1"/>
  <c r="BN29" i="1"/>
  <c r="AR29" i="1"/>
  <c r="AZ29" i="1"/>
  <c r="AW29" i="1"/>
  <c r="BE29" i="1"/>
  <c r="BT28" i="1"/>
  <c r="BE26" i="1"/>
  <c r="AQ26" i="1"/>
  <c r="BF25" i="1"/>
  <c r="AP25" i="1"/>
  <c r="BQ24" i="1"/>
  <c r="BG23" i="1"/>
  <c r="AS22" i="1"/>
  <c r="BS21" i="1"/>
  <c r="BL18" i="1"/>
  <c r="BU17" i="1"/>
  <c r="BA22" i="1"/>
  <c r="AQ22" i="1"/>
  <c r="BX24" i="1"/>
  <c r="AW22" i="1"/>
  <c r="BM21" i="1"/>
  <c r="BY23" i="1"/>
  <c r="BU21" i="1"/>
  <c r="BP40" i="1"/>
  <c r="BT40" i="1"/>
  <c r="BX40" i="1"/>
  <c r="BO40" i="1"/>
  <c r="BK40" i="1"/>
  <c r="BF38" i="1"/>
  <c r="BG38" i="1"/>
  <c r="BO39" i="1"/>
  <c r="BC38" i="1"/>
  <c r="BX39" i="1"/>
  <c r="BS39" i="1"/>
  <c r="BW40" i="1"/>
  <c r="BN40" i="1"/>
  <c r="BJ40" i="1"/>
  <c r="BB38" i="1"/>
  <c r="BU39" i="1"/>
  <c r="BY39" i="1"/>
  <c r="AU38" i="1"/>
  <c r="AZ38" i="1"/>
  <c r="AT38" i="1"/>
  <c r="BI39" i="1"/>
  <c r="BM39" i="1"/>
  <c r="BQ40" i="1"/>
  <c r="AR38" i="1"/>
  <c r="BS40" i="1"/>
  <c r="BQ39" i="1"/>
  <c r="BV40" i="1"/>
  <c r="BM40" i="1"/>
  <c r="BI40" i="1"/>
  <c r="H26" i="1"/>
  <c r="L26" i="1" s="1"/>
  <c r="BL30" i="1"/>
  <c r="BU30" i="1"/>
  <c r="BM30" i="1"/>
  <c r="AV30" i="1"/>
  <c r="BD29" i="1"/>
  <c r="AY29" i="1"/>
  <c r="BC27" i="1"/>
  <c r="AU27" i="1"/>
  <c r="H18" i="1"/>
  <c r="L18" i="1" s="1"/>
  <c r="BJ30" i="1"/>
  <c r="BY30" i="1"/>
  <c r="BT30" i="1"/>
  <c r="BR30" i="1"/>
  <c r="BK30" i="1"/>
  <c r="BN30" i="1"/>
  <c r="AT27" i="1"/>
  <c r="BW30" i="1"/>
  <c r="BP30" i="1"/>
  <c r="BQ30" i="1"/>
  <c r="BI30" i="1"/>
  <c r="BW23" i="1"/>
  <c r="BG21" i="1"/>
  <c r="BE21" i="1"/>
  <c r="BB21" i="1"/>
  <c r="BM23" i="1"/>
  <c r="BU23" i="1"/>
  <c r="BD23" i="1"/>
  <c r="AX23" i="1"/>
  <c r="AP23" i="1"/>
  <c r="AS23" i="1"/>
  <c r="BW21" i="1"/>
  <c r="BN21" i="1"/>
  <c r="BJ21" i="1"/>
  <c r="BR19" i="1"/>
  <c r="BG19" i="1"/>
  <c r="BC19" i="1"/>
  <c r="AX19" i="1"/>
  <c r="AT19" i="1"/>
  <c r="AP19" i="1"/>
  <c r="BQ23" i="1"/>
  <c r="BT23" i="1"/>
  <c r="AV21" i="1"/>
  <c r="AY21" i="1"/>
  <c r="AW21" i="1"/>
  <c r="AT21" i="1"/>
  <c r="BV23" i="1"/>
  <c r="BL23" i="1"/>
  <c r="BN23" i="1"/>
  <c r="BS23" i="1"/>
  <c r="BK23" i="1"/>
  <c r="BF19" i="1"/>
  <c r="BB19" i="1"/>
  <c r="AW19" i="1"/>
  <c r="AS19" i="1"/>
  <c r="BI23" i="1"/>
  <c r="BX23" i="1"/>
  <c r="BR23" i="1"/>
  <c r="BA23" i="1"/>
  <c r="BF21" i="1"/>
  <c r="BX19" i="1"/>
  <c r="BE19" i="1"/>
  <c r="BA19" i="1"/>
  <c r="AV19" i="1"/>
  <c r="AR19" i="1"/>
  <c r="H37" i="1"/>
  <c r="L37" i="1" s="1"/>
  <c r="H23" i="1"/>
  <c r="L23" i="1" s="1"/>
  <c r="AS17" i="1"/>
  <c r="H40" i="1"/>
  <c r="L40" i="1" s="1"/>
  <c r="H35" i="1"/>
  <c r="L35" i="1" s="1"/>
  <c r="H30" i="1"/>
  <c r="L30" i="1" s="1"/>
  <c r="H22" i="1"/>
  <c r="L22" i="1" s="1"/>
  <c r="H31" i="1"/>
  <c r="L31" i="1" s="1"/>
  <c r="H39" i="1"/>
  <c r="L39" i="1" s="1"/>
  <c r="H34" i="1"/>
  <c r="L34" i="1" s="1"/>
  <c r="H27" i="1"/>
  <c r="L27" i="1" s="1"/>
  <c r="H19" i="1"/>
  <c r="L19" i="1" s="1"/>
  <c r="H33" i="1"/>
  <c r="L33" i="1" s="1"/>
  <c r="H29" i="1"/>
  <c r="L29" i="1" s="1"/>
  <c r="H25" i="1"/>
  <c r="L25" i="1" s="1"/>
  <c r="H21" i="1"/>
  <c r="L21" i="1" s="1"/>
  <c r="H17" i="1"/>
  <c r="L17" i="1" s="1"/>
  <c r="H28" i="1"/>
  <c r="L28" i="1" s="1"/>
  <c r="H24" i="1"/>
  <c r="L24" i="1" s="1"/>
  <c r="H20" i="1"/>
  <c r="L20" i="1" s="1"/>
  <c r="H16" i="1"/>
  <c r="L16" i="1" s="1"/>
  <c r="AZ17" i="1" l="1"/>
  <c r="AY17" i="1"/>
  <c r="AV17" i="1"/>
  <c r="AU17" i="1"/>
  <c r="AY24" i="1"/>
  <c r="BD24" i="1"/>
  <c r="BG24" i="1"/>
  <c r="BB24" i="1"/>
  <c r="AR24" i="1"/>
  <c r="AQ24" i="1"/>
  <c r="AT24" i="1"/>
  <c r="BC24" i="1"/>
  <c r="AS24" i="1"/>
  <c r="AZ24" i="1"/>
  <c r="BF24" i="1"/>
  <c r="BF17" i="1"/>
  <c r="AW17" i="1"/>
  <c r="AT17" i="1"/>
  <c r="BC17" i="1"/>
  <c r="AQ17" i="1"/>
  <c r="BG17" i="1"/>
  <c r="BD17" i="1"/>
  <c r="AX17" i="1"/>
  <c r="BB17" i="1"/>
  <c r="BE17" i="1"/>
  <c r="M32" i="1"/>
  <c r="N32" i="1" s="1"/>
  <c r="O32" i="1" s="1"/>
  <c r="P32" i="1" s="1"/>
  <c r="Q32" i="1" s="1"/>
  <c r="BW35" i="1"/>
  <c r="BL34" i="1"/>
  <c r="BI34" i="1"/>
  <c r="BR34" i="1"/>
  <c r="BM34" i="1"/>
  <c r="L42" i="1"/>
  <c r="BI37" i="1"/>
  <c r="BK37" i="1"/>
  <c r="BO37" i="1"/>
  <c r="BR37" i="1"/>
  <c r="BU37" i="1"/>
  <c r="BC37" i="1"/>
  <c r="BY37" i="1"/>
  <c r="AW37" i="1"/>
  <c r="AR37" i="1"/>
  <c r="BO35" i="1"/>
  <c r="AY35" i="1"/>
  <c r="BC35" i="1"/>
  <c r="BD35" i="1"/>
  <c r="BE35" i="1"/>
  <c r="AT35" i="1"/>
  <c r="BG35" i="1"/>
  <c r="AZ35" i="1"/>
  <c r="AP35" i="1"/>
  <c r="AR35" i="1"/>
  <c r="AS35" i="1"/>
  <c r="AU35" i="1"/>
  <c r="BB35" i="1"/>
  <c r="AX35" i="1"/>
  <c r="AQ35" i="1"/>
  <c r="BF35" i="1"/>
  <c r="BF31" i="1"/>
  <c r="AX24" i="1"/>
  <c r="AV24" i="1"/>
  <c r="AV16" i="1"/>
  <c r="AU16" i="1"/>
  <c r="AP16" i="1"/>
  <c r="BG16" i="1"/>
  <c r="BD38" i="1"/>
  <c r="AV40" i="1"/>
  <c r="AS39" i="1"/>
  <c r="AV38" i="1"/>
  <c r="BE37" i="1"/>
  <c r="AZ37" i="1"/>
  <c r="AU37" i="1"/>
  <c r="BA34" i="1"/>
  <c r="BV27" i="1"/>
  <c r="BO27" i="1"/>
  <c r="BJ27" i="1"/>
  <c r="AR22" i="1"/>
  <c r="BN17" i="1"/>
  <c r="BC40" i="1"/>
  <c r="BF40" i="1"/>
  <c r="BD37" i="1"/>
  <c r="AY37" i="1"/>
  <c r="AS37" i="1"/>
  <c r="AQ37" i="1"/>
  <c r="AU36" i="1"/>
  <c r="BX34" i="1"/>
  <c r="BN34" i="1"/>
  <c r="AY34" i="1"/>
  <c r="AQ34" i="1"/>
  <c r="BX28" i="1"/>
  <c r="BI28" i="1"/>
  <c r="BZ28" i="1" s="1"/>
  <c r="BY27" i="1"/>
  <c r="BU27" i="1"/>
  <c r="BN27" i="1"/>
  <c r="BI27" i="1"/>
  <c r="BT17" i="1"/>
  <c r="BA40" i="1"/>
  <c r="AQ40" i="1"/>
  <c r="BG40" i="1"/>
  <c r="BG37" i="1"/>
  <c r="BA37" i="1"/>
  <c r="AV37" i="1"/>
  <c r="AP37" i="1"/>
  <c r="BS30" i="1"/>
  <c r="BQ28" i="1"/>
  <c r="BW27" i="1"/>
  <c r="BR27" i="1"/>
  <c r="AU22" i="1"/>
  <c r="CZ15" i="1"/>
  <c r="CW21" i="1"/>
  <c r="DH25" i="1"/>
  <c r="CV23" i="1"/>
  <c r="CW20" i="1"/>
  <c r="CU16" i="1"/>
  <c r="CZ27" i="1"/>
  <c r="DC19" i="1"/>
  <c r="CV16" i="1"/>
  <c r="CZ19" i="1"/>
  <c r="DC18" i="1"/>
  <c r="DJ18" i="1"/>
  <c r="CZ17" i="1"/>
  <c r="CW15" i="1"/>
  <c r="CV17" i="1"/>
  <c r="DH23" i="1"/>
  <c r="DH38" i="1"/>
  <c r="DE38" i="1"/>
  <c r="CZ31" i="1"/>
  <c r="DB35" i="1"/>
  <c r="DH37" i="1"/>
  <c r="CZ26" i="1"/>
  <c r="CU36" i="1"/>
  <c r="DF38" i="1"/>
  <c r="DI38" i="1"/>
  <c r="CT15" i="1"/>
  <c r="CT27" i="1"/>
  <c r="DH24" i="1"/>
  <c r="DG26" i="1"/>
  <c r="CX32" i="1"/>
  <c r="CU35" i="1"/>
  <c r="CZ34" i="1"/>
  <c r="CU32" i="1"/>
  <c r="DE25" i="1"/>
  <c r="DA38" i="1"/>
  <c r="DH32" i="1"/>
  <c r="DA19" i="1"/>
  <c r="DB17" i="1"/>
  <c r="DG17" i="1"/>
  <c r="CV15" i="1"/>
  <c r="CY15" i="1"/>
  <c r="DA17" i="1"/>
  <c r="CZ16" i="1"/>
  <c r="DH15" i="1"/>
  <c r="DG16" i="1"/>
  <c r="DF15" i="1"/>
  <c r="CX21" i="1"/>
  <c r="CW17" i="1"/>
  <c r="DH16" i="1"/>
  <c r="DJ28" i="1"/>
  <c r="DJ19" i="1"/>
  <c r="DA18" i="1"/>
  <c r="CX37" i="1"/>
  <c r="CU37" i="1"/>
  <c r="DD35" i="1"/>
  <c r="DI37" i="1"/>
  <c r="DK40" i="1"/>
  <c r="DG34" i="1"/>
  <c r="CV37" i="1"/>
  <c r="DK38" i="1"/>
  <c r="DJ31" i="1"/>
  <c r="DK26" i="1"/>
  <c r="CW19" i="1"/>
  <c r="CX28" i="1"/>
  <c r="DI20" i="1"/>
  <c r="DH27" i="1"/>
  <c r="DK29" i="1"/>
  <c r="DK25" i="1"/>
  <c r="CZ20" i="1"/>
  <c r="CY16" i="1"/>
  <c r="CT22" i="1"/>
  <c r="DB15" i="1"/>
  <c r="CZ29" i="1"/>
  <c r="CV20" i="1"/>
  <c r="DD15" i="1"/>
  <c r="DF28" i="1"/>
  <c r="CV18" i="1"/>
  <c r="DE18" i="1"/>
  <c r="CU15" i="1"/>
  <c r="DF32" i="1"/>
  <c r="CU34" i="1"/>
  <c r="DF31" i="1"/>
  <c r="CV40" i="1"/>
  <c r="CZ38" i="1"/>
  <c r="DG39" i="1"/>
  <c r="DF39" i="1"/>
  <c r="DI39" i="1"/>
  <c r="CZ33" i="1"/>
  <c r="DH34" i="1"/>
  <c r="CV36" i="1"/>
  <c r="DB40" i="1"/>
  <c r="CV29" i="1"/>
  <c r="CT36" i="1"/>
  <c r="CY40" i="1"/>
  <c r="DI36" i="1"/>
  <c r="CX33" i="1"/>
  <c r="CT26" i="1"/>
  <c r="DA28" i="1"/>
  <c r="DH31" i="1"/>
  <c r="DJ23" i="1"/>
  <c r="CY28" i="1"/>
  <c r="CU19" i="1"/>
  <c r="DH22" i="1"/>
  <c r="DG22" i="1"/>
  <c r="DF36" i="1"/>
  <c r="CU29" i="1"/>
  <c r="DG21" i="1"/>
  <c r="DC31" i="1"/>
  <c r="DB23" i="1"/>
  <c r="DJ29" i="1"/>
  <c r="DC36" i="1"/>
  <c r="DC22" i="1"/>
  <c r="DC37" i="1"/>
  <c r="DC39" i="1"/>
  <c r="DC24" i="1"/>
  <c r="DC21" i="1"/>
  <c r="DC26" i="1"/>
  <c r="DC40" i="1"/>
  <c r="DC32" i="1"/>
  <c r="CY31" i="1"/>
  <c r="CY19" i="1"/>
  <c r="CY35" i="1"/>
  <c r="CY32" i="1"/>
  <c r="CY39" i="1"/>
  <c r="CY36" i="1"/>
  <c r="CY38" i="1"/>
  <c r="DA26" i="1"/>
  <c r="DA24" i="1"/>
  <c r="DA25" i="1"/>
  <c r="DA29" i="1"/>
  <c r="DA36" i="1"/>
  <c r="DA34" i="1"/>
  <c r="DA37" i="1"/>
  <c r="DA40" i="1"/>
  <c r="DB22" i="1"/>
  <c r="CX27" i="1"/>
  <c r="CU22" i="1"/>
  <c r="DE29" i="1"/>
  <c r="CZ36" i="1"/>
  <c r="DK32" i="1"/>
  <c r="DJ17" i="1"/>
  <c r="CZ24" i="1"/>
  <c r="DH30" i="1"/>
  <c r="CT35" i="1"/>
  <c r="CT29" i="1"/>
  <c r="CW32" i="1"/>
  <c r="DK35" i="1"/>
  <c r="DF22" i="1"/>
  <c r="DE26" i="1"/>
  <c r="CT30" i="1"/>
  <c r="DH33" i="1"/>
  <c r="CZ37" i="1"/>
  <c r="CT16" i="1"/>
  <c r="DE23" i="1"/>
  <c r="DI27" i="1"/>
  <c r="DF23" i="1"/>
  <c r="DJ27" i="1"/>
  <c r="DK21" i="1"/>
  <c r="CX25" i="1"/>
  <c r="CX29" i="1"/>
  <c r="DJ16" i="1"/>
  <c r="DI24" i="1"/>
  <c r="CZ28" i="1"/>
  <c r="DB32" i="1"/>
  <c r="CW27" i="1"/>
  <c r="CT31" i="1"/>
  <c r="DG32" i="1"/>
  <c r="CX39" i="1"/>
  <c r="CT39" i="1"/>
  <c r="DB37" i="1"/>
  <c r="CV38" i="1"/>
  <c r="CW28" i="1"/>
  <c r="DH40" i="1"/>
  <c r="CU33" i="1"/>
  <c r="DD37" i="1"/>
  <c r="CV33" i="1"/>
  <c r="DE37" i="1"/>
  <c r="DH29" i="1"/>
  <c r="CT40" i="1"/>
  <c r="DJ34" i="1"/>
  <c r="CW38" i="1"/>
  <c r="DK30" i="1"/>
  <c r="DJ36" i="1"/>
  <c r="DB36" i="1"/>
  <c r="DF40" i="1"/>
  <c r="DI33" i="1"/>
  <c r="DH39" i="1"/>
  <c r="DJ33" i="1"/>
  <c r="DE31" i="1"/>
  <c r="DH36" i="1"/>
  <c r="CW39" i="1"/>
  <c r="DJ35" i="1"/>
  <c r="DK36" i="1"/>
  <c r="CX34" i="1"/>
  <c r="DG15" i="1"/>
  <c r="CU20" i="1"/>
  <c r="CT19" i="1"/>
  <c r="DF20" i="1"/>
  <c r="DB19" i="1"/>
  <c r="DB24" i="1"/>
  <c r="DD20" i="1"/>
  <c r="CZ21" i="1"/>
  <c r="DD19" i="1"/>
  <c r="CX17" i="1"/>
  <c r="DE15" i="1"/>
  <c r="DJ15" i="1"/>
  <c r="CT18" i="1"/>
  <c r="DK15" i="1"/>
  <c r="DI34" i="1"/>
  <c r="CV21" i="1"/>
  <c r="DG28" i="1"/>
  <c r="CX23" i="1"/>
  <c r="CW24" i="1"/>
  <c r="DG30" i="1"/>
  <c r="DI35" i="1"/>
  <c r="DF33" i="1"/>
  <c r="DE22" i="1"/>
  <c r="DG27" i="1"/>
  <c r="DI30" i="1"/>
  <c r="DH20" i="1"/>
  <c r="DD24" i="1"/>
  <c r="CV28" i="1"/>
  <c r="DD31" i="1"/>
  <c r="CV35" i="1"/>
  <c r="DJ38" i="1"/>
  <c r="DI21" i="1"/>
  <c r="CU25" i="1"/>
  <c r="DJ21" i="1"/>
  <c r="CW25" i="1"/>
  <c r="DE16" i="1"/>
  <c r="DG23" i="1"/>
  <c r="DK27" i="1"/>
  <c r="DG31" i="1"/>
  <c r="DK22" i="1"/>
  <c r="DJ26" i="1"/>
  <c r="CX30" i="1"/>
  <c r="DK23" i="1"/>
  <c r="CU27" i="1"/>
  <c r="DI31" i="1"/>
  <c r="DB25" i="1"/>
  <c r="DB29" i="1"/>
  <c r="DD32" i="1"/>
  <c r="DJ32" i="1"/>
  <c r="DJ40" i="1"/>
  <c r="DE34" i="1"/>
  <c r="CZ40" i="1"/>
  <c r="DI28" i="1"/>
  <c r="CW35" i="1"/>
  <c r="CW29" i="1"/>
  <c r="CX35" i="1"/>
  <c r="DB39" i="1"/>
  <c r="CW33" i="1"/>
  <c r="DF37" i="1"/>
  <c r="DF30" i="1"/>
  <c r="DD40" i="1"/>
  <c r="DK34" i="1"/>
  <c r="CX38" i="1"/>
  <c r="DD33" i="1"/>
  <c r="CU40" i="1"/>
  <c r="DD36" i="1"/>
  <c r="DI25" i="1"/>
  <c r="DG36" i="1"/>
  <c r="DK33" i="1"/>
  <c r="CW40" i="1"/>
  <c r="DH35" i="1"/>
  <c r="CZ32" i="1"/>
  <c r="DG38" i="1"/>
  <c r="DF26" i="1"/>
  <c r="CX20" i="1"/>
  <c r="CX18" i="1"/>
  <c r="DF16" i="1"/>
  <c r="DF18" i="1"/>
  <c r="CT17" i="1"/>
  <c r="CU17" i="1"/>
  <c r="DH21" i="1"/>
  <c r="DG19" i="1"/>
  <c r="DA16" i="1"/>
  <c r="DE19" i="1"/>
  <c r="DD21" i="1"/>
  <c r="DD17" i="1"/>
  <c r="CY37" i="1"/>
  <c r="CW37" i="1"/>
  <c r="CT34" i="1"/>
  <c r="CT32" i="1"/>
  <c r="DB38" i="1"/>
  <c r="DC38" i="1"/>
  <c r="CV31" i="1"/>
  <c r="DA33" i="1"/>
  <c r="CZ35" i="1"/>
  <c r="CX36" i="1"/>
  <c r="CU38" i="1"/>
  <c r="DJ39" i="1"/>
  <c r="DF34" i="1"/>
  <c r="CZ39" i="1"/>
  <c r="DG40" i="1"/>
  <c r="CV39" i="1"/>
  <c r="DC34" i="1"/>
  <c r="DB28" i="1"/>
  <c r="CY30" i="1"/>
  <c r="CX19" i="1"/>
  <c r="CY25" i="1"/>
  <c r="CW30" i="1"/>
  <c r="DI22" i="1"/>
  <c r="DG24" i="1"/>
  <c r="DE24" i="1"/>
  <c r="CT38" i="1"/>
  <c r="DJ30" i="1"/>
  <c r="DC23" i="1"/>
  <c r="DG33" i="1"/>
  <c r="DD26" i="1"/>
  <c r="DB31" i="1"/>
  <c r="DE20" i="1"/>
  <c r="DI29" i="1"/>
  <c r="DH19" i="1"/>
  <c r="CY27" i="1"/>
  <c r="DF24" i="1"/>
  <c r="CU18" i="1"/>
  <c r="DH28" i="1"/>
  <c r="L7" i="1"/>
  <c r="P19" i="1"/>
  <c r="Q19" i="1" s="1"/>
  <c r="P38" i="1"/>
  <c r="Q38" i="1" s="1"/>
  <c r="P23" i="1"/>
  <c r="Q23" i="1" s="1"/>
  <c r="BC32" i="1"/>
  <c r="AS32" i="1"/>
  <c r="BA32" i="1"/>
  <c r="BG32" i="1"/>
  <c r="AX32" i="1"/>
  <c r="AV32" i="1"/>
  <c r="BB32" i="1"/>
  <c r="AR32" i="1"/>
  <c r="AT32" i="1"/>
  <c r="AY32" i="1"/>
  <c r="AP32" i="1"/>
  <c r="AU32" i="1"/>
  <c r="BE32" i="1"/>
  <c r="AZ32" i="1"/>
  <c r="AW32" i="1"/>
  <c r="BF32" i="1"/>
  <c r="AQ32" i="1"/>
  <c r="AQ31" i="1"/>
  <c r="AP31" i="1"/>
  <c r="AZ31" i="1"/>
  <c r="AV31" i="1"/>
  <c r="AS31" i="1"/>
  <c r="AX31" i="1"/>
  <c r="AU31" i="1"/>
  <c r="BB31" i="1"/>
  <c r="BC31" i="1"/>
  <c r="AR31" i="1"/>
  <c r="AT31" i="1"/>
  <c r="AW31" i="1"/>
  <c r="BE31" i="1"/>
  <c r="AP20" i="1"/>
  <c r="BG20" i="1"/>
  <c r="AY20" i="1"/>
  <c r="AU20" i="1"/>
  <c r="AS20" i="1"/>
  <c r="BB20" i="1"/>
  <c r="AR20" i="1"/>
  <c r="BD20" i="1"/>
  <c r="AW20" i="1"/>
  <c r="BE20" i="1"/>
  <c r="AT20" i="1"/>
  <c r="BA20" i="1"/>
  <c r="AZ20" i="1"/>
  <c r="AQ20" i="1"/>
  <c r="BF20" i="1"/>
  <c r="AV20" i="1"/>
  <c r="AX20" i="1"/>
  <c r="T40" i="1"/>
  <c r="R40" i="1" s="1"/>
  <c r="S40" i="1" s="1"/>
  <c r="T35" i="1"/>
  <c r="R35" i="1" s="1"/>
  <c r="S35" i="1" s="1"/>
  <c r="T34" i="1"/>
  <c r="R34" i="1" s="1"/>
  <c r="S34" i="1" s="1"/>
  <c r="T23" i="1"/>
  <c r="R23" i="1" s="1"/>
  <c r="S23" i="1" s="1"/>
  <c r="T28" i="1"/>
  <c r="R28" i="1" s="1"/>
  <c r="S28" i="1" s="1"/>
  <c r="T33" i="1"/>
  <c r="R33" i="1" s="1"/>
  <c r="S33" i="1" s="1"/>
  <c r="T30" i="1"/>
  <c r="R30" i="1" s="1"/>
  <c r="S30" i="1" s="1"/>
  <c r="T21" i="1"/>
  <c r="R21" i="1" s="1"/>
  <c r="S21" i="1" s="1"/>
  <c r="T20" i="1"/>
  <c r="R20" i="1" s="1"/>
  <c r="S20" i="1" s="1"/>
  <c r="T25" i="1"/>
  <c r="R25" i="1" s="1"/>
  <c r="S25" i="1" s="1"/>
  <c r="T19" i="1"/>
  <c r="R19" i="1" s="1"/>
  <c r="S19" i="1" s="1"/>
  <c r="T18" i="1"/>
  <c r="R18" i="1" s="1"/>
  <c r="S18" i="1" s="1"/>
  <c r="T17" i="1"/>
  <c r="R17" i="1" s="1"/>
  <c r="S17" i="1" s="1"/>
  <c r="T27" i="1"/>
  <c r="R27" i="1" s="1"/>
  <c r="S27" i="1" s="1"/>
  <c r="T16" i="1"/>
  <c r="R16" i="1" s="1"/>
  <c r="S16" i="1" s="1"/>
  <c r="T32" i="1"/>
  <c r="R32" i="1" s="1"/>
  <c r="S32" i="1" s="1"/>
  <c r="CG12" i="1"/>
  <c r="T37" i="1"/>
  <c r="R37" i="1" s="1"/>
  <c r="S37" i="1" s="1"/>
  <c r="T31" i="1"/>
  <c r="R31" i="1" s="1"/>
  <c r="S31" i="1" s="1"/>
  <c r="T38" i="1"/>
  <c r="R38" i="1" s="1"/>
  <c r="S38" i="1" s="1"/>
  <c r="T39" i="1"/>
  <c r="R39" i="1" s="1"/>
  <c r="S39" i="1" s="1"/>
  <c r="T26" i="1"/>
  <c r="R26" i="1" s="1"/>
  <c r="S26" i="1" s="1"/>
  <c r="T24" i="1"/>
  <c r="R24" i="1" s="1"/>
  <c r="S24" i="1" s="1"/>
  <c r="T29" i="1"/>
  <c r="R29" i="1" s="1"/>
  <c r="S29" i="1" s="1"/>
  <c r="T15" i="1"/>
  <c r="R15" i="1" s="1"/>
  <c r="S15" i="1" s="1"/>
  <c r="BA31" i="1"/>
  <c r="BC20" i="1"/>
  <c r="BL39" i="1"/>
  <c r="BT39" i="1"/>
  <c r="BR39" i="1"/>
  <c r="BV39" i="1"/>
  <c r="BN39" i="1"/>
  <c r="BP39" i="1"/>
  <c r="T36" i="1"/>
  <c r="R36" i="1" s="1"/>
  <c r="S36" i="1" s="1"/>
  <c r="AY31" i="1"/>
  <c r="BH15" i="1"/>
  <c r="T22" i="1"/>
  <c r="R22" i="1" s="1"/>
  <c r="S22" i="1" s="1"/>
  <c r="BD31" i="1"/>
  <c r="BZ33" i="1"/>
  <c r="BA33" i="1"/>
  <c r="AW33" i="1"/>
  <c r="BD33" i="1"/>
  <c r="BF33" i="1"/>
  <c r="AT33" i="1"/>
  <c r="BB33" i="1"/>
  <c r="AQ33" i="1"/>
  <c r="AU33" i="1"/>
  <c r="AR33" i="1"/>
  <c r="BC33" i="1"/>
  <c r="BG33" i="1"/>
  <c r="AV33" i="1"/>
  <c r="AR17" i="1"/>
  <c r="BA17" i="1"/>
  <c r="AZ33" i="1"/>
  <c r="BC26" i="1"/>
  <c r="BA26" i="1"/>
  <c r="BF26" i="1"/>
  <c r="BD26" i="1"/>
  <c r="AT26" i="1"/>
  <c r="AV26" i="1"/>
  <c r="AX26" i="1"/>
  <c r="AZ19" i="1"/>
  <c r="AQ19" i="1"/>
  <c r="AY19" i="1"/>
  <c r="AS33" i="1"/>
  <c r="AY38" i="1"/>
  <c r="AW38" i="1"/>
  <c r="BA38" i="1"/>
  <c r="BK36" i="1"/>
  <c r="BP36" i="1"/>
  <c r="BY36" i="1"/>
  <c r="BX36" i="1"/>
  <c r="BL36" i="1"/>
  <c r="BQ36" i="1"/>
  <c r="BJ36" i="1"/>
  <c r="BV36" i="1"/>
  <c r="BS36" i="1"/>
  <c r="BM36" i="1"/>
  <c r="BT36" i="1"/>
  <c r="BU36" i="1"/>
  <c r="AX33" i="1"/>
  <c r="AS29" i="1"/>
  <c r="AQ29" i="1"/>
  <c r="BA29" i="1"/>
  <c r="AU29" i="1"/>
  <c r="AT29" i="1"/>
  <c r="BB29" i="1"/>
  <c r="AV29" i="1"/>
  <c r="BC29" i="1"/>
  <c r="BE28" i="1"/>
  <c r="AQ28" i="1"/>
  <c r="AV28" i="1"/>
  <c r="BK15" i="1"/>
  <c r="BR15" i="1"/>
  <c r="BL15" i="1"/>
  <c r="BY15" i="1"/>
  <c r="BM15" i="1"/>
  <c r="BX15" i="1"/>
  <c r="BS15" i="1"/>
  <c r="DF25" i="1"/>
  <c r="DF29" i="1"/>
  <c r="DF27" i="1"/>
  <c r="DF35" i="1"/>
  <c r="DA21" i="1"/>
  <c r="DA31" i="1"/>
  <c r="DA23" i="1"/>
  <c r="DA27" i="1"/>
  <c r="DA22" i="1"/>
  <c r="DA30" i="1"/>
  <c r="CW18" i="1"/>
  <c r="DB26" i="1"/>
  <c r="DI16" i="1"/>
  <c r="CT21" i="1"/>
  <c r="DC28" i="1"/>
  <c r="DK31" i="1"/>
  <c r="DC35" i="1"/>
  <c r="CU39" i="1"/>
  <c r="CT23" i="1"/>
  <c r="DD28" i="1"/>
  <c r="CV22" i="1"/>
  <c r="CW26" i="1"/>
  <c r="DC30" i="1"/>
  <c r="DB33" i="1"/>
  <c r="CT37" i="1"/>
  <c r="CY20" i="1"/>
  <c r="CV24" i="1"/>
  <c r="DI32" i="1"/>
  <c r="DI17" i="1"/>
  <c r="CZ23" i="1"/>
  <c r="DE27" i="1"/>
  <c r="CY34" i="1"/>
  <c r="DI18" i="1"/>
  <c r="CV32" i="1"/>
  <c r="DG20" i="1"/>
  <c r="CX15" i="1"/>
  <c r="DB16" i="1"/>
  <c r="DI19" i="1"/>
  <c r="DC25" i="1"/>
  <c r="DC29" i="1"/>
  <c r="DE32" i="1"/>
  <c r="CW36" i="1"/>
  <c r="DK39" i="1"/>
  <c r="DD25" i="1"/>
  <c r="DD29" i="1"/>
  <c r="CU23" i="1"/>
  <c r="CW22" i="1"/>
  <c r="CX26" i="1"/>
  <c r="DD30" i="1"/>
  <c r="CV34" i="1"/>
  <c r="DJ37" i="1"/>
  <c r="CY21" i="1"/>
  <c r="DG25" i="1"/>
  <c r="DG29" i="1"/>
  <c r="DC33" i="1"/>
  <c r="DB20" i="1"/>
  <c r="CY24" i="1"/>
  <c r="DK28" i="1"/>
  <c r="CZ18" i="1"/>
  <c r="DE17" i="1"/>
  <c r="CZ25" i="1"/>
  <c r="CX22" i="1"/>
  <c r="DI15" i="1"/>
  <c r="CU26" i="1"/>
  <c r="CY33" i="1"/>
  <c r="DG37" i="1"/>
  <c r="CU21" i="1"/>
  <c r="CV26" i="1"/>
  <c r="DB30" i="1"/>
  <c r="CT24" i="1"/>
  <c r="DE28" i="1"/>
  <c r="CW23" i="1"/>
  <c r="DB27" i="1"/>
  <c r="CX31" i="1"/>
  <c r="DD38" i="1"/>
  <c r="DL38" i="1" s="1"/>
  <c r="CZ22" i="1"/>
  <c r="CY26" i="1"/>
  <c r="DE30" i="1"/>
  <c r="DK19" i="1"/>
  <c r="CY23" i="1"/>
  <c r="DB21" i="1"/>
  <c r="DJ25" i="1"/>
  <c r="P40" i="1"/>
  <c r="Q40" i="1" s="1"/>
  <c r="AS40" i="1"/>
  <c r="BI38" i="1"/>
  <c r="BX37" i="1"/>
  <c r="BU34" i="1"/>
  <c r="BQ34" i="1"/>
  <c r="BK34" i="1"/>
  <c r="AZ40" i="1"/>
  <c r="BD40" i="1"/>
  <c r="BN37" i="1"/>
  <c r="AP40" i="1"/>
  <c r="BG36" i="1"/>
  <c r="BH36" i="1" s="1"/>
  <c r="BY34" i="1"/>
  <c r="BT34" i="1"/>
  <c r="BO34" i="1"/>
  <c r="BO29" i="1"/>
  <c r="BZ29" i="1" s="1"/>
  <c r="BM18" i="1"/>
  <c r="P22" i="1"/>
  <c r="Q22" i="1" s="1"/>
  <c r="H10" i="1"/>
  <c r="P20" i="1"/>
  <c r="Q20" i="1" s="1"/>
  <c r="BH26" i="1"/>
  <c r="BZ25" i="1"/>
  <c r="BH21" i="1"/>
  <c r="BZ32" i="1"/>
  <c r="BZ30" i="1"/>
  <c r="BH38" i="1"/>
  <c r="BZ16" i="1"/>
  <c r="BU40" i="1"/>
  <c r="BY40" i="1"/>
  <c r="BR40" i="1"/>
  <c r="BL40" i="1"/>
  <c r="BA27" i="1"/>
  <c r="AR27" i="1"/>
  <c r="BB27" i="1"/>
  <c r="AZ27" i="1"/>
  <c r="AX27" i="1"/>
  <c r="BG27" i="1"/>
  <c r="BI19" i="1"/>
  <c r="BN19" i="1"/>
  <c r="BK19" i="1"/>
  <c r="BC16" i="1"/>
  <c r="AR16" i="1"/>
  <c r="BD16" i="1"/>
  <c r="AT16" i="1"/>
  <c r="AX16" i="1"/>
  <c r="AW16" i="1"/>
  <c r="BB16" i="1"/>
  <c r="BF16" i="1"/>
  <c r="AQ16" i="1"/>
  <c r="BH39" i="1"/>
  <c r="BI31" i="1"/>
  <c r="BN31" i="1"/>
  <c r="BV31" i="1"/>
  <c r="BJ31" i="1"/>
  <c r="BS31" i="1"/>
  <c r="BP31" i="1"/>
  <c r="BL31" i="1"/>
  <c r="BU31" i="1"/>
  <c r="BX31" i="1"/>
  <c r="BW31" i="1"/>
  <c r="BE30" i="1"/>
  <c r="AZ30" i="1"/>
  <c r="BA30" i="1"/>
  <c r="AS30" i="1"/>
  <c r="BG30" i="1"/>
  <c r="AX30" i="1"/>
  <c r="AW30" i="1"/>
  <c r="BB30" i="1"/>
  <c r="AY30" i="1"/>
  <c r="BF30" i="1"/>
  <c r="BD27" i="1"/>
  <c r="BK21" i="1"/>
  <c r="BP21" i="1"/>
  <c r="BQ21" i="1"/>
  <c r="BX21" i="1"/>
  <c r="BU19" i="1"/>
  <c r="P39" i="1"/>
  <c r="Q39" i="1" s="1"/>
  <c r="BK38" i="1"/>
  <c r="BQ38" i="1"/>
  <c r="BW38" i="1"/>
  <c r="BL38" i="1"/>
  <c r="BR38" i="1"/>
  <c r="BX38" i="1"/>
  <c r="BN38" i="1"/>
  <c r="BJ38" i="1"/>
  <c r="BP38" i="1"/>
  <c r="BU38" i="1"/>
  <c r="BC28" i="1"/>
  <c r="AP28" i="1"/>
  <c r="AS28" i="1"/>
  <c r="AY28" i="1"/>
  <c r="AT28" i="1"/>
  <c r="BD28" i="1"/>
  <c r="AU28" i="1"/>
  <c r="AZ28" i="1"/>
  <c r="AX28" i="1"/>
  <c r="BF28" i="1"/>
  <c r="BB28" i="1"/>
  <c r="BG28" i="1"/>
  <c r="AR28" i="1"/>
  <c r="AW28" i="1"/>
  <c r="BZ27" i="1"/>
  <c r="AS27" i="1"/>
  <c r="BI26" i="1"/>
  <c r="BU26" i="1"/>
  <c r="BK26" i="1"/>
  <c r="BW26" i="1"/>
  <c r="BL26" i="1"/>
  <c r="BT26" i="1"/>
  <c r="BY26" i="1"/>
  <c r="BQ26" i="1"/>
  <c r="BE25" i="1"/>
  <c r="AW25" i="1"/>
  <c r="AV25" i="1"/>
  <c r="AY25" i="1"/>
  <c r="BM24" i="1"/>
  <c r="BL24" i="1"/>
  <c r="BS24" i="1"/>
  <c r="BN24" i="1"/>
  <c r="BT24" i="1"/>
  <c r="BV24" i="1"/>
  <c r="BK24" i="1"/>
  <c r="BP24" i="1"/>
  <c r="BJ24" i="1"/>
  <c r="BI24" i="1"/>
  <c r="BO23" i="1"/>
  <c r="BJ23" i="1"/>
  <c r="P21" i="1"/>
  <c r="Q21" i="1" s="1"/>
  <c r="BK20" i="1"/>
  <c r="BS20" i="1"/>
  <c r="BP20" i="1"/>
  <c r="BY20" i="1"/>
  <c r="AS16" i="1"/>
  <c r="BA16" i="1"/>
  <c r="BI35" i="1"/>
  <c r="BM35" i="1"/>
  <c r="BL35" i="1"/>
  <c r="BY35" i="1"/>
  <c r="BQ35" i="1"/>
  <c r="BN35" i="1"/>
  <c r="BK35" i="1"/>
  <c r="BJ35" i="1"/>
  <c r="BP35" i="1"/>
  <c r="BX35" i="1"/>
  <c r="BT35" i="1"/>
  <c r="BS35" i="1"/>
  <c r="BR35" i="1"/>
  <c r="BL22" i="1"/>
  <c r="BP22" i="1"/>
  <c r="BN22" i="1"/>
  <c r="BX22" i="1"/>
  <c r="BS22" i="1"/>
  <c r="BI22" i="1"/>
  <c r="BH20" i="1"/>
  <c r="BB18" i="1"/>
  <c r="AS18" i="1"/>
  <c r="AW18" i="1"/>
  <c r="BI15" i="1"/>
  <c r="BO15" i="1"/>
  <c r="BU15" i="1"/>
  <c r="BJ15" i="1"/>
  <c r="BQ15" i="1"/>
  <c r="BW15" i="1"/>
  <c r="BP15" i="1"/>
  <c r="BN15" i="1"/>
  <c r="BT15" i="1"/>
  <c r="AU40" i="1"/>
  <c r="BJ39" i="1"/>
  <c r="BZ39" i="1" s="1"/>
  <c r="BF37" i="1"/>
  <c r="BB37" i="1"/>
  <c r="AX37" i="1"/>
  <c r="BB34" i="1"/>
  <c r="AU34" i="1"/>
  <c r="AW34" i="1"/>
  <c r="AY33" i="1"/>
  <c r="BH33" i="1" s="1"/>
  <c r="BD19" i="1"/>
  <c r="BY18" i="1"/>
  <c r="BP18" i="1"/>
  <c r="BR17" i="1"/>
  <c r="BK17" i="1"/>
  <c r="AX40" i="1"/>
  <c r="AR40" i="1"/>
  <c r="AU24" i="1"/>
  <c r="BH24" i="1" s="1"/>
  <c r="AU23" i="1"/>
  <c r="BH23" i="1" s="1"/>
  <c r="AY22" i="1"/>
  <c r="BH22" i="1" s="1"/>
  <c r="AU19" i="1"/>
  <c r="BW18" i="1"/>
  <c r="BI18" i="1"/>
  <c r="BV17" i="1"/>
  <c r="BH17" i="1" l="1"/>
  <c r="DL21" i="1"/>
  <c r="BZ37" i="1"/>
  <c r="BH35" i="1"/>
  <c r="AM5" i="1"/>
  <c r="AM2" i="1" s="1"/>
  <c r="AK5" i="1"/>
  <c r="AK2" i="1" s="1"/>
  <c r="AB5" i="1"/>
  <c r="AH5" i="1"/>
  <c r="AI5" i="1"/>
  <c r="DL24" i="1"/>
  <c r="DL30" i="1"/>
  <c r="DL23" i="1"/>
  <c r="DL32" i="1"/>
  <c r="BZ36" i="1"/>
  <c r="BZ21" i="1"/>
  <c r="BZ34" i="1"/>
  <c r="I26" i="1"/>
  <c r="DL36" i="1"/>
  <c r="I33" i="1"/>
  <c r="Y5" i="1"/>
  <c r="DL37" i="1"/>
  <c r="I40" i="1"/>
  <c r="AE5" i="1"/>
  <c r="AA5" i="1"/>
  <c r="AL5" i="1"/>
  <c r="AL7" i="1" s="1"/>
  <c r="I27" i="1"/>
  <c r="DL17" i="1"/>
  <c r="I20" i="1"/>
  <c r="I39" i="1"/>
  <c r="Z5" i="1"/>
  <c r="I24" i="1"/>
  <c r="I31" i="1"/>
  <c r="I35" i="1"/>
  <c r="I19" i="1"/>
  <c r="I30" i="1"/>
  <c r="I34" i="1"/>
  <c r="DL18" i="1"/>
  <c r="DL20" i="1"/>
  <c r="DL25" i="1"/>
  <c r="AF5" i="1"/>
  <c r="DL40" i="1"/>
  <c r="DL39" i="1"/>
  <c r="DL27" i="1"/>
  <c r="V5" i="1"/>
  <c r="DL29" i="1"/>
  <c r="DL22" i="1"/>
  <c r="AD5" i="1"/>
  <c r="DL28" i="1"/>
  <c r="AJ5" i="1"/>
  <c r="AI2" i="1" s="1"/>
  <c r="X5" i="1"/>
  <c r="W5" i="1"/>
  <c r="I29" i="1"/>
  <c r="I16" i="1"/>
  <c r="DL19" i="1"/>
  <c r="I17" i="1"/>
  <c r="I28" i="1"/>
  <c r="I15" i="1"/>
  <c r="DL31" i="1"/>
  <c r="DL34" i="1"/>
  <c r="I25" i="1"/>
  <c r="DL16" i="1"/>
  <c r="I38" i="1"/>
  <c r="I18" i="1"/>
  <c r="I22" i="1"/>
  <c r="I21" i="1"/>
  <c r="DL33" i="1"/>
  <c r="DL35" i="1"/>
  <c r="AC5" i="1"/>
  <c r="I36" i="1"/>
  <c r="I23" i="1"/>
  <c r="I32" i="1"/>
  <c r="I37" i="1"/>
  <c r="DL15" i="1"/>
  <c r="M34" i="1"/>
  <c r="N34" i="1" s="1"/>
  <c r="O34" i="1" s="1"/>
  <c r="P34" i="1" s="1"/>
  <c r="Q34" i="1" s="1"/>
  <c r="M37" i="1"/>
  <c r="M18" i="1"/>
  <c r="N18" i="1" s="1"/>
  <c r="O18" i="1" s="1"/>
  <c r="P18" i="1" s="1"/>
  <c r="Q18" i="1" s="1"/>
  <c r="M15" i="1"/>
  <c r="N15" i="1" s="1"/>
  <c r="O15" i="1" s="1"/>
  <c r="P15" i="1" s="1"/>
  <c r="Q15" i="1" s="1"/>
  <c r="M33" i="1"/>
  <c r="N33" i="1" s="1"/>
  <c r="O33" i="1" s="1"/>
  <c r="P33" i="1" s="1"/>
  <c r="Q33" i="1" s="1"/>
  <c r="M27" i="1"/>
  <c r="P27" i="1" s="1"/>
  <c r="Q27" i="1" s="1"/>
  <c r="M28" i="1"/>
  <c r="N28" i="1" s="1"/>
  <c r="O28" i="1" s="1"/>
  <c r="P28" i="1" s="1"/>
  <c r="Q28" i="1" s="1"/>
  <c r="M25" i="1"/>
  <c r="N25" i="1" s="1"/>
  <c r="O25" i="1" s="1"/>
  <c r="P25" i="1" s="1"/>
  <c r="Q25" i="1" s="1"/>
  <c r="M16" i="1"/>
  <c r="N16" i="1" s="1"/>
  <c r="O16" i="1" s="1"/>
  <c r="P16" i="1" s="1"/>
  <c r="Q16" i="1" s="1"/>
  <c r="M17" i="1"/>
  <c r="N17" i="1" s="1"/>
  <c r="O17" i="1" s="1"/>
  <c r="P17" i="1" s="1"/>
  <c r="Q17" i="1" s="1"/>
  <c r="M24" i="1"/>
  <c r="M36" i="1"/>
  <c r="N36" i="1" s="1"/>
  <c r="O36" i="1" s="1"/>
  <c r="P36" i="1" s="1"/>
  <c r="Q36" i="1" s="1"/>
  <c r="M29" i="1"/>
  <c r="M31" i="1"/>
  <c r="N31" i="1" s="1"/>
  <c r="O31" i="1" s="1"/>
  <c r="P31" i="1" s="1"/>
  <c r="Q31" i="1" s="1"/>
  <c r="M30" i="1"/>
  <c r="M26" i="1"/>
  <c r="N26" i="1" s="1"/>
  <c r="O26" i="1" s="1"/>
  <c r="P26" i="1" s="1"/>
  <c r="Q26" i="1" s="1"/>
  <c r="M35" i="1"/>
  <c r="N35" i="1" s="1"/>
  <c r="O35" i="1" s="1"/>
  <c r="P35" i="1" s="1"/>
  <c r="Q35" i="1" s="1"/>
  <c r="BZ17" i="1"/>
  <c r="BH27" i="1"/>
  <c r="CN17" i="1"/>
  <c r="CN28" i="1"/>
  <c r="CN26" i="1"/>
  <c r="CC15" i="1"/>
  <c r="CH21" i="1"/>
  <c r="CQ16" i="1"/>
  <c r="CM35" i="1"/>
  <c r="CB32" i="1"/>
  <c r="CF22" i="1"/>
  <c r="CF32" i="1"/>
  <c r="CM26" i="1"/>
  <c r="CJ20" i="1"/>
  <c r="CB23" i="1"/>
  <c r="CJ17" i="1"/>
  <c r="CG36" i="1"/>
  <c r="CR32" i="1"/>
  <c r="CO17" i="1"/>
  <c r="CG17" i="1"/>
  <c r="CK15" i="1"/>
  <c r="CG15" i="1"/>
  <c r="CR16" i="1"/>
  <c r="CO32" i="1"/>
  <c r="CO29" i="1"/>
  <c r="CM27" i="1"/>
  <c r="CC19" i="1"/>
  <c r="CI33" i="1"/>
  <c r="CG34" i="1"/>
  <c r="CG23" i="1"/>
  <c r="CE35" i="1"/>
  <c r="CL21" i="1"/>
  <c r="CB27" i="1"/>
  <c r="CJ30" i="1"/>
  <c r="CF25" i="1"/>
  <c r="CC22" i="1"/>
  <c r="CA28" i="1"/>
  <c r="CN31" i="1"/>
  <c r="CG29" i="1"/>
  <c r="CQ20" i="1"/>
  <c r="CR38" i="1"/>
  <c r="CD32" i="1"/>
  <c r="CG35" i="1"/>
  <c r="CM38" i="1"/>
  <c r="CE19" i="1"/>
  <c r="CQ18" i="1"/>
  <c r="CB26" i="1"/>
  <c r="CE22" i="1"/>
  <c r="CC20" i="1"/>
  <c r="CG20" i="1"/>
  <c r="CN24" i="1"/>
  <c r="CN32" i="1"/>
  <c r="CK37" i="1"/>
  <c r="CP31" i="1"/>
  <c r="CH35" i="1"/>
  <c r="CP26" i="1"/>
  <c r="CM20" i="1"/>
  <c r="CM22" i="1"/>
  <c r="CB34" i="1"/>
  <c r="CH38" i="1"/>
  <c r="CK19" i="1"/>
  <c r="CD23" i="1"/>
  <c r="CJ22" i="1"/>
  <c r="CK21" i="1"/>
  <c r="CE25" i="1"/>
  <c r="CH33" i="1"/>
  <c r="CI39" i="1"/>
  <c r="CI32" i="1"/>
  <c r="CN23" i="1"/>
  <c r="CN19" i="1"/>
  <c r="CR23" i="1"/>
  <c r="CP16" i="1"/>
  <c r="CB21" i="1"/>
  <c r="CC26" i="1"/>
  <c r="CG19" i="1"/>
  <c r="CR29" i="1"/>
  <c r="CG21" i="1"/>
  <c r="CR33" i="1"/>
  <c r="CG28" i="1"/>
  <c r="CF27" i="1"/>
  <c r="CP18" i="1"/>
  <c r="CG27" i="1"/>
  <c r="CC21" i="1"/>
  <c r="CG18" i="1"/>
  <c r="CR20" i="1"/>
  <c r="CE17" i="1"/>
  <c r="CC23" i="1"/>
  <c r="CJ25" i="1"/>
  <c r="CE39" i="1"/>
  <c r="CJ36" i="1"/>
  <c r="CI34" i="1"/>
  <c r="CB16" i="1"/>
  <c r="CA21" i="1"/>
  <c r="CA20" i="1"/>
  <c r="CR30" i="1"/>
  <c r="CI23" i="1"/>
  <c r="CF29" i="1"/>
  <c r="CC17" i="1"/>
  <c r="CG37" i="1"/>
  <c r="CQ23" i="1"/>
  <c r="CH19" i="1"/>
  <c r="CF18" i="1"/>
  <c r="CP19" i="1"/>
  <c r="CM23" i="1"/>
  <c r="CD31" i="1"/>
  <c r="CD34" i="1"/>
  <c r="CC39" i="1"/>
  <c r="CQ34" i="1"/>
  <c r="CB17" i="1"/>
  <c r="CD30" i="1"/>
  <c r="CE38" i="1"/>
  <c r="CM29" i="1"/>
  <c r="CI26" i="1"/>
  <c r="CG32" i="1"/>
  <c r="CR19" i="1"/>
  <c r="CL32" i="1"/>
  <c r="CG40" i="1"/>
  <c r="CA36" i="1"/>
  <c r="CB40" i="1"/>
  <c r="CI35" i="1"/>
  <c r="CD17" i="1"/>
  <c r="CL18" i="1"/>
  <c r="CO22" i="1"/>
  <c r="CQ29" i="1"/>
  <c r="CQ36" i="1"/>
  <c r="CL29" i="1"/>
  <c r="CA29" i="1"/>
  <c r="CA33" i="1"/>
  <c r="CI20" i="1"/>
  <c r="CJ15" i="1"/>
  <c r="CI40" i="1"/>
  <c r="CL37" i="1"/>
  <c r="CE40" i="1"/>
  <c r="CI36" i="1"/>
  <c r="CH24" i="1"/>
  <c r="CD28" i="1"/>
  <c r="CN37" i="1"/>
  <c r="CF17" i="1"/>
  <c r="CL15" i="1"/>
  <c r="CO28" i="1"/>
  <c r="CB30" i="1"/>
  <c r="CC16" i="1"/>
  <c r="CM24" i="1"/>
  <c r="CI17" i="1"/>
  <c r="CK30" i="1"/>
  <c r="CK16" i="1"/>
  <c r="CB19" i="1"/>
  <c r="CO21" i="1"/>
  <c r="CD37" i="1"/>
  <c r="CM19" i="1"/>
  <c r="CQ26" i="1"/>
  <c r="CE30" i="1"/>
  <c r="CP25" i="1"/>
  <c r="CM18" i="1"/>
  <c r="CF39" i="1"/>
  <c r="CM39" i="1"/>
  <c r="CB15" i="1"/>
  <c r="CE20" i="1"/>
  <c r="CL19" i="1"/>
  <c r="CN18" i="1"/>
  <c r="CG39" i="1"/>
  <c r="CO39" i="1"/>
  <c r="CD20" i="1"/>
  <c r="CR26" i="1"/>
  <c r="CK20" i="1"/>
  <c r="CB20" i="1"/>
  <c r="CM21" i="1"/>
  <c r="CA40" i="1"/>
  <c r="CP40" i="1"/>
  <c r="CN35" i="1"/>
  <c r="CF15" i="1"/>
  <c r="CG38" i="1"/>
  <c r="CP37" i="1"/>
  <c r="CA22" i="1"/>
  <c r="CQ30" i="1"/>
  <c r="CQ33" i="1"/>
  <c r="CH25" i="1"/>
  <c r="CL36" i="1"/>
  <c r="CC34" i="1"/>
  <c r="CB18" i="1"/>
  <c r="CN25" i="1"/>
  <c r="CP28" i="1"/>
  <c r="CE27" i="1"/>
  <c r="CD21" i="1"/>
  <c r="CO16" i="1"/>
  <c r="CL17" i="1"/>
  <c r="CK28" i="1"/>
  <c r="CD22" i="1"/>
  <c r="CQ37" i="1"/>
  <c r="CP17" i="1"/>
  <c r="CM30" i="1"/>
  <c r="CO15" i="1"/>
  <c r="CG26" i="1"/>
  <c r="CB28" i="1"/>
  <c r="CO18" i="1"/>
  <c r="CQ19" i="1"/>
  <c r="CC18" i="1"/>
  <c r="CF28" i="1"/>
  <c r="CQ38" i="1"/>
  <c r="CF38" i="1"/>
  <c r="CG16" i="1"/>
  <c r="CJ29" i="1"/>
  <c r="CB29" i="1"/>
  <c r="CG30" i="1"/>
  <c r="CH39" i="1"/>
  <c r="CF36" i="1"/>
  <c r="CM15" i="1"/>
  <c r="CR18" i="1"/>
  <c r="CE37" i="1"/>
  <c r="CA30" i="1"/>
  <c r="CA31" i="1"/>
  <c r="CJ40" i="1"/>
  <c r="CR37" i="1"/>
  <c r="CM16" i="1"/>
  <c r="CA15" i="1"/>
  <c r="CI38" i="1"/>
  <c r="CQ15" i="1"/>
  <c r="CH31" i="1"/>
  <c r="CF21" i="1"/>
  <c r="CF35" i="1"/>
  <c r="CJ39" i="1"/>
  <c r="CJ16" i="1"/>
  <c r="CH27" i="1"/>
  <c r="CK31" i="1"/>
  <c r="CK34" i="1"/>
  <c r="CJ24" i="1"/>
  <c r="CO20" i="1"/>
  <c r="CQ28" i="1"/>
  <c r="CO40" i="1"/>
  <c r="CO34" i="1"/>
  <c r="CR39" i="1"/>
  <c r="CE16" i="1"/>
  <c r="CM17" i="1"/>
  <c r="CN16" i="1"/>
  <c r="CK29" i="1"/>
  <c r="CL24" i="1"/>
  <c r="CF34" i="1"/>
  <c r="CE24" i="1"/>
  <c r="CC28" i="1"/>
  <c r="CK24" i="1"/>
  <c r="CC31" i="1"/>
  <c r="CA34" i="1"/>
  <c r="CK39" i="1"/>
  <c r="CP32" i="1"/>
  <c r="CL35" i="1"/>
  <c r="CA17" i="1"/>
  <c r="CN21" i="1"/>
  <c r="CE28" i="1"/>
  <c r="CG31" i="1"/>
  <c r="CN29" i="1"/>
  <c r="CO33" i="1"/>
  <c r="CH18" i="1"/>
  <c r="CO26" i="1"/>
  <c r="CQ22" i="1"/>
  <c r="CQ35" i="1"/>
  <c r="CA39" i="1"/>
  <c r="CE36" i="1"/>
  <c r="CL27" i="1"/>
  <c r="CB25" i="1"/>
  <c r="CF16" i="1"/>
  <c r="CC29" i="1"/>
  <c r="CA19" i="1"/>
  <c r="CL25" i="1"/>
  <c r="CD16" i="1"/>
  <c r="CK18" i="1"/>
  <c r="CD19" i="1"/>
  <c r="CE26" i="1"/>
  <c r="CJ21" i="1"/>
  <c r="CP20" i="1"/>
  <c r="CI22" i="1"/>
  <c r="CM33" i="1"/>
  <c r="CE15" i="1"/>
  <c r="CR28" i="1"/>
  <c r="CH32" i="1"/>
  <c r="CC27" i="1"/>
  <c r="CL28" i="1"/>
  <c r="CM31" i="1"/>
  <c r="CR31" i="1"/>
  <c r="CE34" i="1"/>
  <c r="CR34" i="1"/>
  <c r="CM37" i="1"/>
  <c r="CI27" i="1"/>
  <c r="CI21" i="1"/>
  <c r="CG25" i="1"/>
  <c r="CH34" i="1"/>
  <c r="CG33" i="1"/>
  <c r="CL26" i="1"/>
  <c r="CK40" i="1"/>
  <c r="CL30" i="1"/>
  <c r="CK22" i="1"/>
  <c r="CI28" i="1"/>
  <c r="CB36" i="1"/>
  <c r="CH36" i="1"/>
  <c r="CI16" i="1"/>
  <c r="CI29" i="1"/>
  <c r="CA16" i="1"/>
  <c r="CF19" i="1"/>
  <c r="CK27" i="1"/>
  <c r="CL31" i="1"/>
  <c r="CN22" i="1"/>
  <c r="CA38" i="1"/>
  <c r="CD33" i="1"/>
  <c r="CL33" i="1"/>
  <c r="CG22" i="1"/>
  <c r="CP27" i="1"/>
  <c r="CL23" i="1"/>
  <c r="CI30" i="1"/>
  <c r="CF30" i="1"/>
  <c r="CB38" i="1"/>
  <c r="CO25" i="1"/>
  <c r="CJ33" i="1"/>
  <c r="CD18" i="1"/>
  <c r="CK25" i="1"/>
  <c r="CC30" i="1"/>
  <c r="CI37" i="1"/>
  <c r="CI18" i="1"/>
  <c r="CO30" i="1"/>
  <c r="CJ34" i="1"/>
  <c r="CJ37" i="1"/>
  <c r="CL20" i="1"/>
  <c r="CD27" i="1"/>
  <c r="CL38" i="1"/>
  <c r="CL39" i="1"/>
  <c r="CQ40" i="1"/>
  <c r="CO38" i="1"/>
  <c r="CQ17" i="1"/>
  <c r="CC32" i="1"/>
  <c r="CP22" i="1"/>
  <c r="CJ31" i="1"/>
  <c r="CP35" i="1"/>
  <c r="CJ26" i="1"/>
  <c r="CD29" i="1"/>
  <c r="CD25" i="1"/>
  <c r="CM32" i="1"/>
  <c r="CR35" i="1"/>
  <c r="CD39" i="1"/>
  <c r="CC33" i="1"/>
  <c r="CN36" i="1"/>
  <c r="CH20" i="1"/>
  <c r="CF23" i="1"/>
  <c r="CH40" i="1"/>
  <c r="CF31" i="1"/>
  <c r="CJ19" i="1"/>
  <c r="CN30" i="1"/>
  <c r="CD26" i="1"/>
  <c r="CA24" i="1"/>
  <c r="CQ25" i="1"/>
  <c r="CK23" i="1"/>
  <c r="CM25" i="1"/>
  <c r="CH16" i="1"/>
  <c r="CI19" i="1"/>
  <c r="CC35" i="1"/>
  <c r="CR22" i="1"/>
  <c r="CF20" i="1"/>
  <c r="CA32" i="1"/>
  <c r="CC40" i="1"/>
  <c r="CB33" i="1"/>
  <c r="CM34" i="1"/>
  <c r="CG24" i="1"/>
  <c r="CN34" i="1"/>
  <c r="CL34" i="1"/>
  <c r="CC36" i="1"/>
  <c r="CL22" i="1"/>
  <c r="CK17" i="1"/>
  <c r="CC24" i="1"/>
  <c r="CQ31" i="1"/>
  <c r="CD15" i="1"/>
  <c r="CP33" i="1"/>
  <c r="CK32" i="1"/>
  <c r="CM40" i="1"/>
  <c r="CP39" i="1"/>
  <c r="CR21" i="1"/>
  <c r="CR27" i="1"/>
  <c r="CA37" i="1"/>
  <c r="CK26" i="1"/>
  <c r="CH29" i="1"/>
  <c r="CC37" i="1"/>
  <c r="CK36" i="1"/>
  <c r="CP24" i="1"/>
  <c r="CH17" i="1"/>
  <c r="CI15" i="1"/>
  <c r="CH15" i="1"/>
  <c r="CJ18" i="1"/>
  <c r="CR24" i="1"/>
  <c r="CI25" i="1"/>
  <c r="CI24" i="1"/>
  <c r="CF26" i="1"/>
  <c r="CO24" i="1"/>
  <c r="CJ35" i="1"/>
  <c r="CA23" i="1"/>
  <c r="CP23" i="1"/>
  <c r="CK33" i="1"/>
  <c r="CB24" i="1"/>
  <c r="CQ24" i="1"/>
  <c r="CK35" i="1"/>
  <c r="CL40" i="1"/>
  <c r="CE31" i="1"/>
  <c r="CH23" i="1"/>
  <c r="CJ32" i="1"/>
  <c r="CP29" i="1"/>
  <c r="CP36" i="1"/>
  <c r="CA26" i="1"/>
  <c r="CC38" i="1"/>
  <c r="CF37" i="1"/>
  <c r="CB22" i="1"/>
  <c r="CO31" i="1"/>
  <c r="CE21" i="1"/>
  <c r="CA25" i="1"/>
  <c r="CO35" i="1"/>
  <c r="CD36" i="1"/>
  <c r="CR17" i="1"/>
  <c r="CN27" i="1"/>
  <c r="CN33" i="1"/>
  <c r="CR15" i="1"/>
  <c r="CP34" i="1"/>
  <c r="CC25" i="1"/>
  <c r="CB35" i="1"/>
  <c r="CO19" i="1"/>
  <c r="CI31" i="1"/>
  <c r="CD38" i="1"/>
  <c r="CJ28" i="1"/>
  <c r="CN40" i="1"/>
  <c r="CF40" i="1"/>
  <c r="CN38" i="1"/>
  <c r="CP38" i="1"/>
  <c r="CN15" i="1"/>
  <c r="CF24" i="1"/>
  <c r="CB37" i="1"/>
  <c r="CL16" i="1"/>
  <c r="CM28" i="1"/>
  <c r="CQ21" i="1"/>
  <c r="CJ38" i="1"/>
  <c r="CH37" i="1"/>
  <c r="CE23" i="1"/>
  <c r="CQ27" i="1"/>
  <c r="CR36" i="1"/>
  <c r="CO37" i="1"/>
  <c r="CA18" i="1"/>
  <c r="CM36" i="1"/>
  <c r="CB39" i="1"/>
  <c r="CN20" i="1"/>
  <c r="CJ23" i="1"/>
  <c r="CA35" i="1"/>
  <c r="CD24" i="1"/>
  <c r="CE32" i="1"/>
  <c r="CE29" i="1"/>
  <c r="CJ27" i="1"/>
  <c r="CF33" i="1"/>
  <c r="CD35" i="1"/>
  <c r="CP21" i="1"/>
  <c r="CP30" i="1"/>
  <c r="CQ32" i="1"/>
  <c r="CR25" i="1"/>
  <c r="CA27" i="1"/>
  <c r="CE33" i="1"/>
  <c r="CN39" i="1"/>
  <c r="CH28" i="1"/>
  <c r="CR40" i="1"/>
  <c r="CB31" i="1"/>
  <c r="CO36" i="1"/>
  <c r="CQ39" i="1"/>
  <c r="CH22" i="1"/>
  <c r="CK38" i="1"/>
  <c r="CO27" i="1"/>
  <c r="CH30" i="1"/>
  <c r="CH26" i="1"/>
  <c r="CD40" i="1"/>
  <c r="CE18" i="1"/>
  <c r="CO23" i="1"/>
  <c r="CP15" i="1"/>
  <c r="BH31" i="1"/>
  <c r="BZ40" i="1"/>
  <c r="DL26" i="1"/>
  <c r="BH29" i="1"/>
  <c r="BH19" i="1"/>
  <c r="BH25" i="1"/>
  <c r="BH34" i="1"/>
  <c r="BH32" i="1"/>
  <c r="BH37" i="1"/>
  <c r="BZ26" i="1"/>
  <c r="BH28" i="1"/>
  <c r="BZ38" i="1"/>
  <c r="BH16" i="1"/>
  <c r="BH40" i="1"/>
  <c r="BZ15" i="1"/>
  <c r="BZ35" i="1"/>
  <c r="BZ23" i="1"/>
  <c r="BH30" i="1"/>
  <c r="BZ31" i="1"/>
  <c r="BZ18" i="1"/>
  <c r="BH18" i="1"/>
  <c r="BZ22" i="1"/>
  <c r="BZ20" i="1"/>
  <c r="BZ24" i="1"/>
  <c r="BZ19" i="1"/>
  <c r="Y2" i="1" l="1"/>
  <c r="AN5" i="1"/>
  <c r="CS21" i="1"/>
  <c r="E6" i="1"/>
  <c r="E7" i="1" s="1"/>
  <c r="CS27" i="1"/>
  <c r="I10" i="1"/>
  <c r="CS37" i="1"/>
  <c r="N29" i="1"/>
  <c r="O29" i="1" s="1"/>
  <c r="P29" i="1" s="1"/>
  <c r="Q29" i="1" s="1"/>
  <c r="N24" i="1"/>
  <c r="O24" i="1" s="1"/>
  <c r="P24" i="1" s="1"/>
  <c r="Q24" i="1" s="1"/>
  <c r="N30" i="1"/>
  <c r="O30" i="1" s="1"/>
  <c r="P30" i="1" s="1"/>
  <c r="Q30" i="1" s="1"/>
  <c r="N37" i="1"/>
  <c r="O37" i="1" s="1"/>
  <c r="P37" i="1" s="1"/>
  <c r="Q37" i="1" s="1"/>
  <c r="CS39" i="1"/>
  <c r="CS25" i="1"/>
  <c r="CS30" i="1"/>
  <c r="CS16" i="1"/>
  <c r="CS28" i="1"/>
  <c r="CS40" i="1"/>
  <c r="CS33" i="1"/>
  <c r="CS36" i="1"/>
  <c r="CS32" i="1"/>
  <c r="CS15" i="1"/>
  <c r="CS18" i="1"/>
  <c r="CS26" i="1"/>
  <c r="CS23" i="1"/>
  <c r="CS24" i="1"/>
  <c r="CS19" i="1"/>
  <c r="CS29" i="1"/>
  <c r="CS17" i="1"/>
  <c r="CS34" i="1"/>
  <c r="CS22" i="1"/>
  <c r="CS20" i="1"/>
  <c r="CS35" i="1"/>
  <c r="CS38" i="1"/>
  <c r="CS31" i="1"/>
  <c r="AE6" i="1" l="1"/>
  <c r="AE7" i="1" s="1"/>
  <c r="AH6" i="1"/>
  <c r="AH7" i="1" s="1"/>
  <c r="AK6" i="1"/>
  <c r="AC6" i="1"/>
  <c r="AC7" i="1" s="1"/>
  <c r="Z6" i="1"/>
  <c r="AM6" i="1"/>
  <c r="AI6" i="1"/>
  <c r="AI7" i="1" s="1"/>
  <c r="AA6" i="1"/>
  <c r="AA7" i="1" s="1"/>
  <c r="AD6" i="1"/>
  <c r="AD7" i="1" s="1"/>
  <c r="AB6" i="1"/>
  <c r="AB7" i="1" s="1"/>
  <c r="AJ6" i="1"/>
  <c r="Y6" i="1"/>
  <c r="Y7" i="1" s="1"/>
  <c r="V6" i="1"/>
  <c r="V7" i="1" s="1"/>
  <c r="X6" i="1"/>
  <c r="X7" i="1" s="1"/>
  <c r="AL6" i="1"/>
  <c r="W6" i="1"/>
  <c r="W7" i="1" s="1"/>
  <c r="AF6" i="1"/>
  <c r="AF7" i="1" s="1"/>
  <c r="AM7" i="1" l="1"/>
  <c r="AN2" i="1"/>
  <c r="AJ7" i="1"/>
  <c r="AJ2" i="1"/>
  <c r="AK7" i="1"/>
  <c r="AL2" i="1"/>
  <c r="Z7" i="1"/>
  <c r="Z2" i="1"/>
  <c r="AA2" i="1" s="1"/>
  <c r="L5" i="1" l="1"/>
</calcChain>
</file>

<file path=xl/sharedStrings.xml><?xml version="1.0" encoding="utf-8"?>
<sst xmlns="http://schemas.openxmlformats.org/spreadsheetml/2006/main" count="373" uniqueCount="160">
  <si>
    <t>Mineral</t>
  </si>
  <si>
    <t>Volume</t>
  </si>
  <si>
    <t>Molar Volume</t>
  </si>
  <si>
    <t>Apatite</t>
  </si>
  <si>
    <t>Muscovite</t>
  </si>
  <si>
    <t>Density</t>
  </si>
  <si>
    <t>Si</t>
  </si>
  <si>
    <t>Al</t>
  </si>
  <si>
    <t>Mg</t>
  </si>
  <si>
    <t>Mn</t>
  </si>
  <si>
    <t>Ca</t>
  </si>
  <si>
    <t>Na</t>
  </si>
  <si>
    <t>K</t>
  </si>
  <si>
    <t>O</t>
  </si>
  <si>
    <t>H</t>
  </si>
  <si>
    <t>P</t>
  </si>
  <si>
    <t>C</t>
  </si>
  <si>
    <t>SiO2</t>
  </si>
  <si>
    <t>Al2O3</t>
  </si>
  <si>
    <t>Fe2O3</t>
  </si>
  <si>
    <t>MgO</t>
  </si>
  <si>
    <t>MnO</t>
  </si>
  <si>
    <t>CaO</t>
  </si>
  <si>
    <t>Na2O</t>
  </si>
  <si>
    <t>K2O</t>
  </si>
  <si>
    <t>H2O</t>
  </si>
  <si>
    <t>P2O5</t>
  </si>
  <si>
    <t>CO2</t>
  </si>
  <si>
    <t>Name</t>
  </si>
  <si>
    <t>Dimension 1</t>
  </si>
  <si>
    <t>Dimension 2</t>
  </si>
  <si>
    <t>Dimension 3</t>
  </si>
  <si>
    <t>Molecular</t>
  </si>
  <si>
    <t>Mass (g)</t>
  </si>
  <si>
    <t>(cc/mole)</t>
  </si>
  <si>
    <t>Charge</t>
  </si>
  <si>
    <t>Balance</t>
  </si>
  <si>
    <t>Bulk Density (g/cc) =</t>
  </si>
  <si>
    <t>Bulk Molar Volume (cc/mole) =</t>
  </si>
  <si>
    <t>Total</t>
  </si>
  <si>
    <t>Element Mole Percent Composition</t>
  </si>
  <si>
    <t>FeO</t>
  </si>
  <si>
    <t>Bulk Molar Mass (g/mole) =</t>
  </si>
  <si>
    <t>Mode</t>
  </si>
  <si>
    <t>(volume %)</t>
  </si>
  <si>
    <t>(weight %)</t>
  </si>
  <si>
    <t>(mole %)</t>
  </si>
  <si>
    <t>Titanite</t>
  </si>
  <si>
    <t>Ti</t>
  </si>
  <si>
    <t>TiO2</t>
  </si>
  <si>
    <t>Andalusite</t>
  </si>
  <si>
    <t>Cordierite</t>
  </si>
  <si>
    <t>Oxide Mole Percent Composition</t>
  </si>
  <si>
    <t>Molar Mineral Formulae</t>
  </si>
  <si>
    <t>Non-</t>
  </si>
  <si>
    <t>Divalent</t>
  </si>
  <si>
    <t>Pyrite</t>
  </si>
  <si>
    <t>SO2</t>
  </si>
  <si>
    <t>Inverse</t>
  </si>
  <si>
    <t>Molar</t>
  </si>
  <si>
    <t>Element Weight Percent Composition</t>
  </si>
  <si>
    <t>(cm)</t>
  </si>
  <si>
    <t>Sample Mass (g) =</t>
  </si>
  <si>
    <t>Grain</t>
  </si>
  <si>
    <t>Mineral Grain Size</t>
  </si>
  <si>
    <t>#</t>
  </si>
  <si>
    <t xml:space="preserve">of </t>
  </si>
  <si>
    <t>Grains</t>
  </si>
  <si>
    <t>Relative</t>
  </si>
  <si>
    <t>Sampling</t>
  </si>
  <si>
    <t>Error</t>
  </si>
  <si>
    <t>(CV %)</t>
  </si>
  <si>
    <t>Plagioclase</t>
  </si>
  <si>
    <t>Alkali Feldspar</t>
  </si>
  <si>
    <t>Biotite</t>
  </si>
  <si>
    <t>Clinopyroxene</t>
  </si>
  <si>
    <t>Hornblende</t>
  </si>
  <si>
    <t>Chlorite</t>
  </si>
  <si>
    <t>Garnet</t>
  </si>
  <si>
    <t>Absolute</t>
  </si>
  <si>
    <t>Mass</t>
  </si>
  <si>
    <t>(g)</t>
  </si>
  <si>
    <t>Fe+2</t>
  </si>
  <si>
    <t>Fe+3</t>
  </si>
  <si>
    <t xml:space="preserve">Rock Composition (wt. %) = </t>
  </si>
  <si>
    <t>Poorest Relative Error (%) =</t>
  </si>
  <si>
    <t>Magnetite</t>
  </si>
  <si>
    <t>Orthopyroxene</t>
  </si>
  <si>
    <t>Olivine</t>
  </si>
  <si>
    <t>Ilmenite</t>
  </si>
  <si>
    <t>Pyrrhotite</t>
  </si>
  <si>
    <t>Nepheline</t>
  </si>
  <si>
    <t>Zircon</t>
  </si>
  <si>
    <t>Zr</t>
  </si>
  <si>
    <t>ZrO2</t>
  </si>
  <si>
    <t>Cr</t>
  </si>
  <si>
    <t>Cr2O3</t>
  </si>
  <si>
    <t>Calcite</t>
  </si>
  <si>
    <t>Rutile</t>
  </si>
  <si>
    <t>Alk. Feld. Megacryst</t>
  </si>
  <si>
    <t>Ce2O3</t>
  </si>
  <si>
    <t>(ml)</t>
  </si>
  <si>
    <t>In order to add a mineral to the spreadsheet:</t>
  </si>
  <si>
    <t>2) fill in the relevant information for that mineral (all columns in white),</t>
  </si>
  <si>
    <t>3) copy all other colored cells onto this new mineral row.</t>
  </si>
  <si>
    <t>In order to add an element to the spreadsheet:</t>
  </si>
  <si>
    <t>1) insert a new row among the mineral rows listed (do not add the mineral to the bottom of the list),</t>
  </si>
  <si>
    <t xml:space="preserve">2) do the same to the Element Mole Percent Composition (light green), Oxide Mole Percent Composition (dark pink), </t>
  </si>
  <si>
    <t xml:space="preserve">1) insert a new column among the element columns listed in the Molar Mineral Formula section (again, do not add the element </t>
  </si>
  <si>
    <t xml:space="preserve">       Element Weight Percent Composition (cyan) and Oxide Weight Percent Composition (dark blue) sections, </t>
  </si>
  <si>
    <t xml:space="preserve">       making sure you insert these new columns between the same two elements</t>
  </si>
  <si>
    <t>3) enter the correct molar values in the white Molar Mineral Formula section</t>
  </si>
  <si>
    <t>4) copy the columns to the right of the new colored columns into the new colored columns</t>
  </si>
  <si>
    <r>
      <t xml:space="preserve">       to the right of the list, but make sure you add it to the right of H</t>
    </r>
    <r>
      <rPr>
        <vertAlign val="subscript"/>
        <sz val="12"/>
        <rFont val="Times New Roman"/>
        <family val="1"/>
      </rPr>
      <t>2</t>
    </r>
    <r>
      <rPr>
        <sz val="12"/>
        <rFont val="Times New Roman"/>
        <family val="1"/>
      </rPr>
      <t>O or H),</t>
    </r>
  </si>
  <si>
    <t>Type</t>
  </si>
  <si>
    <t>x</t>
  </si>
  <si>
    <t>n</t>
  </si>
  <si>
    <t>Dist'n</t>
  </si>
  <si>
    <t>(B, P,</t>
  </si>
  <si>
    <t>or H)</t>
  </si>
  <si>
    <t>Error on</t>
  </si>
  <si>
    <t># of</t>
  </si>
  <si>
    <t xml:space="preserve">Sampling Error (1 std. dev. wt. %) = </t>
  </si>
  <si>
    <t xml:space="preserve">1 Std. Dev. Relative Sampling Error (CV%) = </t>
  </si>
  <si>
    <t>Geochemical Sampling Error Determination using Hypergeometric, Binomial &amp; Poisson Variances</t>
  </si>
  <si>
    <t>by:</t>
  </si>
  <si>
    <t>Clifford R. Stanley, Asst. Prof., Dept. of Geology, Acadia University, Wolfville, NS, B0P 1X0, Canada</t>
  </si>
  <si>
    <t>N/n =</t>
  </si>
  <si>
    <t>Check</t>
  </si>
  <si>
    <t>Quartz</t>
  </si>
  <si>
    <t>H results</t>
  </si>
  <si>
    <t>B results</t>
  </si>
  <si>
    <t>P results</t>
  </si>
  <si>
    <t>Hypergeometric, Binomial &amp; Poisson Variances</t>
  </si>
  <si>
    <t>Results for 0 (not H, B, or P)</t>
  </si>
  <si>
    <t>P/B CV</t>
  </si>
  <si>
    <t>Oxide Weight Percent Composition (molar masses per 1 cation)</t>
  </si>
  <si>
    <t>Sample Volume (mL) =</t>
  </si>
  <si>
    <r>
      <t>(g/cc)</t>
    </r>
    <r>
      <rPr>
        <b/>
        <i/>
        <sz val="14"/>
        <color rgb="FFFF0000"/>
        <rFont val="Times New Roman"/>
        <family val="1"/>
      </rPr>
      <t>*</t>
    </r>
  </si>
  <si>
    <t>*D(calc): Handbook of Mineralogy; and interpolated for listed compositions</t>
  </si>
  <si>
    <t>Epidote</t>
  </si>
  <si>
    <t>FeOT</t>
  </si>
  <si>
    <t>RSD</t>
  </si>
  <si>
    <t>Thorite</t>
  </si>
  <si>
    <t>Th</t>
  </si>
  <si>
    <t>ThO2</t>
  </si>
  <si>
    <t>1 SD</t>
  </si>
  <si>
    <t xml:space="preserve">1 SD Zr </t>
  </si>
  <si>
    <t>1 SD Th</t>
  </si>
  <si>
    <t>Zr ppm</t>
  </si>
  <si>
    <t>Th ppm</t>
  </si>
  <si>
    <t>Note by J.R. Reimink and T. Chacko: This is a modified version of the spreadsheet of Stanley (2003) for calculation of major-, minor- and selected trace-element standard deviations in the Sapphire Brown (SB) granite arising from sampling error.</t>
  </si>
  <si>
    <t>Means and standard deviations of Zr and Th are reported in ppm in Cells AI2-AL2</t>
  </si>
  <si>
    <t>Minor modifications were made to some mineral densities in Column C.  Cells Y2 and Z2 now report mean and standard deviation for FeO (total). Ce2O3 in the original spreadsheet has been replaced by ThO2.</t>
  </si>
  <si>
    <t>Ba</t>
  </si>
  <si>
    <t>BaO</t>
  </si>
  <si>
    <t>Ba ppm</t>
  </si>
  <si>
    <t>1 SD Ba</t>
  </si>
  <si>
    <r>
      <t xml:space="preserve">Stanley, C.R. (2003) Estimating sampling errors for major and trace elements in geological materials using a propagation of variance approach.  </t>
    </r>
    <r>
      <rPr>
        <b/>
        <i/>
        <sz val="12"/>
        <rFont val="Times New Roman"/>
        <family val="1"/>
      </rPr>
      <t>Geochemistry: Exploration, Environment, Analysis,</t>
    </r>
    <r>
      <rPr>
        <b/>
        <sz val="12"/>
        <rFont val="Times New Roman"/>
        <family val="1"/>
      </rPr>
      <t xml:space="preserve"> 3:169-178.</t>
    </r>
  </si>
  <si>
    <t>The main modification that we made to the spreadsheet is in Column L (of the worksheet labelled 'Size') where a coding error has been corrected. The sum of the mineral masses of the rock's constituent minerals now equals the total sample mass, as it must. Note that correction of this error has a significant effect on the calculated sampling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</si>
</sst>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
    <numFmt numFmtId="166" formatCode="m\o\n\th\ d\,\ yyyy"/>
    <numFmt numFmtId="167" formatCode="0.00_)"/>
    <numFmt numFmtId="168" formatCode="0.000_)"/>
    <numFmt numFmtId="169" formatCode="0.0000_)"/>
    <numFmt numFmtId="170" formatCode="0.0000"/>
    <numFmt numFmtId="171" formatCode="0.000"/>
    <numFmt numFmtId="172" formatCode="0.00000_)"/>
    <numFmt numFmtId="173" formatCode="0_)"/>
    <numFmt numFmtId="174" formatCode="0.0"/>
  </numFmts>
  <fonts count="25">
    <font>
      <sz val="12"/>
      <name val="Courier"/>
    </font>
    <font>
      <sz val="1"/>
      <color indexed="8"/>
      <name val="Courier"/>
      <family val="1"/>
    </font>
    <font>
      <b/>
      <sz val="1"/>
      <color indexed="8"/>
      <name val="Courier"/>
      <family val="1"/>
    </font>
    <font>
      <sz val="12"/>
      <name val="Times New Roman"/>
      <family val="1"/>
    </font>
    <font>
      <b/>
      <i/>
      <sz val="14"/>
      <name val="Times New Roman"/>
      <family val="1"/>
    </font>
    <font>
      <b/>
      <i/>
      <sz val="14"/>
      <color indexed="8"/>
      <name val="Times New Roman"/>
      <family val="1"/>
    </font>
    <font>
      <b/>
      <i/>
      <sz val="14"/>
      <color indexed="10"/>
      <name val="Times New Roman"/>
      <family val="1"/>
    </font>
    <font>
      <b/>
      <sz val="14"/>
      <name val="Times New Roman"/>
      <family val="1"/>
    </font>
    <font>
      <b/>
      <i/>
      <sz val="16"/>
      <name val="Times New Roman"/>
      <family val="1"/>
    </font>
    <font>
      <b/>
      <i/>
      <sz val="16"/>
      <color indexed="8"/>
      <name val="Times New Roman"/>
      <family val="1"/>
    </font>
    <font>
      <b/>
      <sz val="16"/>
      <name val="Times New Roman"/>
      <family val="1"/>
    </font>
    <font>
      <b/>
      <sz val="12"/>
      <name val="Times New Roman"/>
      <family val="1"/>
    </font>
    <font>
      <i/>
      <sz val="16"/>
      <name val="Times New Roman"/>
      <family val="1"/>
    </font>
    <font>
      <i/>
      <sz val="16"/>
      <color indexed="8"/>
      <name val="Times New Roman"/>
      <family val="1"/>
    </font>
    <font>
      <sz val="16"/>
      <name val="Times New Roman"/>
      <family val="1"/>
    </font>
    <font>
      <sz val="16"/>
      <color indexed="8"/>
      <name val="Times New Roman"/>
      <family val="1"/>
    </font>
    <font>
      <sz val="12"/>
      <color indexed="49"/>
      <name val="Times New Roman"/>
      <family val="1"/>
    </font>
    <font>
      <b/>
      <i/>
      <sz val="16"/>
      <color indexed="49"/>
      <name val="Times New Roman"/>
      <family val="1"/>
    </font>
    <font>
      <vertAlign val="subscript"/>
      <sz val="12"/>
      <name val="Times New Roman"/>
      <family val="1"/>
    </font>
    <font>
      <i/>
      <sz val="14"/>
      <name val="Times New Roman"/>
      <family val="1"/>
    </font>
    <font>
      <i/>
      <sz val="12"/>
      <name val="Times New Roman"/>
      <family val="1"/>
    </font>
    <font>
      <sz val="12"/>
      <color rgb="FF000000"/>
      <name val="Times New Roman"/>
      <family val="1"/>
    </font>
    <font>
      <sz val="12"/>
      <color rgb="FFFF0000"/>
      <name val="Times New Roman"/>
      <family val="1"/>
    </font>
    <font>
      <b/>
      <i/>
      <sz val="14"/>
      <color rgb="FFFF0000"/>
      <name val="Times New Roman"/>
      <family val="1"/>
    </font>
    <font>
      <b/>
      <i/>
      <sz val="12"/>
      <name val="Times New Roman"/>
      <family val="1"/>
    </font>
  </fonts>
  <fills count="16">
    <fill>
      <patternFill patternType="none"/>
    </fill>
    <fill>
      <patternFill patternType="gray125"/>
    </fill>
    <fill>
      <patternFill patternType="solid">
        <fgColor indexed="40"/>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5"/>
        <bgColor indexed="64"/>
      </patternFill>
    </fill>
    <fill>
      <patternFill patternType="solid">
        <fgColor indexed="44"/>
        <bgColor indexed="64"/>
      </patternFill>
    </fill>
    <fill>
      <patternFill patternType="solid">
        <fgColor indexed="9"/>
        <bgColor indexed="64"/>
      </patternFill>
    </fill>
    <fill>
      <patternFill patternType="solid">
        <fgColor indexed="46"/>
        <bgColor indexed="64"/>
      </patternFill>
    </fill>
    <fill>
      <patternFill patternType="solid">
        <fgColor rgb="FFFFFFFF"/>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rgb="FFF1EA88"/>
        <bgColor indexed="64"/>
      </patternFill>
    </fill>
    <fill>
      <patternFill patternType="solid">
        <fgColor rgb="FFFFFF00"/>
        <bgColor indexed="64"/>
      </patternFill>
    </fill>
  </fills>
  <borders count="3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medium">
        <color indexed="64"/>
      </bottom>
      <diagonal/>
    </border>
    <border>
      <left/>
      <right style="thin">
        <color indexed="22"/>
      </right>
      <top style="thin">
        <color indexed="22"/>
      </top>
      <bottom style="thin">
        <color indexed="22"/>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2"/>
      </left>
      <right/>
      <top style="thin">
        <color indexed="22"/>
      </top>
      <bottom style="medium">
        <color indexed="64"/>
      </bottom>
      <diagonal/>
    </border>
    <border>
      <left style="thin">
        <color indexed="22"/>
      </left>
      <right/>
      <top/>
      <bottom style="thin">
        <color indexed="22"/>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medium">
        <color indexed="64"/>
      </bottom>
      <diagonal/>
    </border>
    <border>
      <left style="thin">
        <color indexed="64"/>
      </left>
      <right style="thin">
        <color indexed="22"/>
      </right>
      <top/>
      <bottom style="thin">
        <color indexed="22"/>
      </bottom>
      <diagonal/>
    </border>
    <border>
      <left style="thin">
        <color indexed="64"/>
      </left>
      <right/>
      <top style="thin">
        <color indexed="22"/>
      </top>
      <bottom style="thin">
        <color indexed="22"/>
      </bottom>
      <diagonal/>
    </border>
    <border>
      <left style="medium">
        <color indexed="64"/>
      </left>
      <right style="medium">
        <color indexed="64"/>
      </right>
      <top/>
      <bottom style="thin">
        <color indexed="64"/>
      </bottom>
      <diagonal/>
    </border>
    <border>
      <left style="thin">
        <color indexed="22"/>
      </left>
      <right style="thin">
        <color indexed="22"/>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rgb="FFC0C0C0"/>
      </left>
      <right/>
      <top/>
      <bottom style="medium">
        <color rgb="FFC0C0C0"/>
      </bottom>
      <diagonal/>
    </border>
    <border>
      <left style="medium">
        <color rgb="FFC0C0C0"/>
      </left>
      <right style="medium">
        <color indexed="64"/>
      </right>
      <top/>
      <bottom style="medium">
        <color rgb="FFC0C0C0"/>
      </bottom>
      <diagonal/>
    </border>
    <border>
      <left style="medium">
        <color rgb="FFC0C0C0"/>
      </left>
      <right style="medium">
        <color indexed="64"/>
      </right>
      <top/>
      <bottom style="medium">
        <color indexed="64"/>
      </bottom>
      <diagonal/>
    </border>
  </borders>
  <cellStyleXfs count="5">
    <xf numFmtId="0" fontId="0" fillId="0" borderId="0"/>
    <xf numFmtId="166" fontId="1" fillId="0" borderId="0">
      <protection locked="0"/>
    </xf>
    <xf numFmtId="164" fontId="1" fillId="0" borderId="0">
      <protection locked="0"/>
    </xf>
    <xf numFmtId="165" fontId="2" fillId="0" borderId="0">
      <protection locked="0"/>
    </xf>
    <xf numFmtId="165" fontId="2" fillId="0" borderId="0">
      <protection locked="0"/>
    </xf>
  </cellStyleXfs>
  <cellXfs count="327">
    <xf numFmtId="0" fontId="0" fillId="0" borderId="0" xfId="0"/>
    <xf numFmtId="0" fontId="3" fillId="0" borderId="1" xfId="0" applyFont="1" applyBorder="1"/>
    <xf numFmtId="0" fontId="4" fillId="0" borderId="1" xfId="0" applyFont="1" applyBorder="1"/>
    <xf numFmtId="0" fontId="5" fillId="0" borderId="1" xfId="0" applyFont="1" applyFill="1" applyBorder="1" applyAlignment="1" applyProtection="1">
      <alignment horizontal="center"/>
    </xf>
    <xf numFmtId="0" fontId="4" fillId="0" borderId="1" xfId="0" applyFont="1" applyBorder="1" applyAlignment="1">
      <alignment horizontal="center"/>
    </xf>
    <xf numFmtId="0" fontId="3" fillId="2" borderId="1" xfId="0" applyFont="1" applyFill="1" applyBorder="1"/>
    <xf numFmtId="167" fontId="3" fillId="2" borderId="1" xfId="0" applyNumberFormat="1" applyFont="1" applyFill="1" applyBorder="1" applyProtection="1"/>
    <xf numFmtId="168" fontId="3" fillId="3" borderId="1" xfId="0" applyNumberFormat="1" applyFont="1" applyFill="1" applyBorder="1" applyProtection="1"/>
    <xf numFmtId="0" fontId="3" fillId="0" borderId="1" xfId="0" applyFont="1" applyBorder="1" applyAlignment="1">
      <alignment horizontal="center"/>
    </xf>
    <xf numFmtId="0" fontId="3" fillId="0" borderId="1" xfId="0" applyFont="1" applyFill="1" applyBorder="1"/>
    <xf numFmtId="0" fontId="5" fillId="0" borderId="1" xfId="0" applyFont="1" applyFill="1" applyBorder="1" applyAlignment="1" applyProtection="1">
      <alignment horizontal="right"/>
    </xf>
    <xf numFmtId="0" fontId="3" fillId="0" borderId="1" xfId="0" applyFont="1" applyFill="1" applyBorder="1" applyProtection="1"/>
    <xf numFmtId="0" fontId="3" fillId="0" borderId="1" xfId="0" applyFont="1" applyFill="1" applyBorder="1" applyAlignment="1">
      <alignment horizontal="center"/>
    </xf>
    <xf numFmtId="0" fontId="4" fillId="0" borderId="1" xfId="0" applyFont="1" applyFill="1" applyBorder="1" applyAlignment="1" applyProtection="1">
      <alignment horizontal="center"/>
    </xf>
    <xf numFmtId="167" fontId="3" fillId="0" borderId="1" xfId="0" applyNumberFormat="1" applyFont="1" applyFill="1" applyBorder="1" applyAlignment="1" applyProtection="1">
      <alignment horizontal="center"/>
    </xf>
    <xf numFmtId="0" fontId="3" fillId="0" borderId="1" xfId="0" applyFont="1" applyFill="1" applyBorder="1" applyAlignment="1" applyProtection="1">
      <alignment horizontal="center"/>
    </xf>
    <xf numFmtId="0" fontId="3" fillId="4" borderId="1" xfId="0" applyFont="1" applyFill="1" applyBorder="1" applyAlignment="1">
      <alignment horizontal="center"/>
    </xf>
    <xf numFmtId="0" fontId="5" fillId="4" borderId="1" xfId="0" applyFont="1" applyFill="1" applyBorder="1" applyAlignment="1" applyProtection="1">
      <alignment horizontal="center"/>
    </xf>
    <xf numFmtId="0" fontId="5" fillId="4" borderId="1" xfId="0" applyFont="1" applyFill="1" applyBorder="1" applyAlignment="1" applyProtection="1">
      <alignment horizontal="centerContinuous"/>
    </xf>
    <xf numFmtId="0" fontId="4" fillId="4" borderId="1" xfId="0" applyFont="1" applyFill="1" applyBorder="1" applyAlignment="1">
      <alignment horizontal="center"/>
    </xf>
    <xf numFmtId="167" fontId="3" fillId="4" borderId="1" xfId="0" applyNumberFormat="1" applyFont="1" applyFill="1" applyBorder="1" applyAlignment="1" applyProtection="1">
      <alignment horizontal="center"/>
    </xf>
    <xf numFmtId="0" fontId="3" fillId="4" borderId="1" xfId="0" applyFont="1" applyFill="1" applyBorder="1" applyAlignment="1" applyProtection="1">
      <alignment horizontal="center"/>
    </xf>
    <xf numFmtId="171" fontId="3" fillId="4" borderId="1" xfId="0" applyNumberFormat="1" applyFont="1" applyFill="1" applyBorder="1" applyAlignment="1" applyProtection="1">
      <alignment horizontal="center"/>
    </xf>
    <xf numFmtId="167" fontId="3" fillId="4" borderId="1" xfId="0" applyNumberFormat="1" applyFont="1" applyFill="1" applyBorder="1" applyProtection="1"/>
    <xf numFmtId="2" fontId="4" fillId="0" borderId="1" xfId="0" applyNumberFormat="1" applyFont="1" applyFill="1" applyBorder="1" applyAlignment="1">
      <alignment horizontal="center"/>
    </xf>
    <xf numFmtId="0" fontId="5" fillId="3" borderId="1" xfId="0" applyFont="1" applyFill="1" applyBorder="1" applyAlignment="1" applyProtection="1">
      <alignment horizontal="center"/>
    </xf>
    <xf numFmtId="0" fontId="4" fillId="3" borderId="1" xfId="0" applyFont="1" applyFill="1" applyBorder="1" applyAlignment="1" applyProtection="1">
      <alignment horizontal="center"/>
    </xf>
    <xf numFmtId="0" fontId="5" fillId="2" borderId="1" xfId="0" applyFont="1" applyFill="1" applyBorder="1" applyAlignment="1" applyProtection="1">
      <alignment horizontal="center"/>
    </xf>
    <xf numFmtId="169" fontId="4" fillId="3" borderId="1" xfId="0" applyNumberFormat="1" applyFont="1" applyFill="1" applyBorder="1" applyAlignment="1" applyProtection="1">
      <alignment horizontal="center"/>
    </xf>
    <xf numFmtId="0" fontId="4" fillId="0" borderId="1" xfId="0" applyFont="1" applyBorder="1" applyAlignment="1">
      <alignment horizontal="right"/>
    </xf>
    <xf numFmtId="0" fontId="4" fillId="3" borderId="1" xfId="0" applyFont="1" applyFill="1" applyBorder="1" applyAlignment="1">
      <alignment horizontal="center"/>
    </xf>
    <xf numFmtId="0" fontId="3" fillId="5" borderId="1" xfId="0" applyFont="1" applyFill="1" applyBorder="1" applyAlignment="1">
      <alignment horizontal="center"/>
    </xf>
    <xf numFmtId="0" fontId="5" fillId="5" borderId="1" xfId="0" applyFont="1" applyFill="1" applyBorder="1" applyAlignment="1" applyProtection="1">
      <alignment horizontal="center"/>
    </xf>
    <xf numFmtId="0" fontId="4" fillId="5" borderId="1" xfId="0" applyFont="1" applyFill="1" applyBorder="1" applyAlignment="1">
      <alignment horizontal="center"/>
    </xf>
    <xf numFmtId="167" fontId="3" fillId="5" borderId="1" xfId="0" applyNumberFormat="1" applyFont="1" applyFill="1" applyBorder="1" applyAlignment="1" applyProtection="1">
      <alignment horizontal="center"/>
    </xf>
    <xf numFmtId="0" fontId="5" fillId="6" borderId="1" xfId="0" applyFont="1" applyFill="1" applyBorder="1" applyAlignment="1" applyProtection="1">
      <alignment horizontal="center"/>
    </xf>
    <xf numFmtId="0" fontId="4" fillId="6" borderId="1" xfId="0" applyFont="1" applyFill="1" applyBorder="1" applyAlignment="1" applyProtection="1">
      <alignment horizontal="center"/>
    </xf>
    <xf numFmtId="169" fontId="4" fillId="6" borderId="1" xfId="0" applyNumberFormat="1" applyFont="1" applyFill="1" applyBorder="1" applyAlignment="1" applyProtection="1">
      <alignment horizontal="center"/>
    </xf>
    <xf numFmtId="0" fontId="4" fillId="6" borderId="1" xfId="0" applyFont="1" applyFill="1" applyBorder="1" applyAlignment="1">
      <alignment horizontal="center"/>
    </xf>
    <xf numFmtId="168" fontId="3" fillId="6" borderId="1" xfId="0" applyNumberFormat="1" applyFont="1" applyFill="1" applyBorder="1" applyProtection="1"/>
    <xf numFmtId="0" fontId="5" fillId="7" borderId="1" xfId="0" applyFont="1" applyFill="1" applyBorder="1" applyAlignment="1" applyProtection="1">
      <alignment horizontal="center"/>
    </xf>
    <xf numFmtId="0" fontId="4" fillId="7" borderId="1" xfId="0" applyFont="1" applyFill="1" applyBorder="1" applyAlignment="1" applyProtection="1">
      <alignment horizontal="center"/>
    </xf>
    <xf numFmtId="0" fontId="4" fillId="7" borderId="1" xfId="0" applyFont="1" applyFill="1" applyBorder="1" applyAlignment="1">
      <alignment horizontal="center"/>
    </xf>
    <xf numFmtId="168" fontId="3" fillId="7" borderId="1" xfId="0" applyNumberFormat="1" applyFont="1" applyFill="1" applyBorder="1" applyProtection="1"/>
    <xf numFmtId="0" fontId="4" fillId="2" borderId="1" xfId="0" applyFont="1" applyFill="1" applyBorder="1" applyAlignment="1">
      <alignment horizontal="center"/>
    </xf>
    <xf numFmtId="0" fontId="4" fillId="3" borderId="1"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pplyProtection="1">
      <alignment horizontal="left"/>
    </xf>
    <xf numFmtId="167" fontId="6" fillId="4" borderId="1" xfId="0" applyNumberFormat="1" applyFont="1" applyFill="1" applyBorder="1" applyAlignment="1" applyProtection="1">
      <alignment horizontal="left"/>
    </xf>
    <xf numFmtId="0" fontId="4" fillId="5" borderId="1" xfId="0" applyFont="1" applyFill="1" applyBorder="1" applyAlignment="1">
      <alignment horizontal="left"/>
    </xf>
    <xf numFmtId="0" fontId="4" fillId="6" borderId="1" xfId="0" applyFont="1" applyFill="1" applyBorder="1" applyAlignment="1">
      <alignment horizontal="left"/>
    </xf>
    <xf numFmtId="0" fontId="4" fillId="7" borderId="1" xfId="0" applyFont="1" applyFill="1" applyBorder="1" applyAlignment="1">
      <alignment horizontal="left"/>
    </xf>
    <xf numFmtId="0" fontId="4" fillId="2" borderId="1" xfId="0" applyFont="1" applyFill="1" applyBorder="1" applyAlignment="1">
      <alignment horizontal="left"/>
    </xf>
    <xf numFmtId="0" fontId="4" fillId="0" borderId="1" xfId="0" applyFont="1" applyBorder="1" applyAlignment="1">
      <alignment horizontal="left"/>
    </xf>
    <xf numFmtId="0" fontId="4" fillId="0" borderId="1" xfId="0" applyFont="1" applyFill="1" applyBorder="1"/>
    <xf numFmtId="0" fontId="7" fillId="4" borderId="1" xfId="0" applyFont="1" applyFill="1" applyBorder="1" applyAlignment="1">
      <alignment horizontal="center"/>
    </xf>
    <xf numFmtId="167" fontId="3" fillId="0" borderId="1" xfId="0" applyNumberFormat="1" applyFont="1" applyFill="1" applyBorder="1" applyProtection="1"/>
    <xf numFmtId="167" fontId="3" fillId="0" borderId="2" xfId="0" applyNumberFormat="1" applyFont="1" applyBorder="1" applyProtection="1"/>
    <xf numFmtId="0" fontId="3" fillId="0" borderId="2" xfId="0" applyFont="1" applyBorder="1" applyProtection="1"/>
    <xf numFmtId="0" fontId="3" fillId="0" borderId="2" xfId="0" applyFont="1" applyFill="1" applyBorder="1" applyProtection="1"/>
    <xf numFmtId="0" fontId="3" fillId="0" borderId="2" xfId="0" applyFont="1" applyBorder="1" applyAlignment="1">
      <alignment horizontal="center"/>
    </xf>
    <xf numFmtId="0" fontId="3" fillId="0" borderId="2" xfId="0" applyFont="1" applyBorder="1"/>
    <xf numFmtId="167" fontId="3" fillId="4" borderId="3" xfId="0" applyNumberFormat="1" applyFont="1" applyFill="1" applyBorder="1" applyProtection="1"/>
    <xf numFmtId="167" fontId="3" fillId="0" borderId="3" xfId="0" applyNumberFormat="1" applyFont="1" applyFill="1" applyBorder="1" applyProtection="1"/>
    <xf numFmtId="0" fontId="3" fillId="0" borderId="3" xfId="0" applyFont="1" applyFill="1" applyBorder="1" applyProtection="1"/>
    <xf numFmtId="0" fontId="3" fillId="4" borderId="3" xfId="0" applyFont="1" applyFill="1" applyBorder="1" applyAlignment="1" applyProtection="1">
      <alignment horizontal="center"/>
    </xf>
    <xf numFmtId="168" fontId="3" fillId="3" borderId="3" xfId="0" applyNumberFormat="1" applyFont="1" applyFill="1" applyBorder="1" applyProtection="1"/>
    <xf numFmtId="168" fontId="3" fillId="6" borderId="3" xfId="0" applyNumberFormat="1" applyFont="1" applyFill="1" applyBorder="1" applyProtection="1"/>
    <xf numFmtId="168" fontId="3" fillId="7" borderId="3" xfId="0" applyNumberFormat="1" applyFont="1" applyFill="1" applyBorder="1" applyProtection="1"/>
    <xf numFmtId="167" fontId="3" fillId="2" borderId="3" xfId="0" applyNumberFormat="1" applyFont="1" applyFill="1" applyBorder="1" applyProtection="1"/>
    <xf numFmtId="0" fontId="3" fillId="0" borderId="3" xfId="0" applyFont="1" applyBorder="1"/>
    <xf numFmtId="0" fontId="3" fillId="2" borderId="3" xfId="0" applyFont="1" applyFill="1" applyBorder="1"/>
    <xf numFmtId="167" fontId="4" fillId="5" borderId="1" xfId="0" applyNumberFormat="1" applyFont="1" applyFill="1" applyBorder="1" applyAlignment="1" applyProtection="1">
      <alignment horizontal="center"/>
    </xf>
    <xf numFmtId="0" fontId="3" fillId="5" borderId="1" xfId="0" applyFont="1" applyFill="1" applyBorder="1"/>
    <xf numFmtId="167" fontId="3" fillId="5" borderId="1" xfId="0" applyNumberFormat="1" applyFont="1" applyFill="1" applyBorder="1" applyProtection="1"/>
    <xf numFmtId="167" fontId="3" fillId="5" borderId="3" xfId="0" applyNumberFormat="1" applyFont="1" applyFill="1" applyBorder="1" applyProtection="1"/>
    <xf numFmtId="0" fontId="3" fillId="5" borderId="3" xfId="0" applyFont="1" applyFill="1" applyBorder="1"/>
    <xf numFmtId="2" fontId="3" fillId="4" borderId="1" xfId="0" applyNumberFormat="1" applyFont="1" applyFill="1" applyBorder="1" applyAlignment="1" applyProtection="1">
      <alignment horizontal="center"/>
    </xf>
    <xf numFmtId="0" fontId="3" fillId="3" borderId="1" xfId="0" applyFont="1" applyFill="1" applyBorder="1" applyAlignment="1">
      <alignment horizontal="center"/>
    </xf>
    <xf numFmtId="168" fontId="3" fillId="3" borderId="1" xfId="0" applyNumberFormat="1" applyFont="1" applyFill="1" applyBorder="1" applyAlignment="1" applyProtection="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2" borderId="1" xfId="0" applyFont="1" applyFill="1" applyBorder="1" applyAlignment="1">
      <alignment horizontal="center"/>
    </xf>
    <xf numFmtId="168" fontId="3" fillId="6" borderId="1" xfId="0" applyNumberFormat="1" applyFont="1" applyFill="1" applyBorder="1" applyAlignment="1" applyProtection="1">
      <alignment horizontal="center"/>
    </xf>
    <xf numFmtId="167" fontId="3" fillId="2" borderId="1" xfId="0" applyNumberFormat="1" applyFont="1" applyFill="1" applyBorder="1" applyAlignment="1" applyProtection="1">
      <alignment horizontal="center"/>
    </xf>
    <xf numFmtId="168" fontId="3" fillId="7" borderId="1" xfId="0" applyNumberFormat="1" applyFont="1" applyFill="1" applyBorder="1" applyAlignment="1" applyProtection="1">
      <alignment horizontal="center"/>
    </xf>
    <xf numFmtId="167" fontId="7" fillId="4" borderId="1" xfId="0" applyNumberFormat="1" applyFont="1" applyFill="1" applyBorder="1" applyAlignment="1" applyProtection="1">
      <alignment horizontal="center"/>
    </xf>
    <xf numFmtId="167" fontId="4" fillId="4" borderId="1" xfId="0" applyNumberFormat="1" applyFont="1" applyFill="1" applyBorder="1" applyAlignment="1" applyProtection="1">
      <alignment horizontal="center"/>
    </xf>
    <xf numFmtId="1" fontId="3" fillId="4" borderId="1" xfId="0" applyNumberFormat="1" applyFont="1" applyFill="1" applyBorder="1" applyAlignment="1" applyProtection="1">
      <alignment horizontal="center"/>
    </xf>
    <xf numFmtId="0" fontId="4" fillId="8" borderId="1" xfId="0" applyFont="1" applyFill="1" applyBorder="1" applyAlignment="1">
      <alignment horizontal="left"/>
    </xf>
    <xf numFmtId="167" fontId="6" fillId="8" borderId="1" xfId="0" applyNumberFormat="1" applyFont="1" applyFill="1" applyBorder="1" applyAlignment="1" applyProtection="1">
      <alignment horizontal="left"/>
    </xf>
    <xf numFmtId="0" fontId="4" fillId="8" borderId="1" xfId="0" applyFont="1" applyFill="1" applyBorder="1" applyAlignment="1">
      <alignment horizontal="center"/>
    </xf>
    <xf numFmtId="0" fontId="5" fillId="8" borderId="1" xfId="0" applyFont="1" applyFill="1" applyBorder="1" applyAlignment="1" applyProtection="1">
      <alignment horizontal="center"/>
    </xf>
    <xf numFmtId="0" fontId="3" fillId="8" borderId="1" xfId="0" applyFont="1" applyFill="1" applyBorder="1" applyAlignment="1">
      <alignment horizontal="center"/>
    </xf>
    <xf numFmtId="167" fontId="3" fillId="8" borderId="1" xfId="0" applyNumberFormat="1" applyFont="1" applyFill="1" applyBorder="1" applyAlignment="1" applyProtection="1">
      <alignment horizontal="center"/>
    </xf>
    <xf numFmtId="172" fontId="3" fillId="8" borderId="1" xfId="0" applyNumberFormat="1" applyFont="1" applyFill="1" applyBorder="1" applyAlignment="1" applyProtection="1">
      <alignment horizontal="center"/>
    </xf>
    <xf numFmtId="167" fontId="3" fillId="8" borderId="3" xfId="0" applyNumberFormat="1" applyFont="1" applyFill="1" applyBorder="1" applyAlignment="1" applyProtection="1">
      <alignment horizontal="center"/>
    </xf>
    <xf numFmtId="168" fontId="3" fillId="9" borderId="1" xfId="0" applyNumberFormat="1" applyFont="1" applyFill="1" applyBorder="1" applyAlignment="1" applyProtection="1">
      <alignment horizontal="center"/>
    </xf>
    <xf numFmtId="168" fontId="3" fillId="9" borderId="1" xfId="0" applyNumberFormat="1" applyFont="1" applyFill="1" applyBorder="1" applyProtection="1"/>
    <xf numFmtId="168" fontId="3" fillId="9" borderId="3" xfId="0" applyNumberFormat="1" applyFont="1" applyFill="1" applyBorder="1" applyProtection="1"/>
    <xf numFmtId="0" fontId="8" fillId="0" borderId="1" xfId="0" applyFont="1" applyBorder="1"/>
    <xf numFmtId="0" fontId="9" fillId="0" borderId="1" xfId="0" applyFont="1" applyFill="1" applyBorder="1" applyAlignment="1" applyProtection="1">
      <alignment horizontal="right"/>
    </xf>
    <xf numFmtId="2" fontId="8" fillId="0" borderId="1" xfId="0" applyNumberFormat="1" applyFont="1" applyFill="1" applyBorder="1" applyAlignment="1">
      <alignment horizontal="center"/>
    </xf>
    <xf numFmtId="0" fontId="9" fillId="0" borderId="1" xfId="0" applyFont="1" applyFill="1" applyBorder="1" applyAlignment="1" applyProtection="1">
      <alignment horizontal="center"/>
    </xf>
    <xf numFmtId="2" fontId="9" fillId="0" borderId="1" xfId="0" applyNumberFormat="1" applyFont="1" applyFill="1" applyBorder="1" applyAlignment="1" applyProtection="1">
      <alignment horizontal="center"/>
    </xf>
    <xf numFmtId="0" fontId="11" fillId="0" borderId="1" xfId="0" applyFont="1" applyBorder="1"/>
    <xf numFmtId="0" fontId="11" fillId="0" borderId="1" xfId="0" applyFont="1" applyFill="1" applyBorder="1"/>
    <xf numFmtId="0" fontId="11" fillId="0" borderId="1" xfId="0" applyFont="1" applyFill="1" applyBorder="1" applyAlignment="1">
      <alignment horizontal="center"/>
    </xf>
    <xf numFmtId="168" fontId="3" fillId="5" borderId="1" xfId="0" applyNumberFormat="1" applyFont="1" applyFill="1" applyBorder="1" applyAlignment="1" applyProtection="1">
      <alignment horizontal="center"/>
    </xf>
    <xf numFmtId="168" fontId="3" fillId="5" borderId="1" xfId="0" applyNumberFormat="1" applyFont="1" applyFill="1" applyBorder="1" applyAlignment="1">
      <alignment horizontal="center"/>
    </xf>
    <xf numFmtId="168" fontId="3" fillId="2" borderId="1" xfId="0" applyNumberFormat="1" applyFont="1" applyFill="1" applyBorder="1" applyAlignment="1" applyProtection="1">
      <alignment horizontal="center"/>
    </xf>
    <xf numFmtId="168" fontId="3" fillId="2" borderId="1" xfId="0" applyNumberFormat="1" applyFont="1" applyFill="1" applyBorder="1" applyAlignment="1">
      <alignment horizontal="center"/>
    </xf>
    <xf numFmtId="0" fontId="14" fillId="0" borderId="1" xfId="0" applyFont="1" applyFill="1" applyBorder="1"/>
    <xf numFmtId="0" fontId="10" fillId="0" borderId="1" xfId="0" applyFont="1" applyFill="1" applyBorder="1"/>
    <xf numFmtId="0" fontId="10" fillId="0" borderId="1" xfId="0" applyFont="1" applyFill="1" applyBorder="1" applyAlignment="1">
      <alignment horizontal="center"/>
    </xf>
    <xf numFmtId="0" fontId="3" fillId="0" borderId="2" xfId="0" applyFont="1" applyFill="1" applyBorder="1" applyAlignment="1">
      <alignment horizontal="center"/>
    </xf>
    <xf numFmtId="0" fontId="3" fillId="0" borderId="3" xfId="0" applyFont="1" applyFill="1" applyBorder="1" applyAlignment="1" applyProtection="1">
      <alignment horizontal="center"/>
    </xf>
    <xf numFmtId="0" fontId="8" fillId="0" borderId="4" xfId="0" applyFont="1" applyBorder="1"/>
    <xf numFmtId="3" fontId="13" fillId="0" borderId="5" xfId="0" applyNumberFormat="1" applyFont="1" applyFill="1" applyBorder="1" applyAlignment="1" applyProtection="1">
      <alignment horizontal="right"/>
    </xf>
    <xf numFmtId="167" fontId="3" fillId="4" borderId="4" xfId="0" applyNumberFormat="1" applyFont="1" applyFill="1" applyBorder="1" applyAlignment="1" applyProtection="1">
      <alignment horizontal="center"/>
    </xf>
    <xf numFmtId="0" fontId="3" fillId="4" borderId="6" xfId="0" applyFont="1" applyFill="1" applyBorder="1" applyAlignment="1">
      <alignment horizontal="center"/>
    </xf>
    <xf numFmtId="167" fontId="3" fillId="0" borderId="2" xfId="0" applyNumberFormat="1" applyFont="1" applyFill="1" applyBorder="1" applyAlignment="1" applyProtection="1">
      <alignment horizontal="center"/>
    </xf>
    <xf numFmtId="0" fontId="3" fillId="0" borderId="2" xfId="0" applyFont="1" applyFill="1" applyBorder="1" applyAlignment="1" applyProtection="1">
      <alignment horizontal="center"/>
    </xf>
    <xf numFmtId="167" fontId="3" fillId="8" borderId="7" xfId="0" applyNumberFormat="1" applyFont="1" applyFill="1" applyBorder="1" applyAlignment="1" applyProtection="1">
      <alignment horizontal="center"/>
    </xf>
    <xf numFmtId="168" fontId="3" fillId="3" borderId="4" xfId="0" applyNumberFormat="1" applyFont="1" applyFill="1" applyBorder="1" applyAlignment="1" applyProtection="1">
      <alignment horizontal="center"/>
    </xf>
    <xf numFmtId="0" fontId="3" fillId="3" borderId="6" xfId="0" applyFont="1" applyFill="1" applyBorder="1" applyAlignment="1">
      <alignment horizontal="center"/>
    </xf>
    <xf numFmtId="168" fontId="3" fillId="9" borderId="2" xfId="0" applyNumberFormat="1" applyFont="1" applyFill="1" applyBorder="1" applyAlignment="1" applyProtection="1">
      <alignment horizontal="center"/>
    </xf>
    <xf numFmtId="168" fontId="3" fillId="9" borderId="8" xfId="0" applyNumberFormat="1" applyFont="1" applyFill="1" applyBorder="1" applyAlignment="1" applyProtection="1">
      <alignment horizontal="center"/>
    </xf>
    <xf numFmtId="168" fontId="3" fillId="9" borderId="9" xfId="0" applyNumberFormat="1" applyFont="1" applyFill="1" applyBorder="1" applyAlignment="1" applyProtection="1">
      <alignment horizontal="center"/>
    </xf>
    <xf numFmtId="168" fontId="3" fillId="9" borderId="10" xfId="0" applyNumberFormat="1" applyFont="1" applyFill="1" applyBorder="1" applyAlignment="1" applyProtection="1">
      <alignment horizontal="center"/>
    </xf>
    <xf numFmtId="168" fontId="3" fillId="9" borderId="11" xfId="0" applyNumberFormat="1" applyFont="1" applyFill="1" applyBorder="1" applyAlignment="1" applyProtection="1">
      <alignment horizontal="center"/>
    </xf>
    <xf numFmtId="168" fontId="3" fillId="9" borderId="12" xfId="0" applyNumberFormat="1" applyFont="1" applyFill="1" applyBorder="1" applyAlignment="1" applyProtection="1">
      <alignment horizontal="center"/>
    </xf>
    <xf numFmtId="168" fontId="3" fillId="9" borderId="13" xfId="0" applyNumberFormat="1" applyFont="1" applyFill="1" applyBorder="1" applyAlignment="1" applyProtection="1">
      <alignment horizontal="center"/>
    </xf>
    <xf numFmtId="168" fontId="3" fillId="9" borderId="14" xfId="0" applyNumberFormat="1" applyFont="1" applyFill="1" applyBorder="1" applyAlignment="1" applyProtection="1">
      <alignment horizontal="center"/>
    </xf>
    <xf numFmtId="168" fontId="3" fillId="9" borderId="15" xfId="0" applyNumberFormat="1" applyFont="1" applyFill="1" applyBorder="1" applyAlignment="1" applyProtection="1">
      <alignment horizontal="center"/>
    </xf>
    <xf numFmtId="168" fontId="3" fillId="9" borderId="16" xfId="0" applyNumberFormat="1" applyFont="1" applyFill="1" applyBorder="1" applyAlignment="1" applyProtection="1">
      <alignment horizontal="center"/>
    </xf>
    <xf numFmtId="0" fontId="10" fillId="0" borderId="1" xfId="0" applyFont="1" applyFill="1" applyBorder="1" applyAlignment="1" applyProtection="1">
      <alignment horizontal="left"/>
    </xf>
    <xf numFmtId="168" fontId="3" fillId="4" borderId="1" xfId="0" applyNumberFormat="1" applyFont="1" applyFill="1" applyBorder="1" applyAlignment="1" applyProtection="1">
      <alignment horizontal="center"/>
    </xf>
    <xf numFmtId="0" fontId="3" fillId="0" borderId="0" xfId="0" applyFont="1"/>
    <xf numFmtId="0" fontId="10" fillId="0" borderId="7" xfId="0" applyFont="1" applyFill="1" applyBorder="1"/>
    <xf numFmtId="0" fontId="8" fillId="0" borderId="7" xfId="0" applyFont="1" applyFill="1" applyBorder="1" applyAlignment="1" applyProtection="1">
      <alignment horizontal="center"/>
    </xf>
    <xf numFmtId="167" fontId="10" fillId="0" borderId="7" xfId="0" applyNumberFormat="1" applyFont="1" applyFill="1" applyBorder="1" applyAlignment="1">
      <alignment horizontal="center"/>
    </xf>
    <xf numFmtId="0" fontId="14" fillId="0" borderId="7" xfId="0" applyFont="1" applyFill="1" applyBorder="1"/>
    <xf numFmtId="0" fontId="4" fillId="0" borderId="7" xfId="0" applyFont="1" applyFill="1" applyBorder="1"/>
    <xf numFmtId="0" fontId="4" fillId="3" borderId="7" xfId="0" applyFont="1" applyFill="1" applyBorder="1" applyAlignment="1">
      <alignment horizontal="center"/>
    </xf>
    <xf numFmtId="0" fontId="4" fillId="3" borderId="7" xfId="0" applyFont="1" applyFill="1" applyBorder="1" applyAlignment="1" applyProtection="1">
      <alignment horizontal="center"/>
    </xf>
    <xf numFmtId="169" fontId="4" fillId="3" borderId="7" xfId="0" applyNumberFormat="1" applyFont="1" applyFill="1" applyBorder="1" applyAlignment="1" applyProtection="1">
      <alignment horizontal="center"/>
    </xf>
    <xf numFmtId="0" fontId="3" fillId="3" borderId="7" xfId="0" applyFont="1" applyFill="1" applyBorder="1" applyAlignment="1">
      <alignment horizontal="center"/>
    </xf>
    <xf numFmtId="168" fontId="3" fillId="3" borderId="7" xfId="0" applyNumberFormat="1" applyFont="1" applyFill="1" applyBorder="1" applyAlignment="1" applyProtection="1">
      <alignment horizontal="center"/>
    </xf>
    <xf numFmtId="168" fontId="3" fillId="3" borderId="17" xfId="0" applyNumberFormat="1" applyFont="1" applyFill="1" applyBorder="1" applyAlignment="1" applyProtection="1">
      <alignment horizontal="center"/>
    </xf>
    <xf numFmtId="0" fontId="3" fillId="0" borderId="18" xfId="0" applyFont="1" applyBorder="1" applyAlignment="1">
      <alignment horizontal="center"/>
    </xf>
    <xf numFmtId="0" fontId="3" fillId="0" borderId="7" xfId="0" applyFont="1" applyBorder="1" applyAlignment="1">
      <alignment horizontal="center"/>
    </xf>
    <xf numFmtId="0" fontId="3" fillId="0" borderId="7" xfId="0" applyFont="1" applyBorder="1"/>
    <xf numFmtId="0" fontId="10" fillId="0" borderId="19" xfId="0" applyFont="1" applyFill="1" applyBorder="1"/>
    <xf numFmtId="0" fontId="3" fillId="0" borderId="19" xfId="0" applyFont="1" applyFill="1" applyBorder="1" applyAlignment="1">
      <alignment horizontal="center"/>
    </xf>
    <xf numFmtId="0" fontId="8" fillId="0" borderId="19" xfId="0" applyFont="1" applyBorder="1"/>
    <xf numFmtId="0" fontId="4" fillId="0" borderId="19" xfId="0" applyFont="1" applyFill="1" applyBorder="1" applyAlignment="1">
      <alignment horizontal="center"/>
    </xf>
    <xf numFmtId="0" fontId="4" fillId="6" borderId="19" xfId="0" applyFont="1" applyFill="1" applyBorder="1" applyAlignment="1">
      <alignment horizontal="left"/>
    </xf>
    <xf numFmtId="0" fontId="5" fillId="6" borderId="19" xfId="0" applyFont="1" applyFill="1" applyBorder="1" applyAlignment="1" applyProtection="1">
      <alignment horizontal="center"/>
    </xf>
    <xf numFmtId="169" fontId="4" fillId="6" borderId="19" xfId="0" applyNumberFormat="1" applyFont="1" applyFill="1" applyBorder="1" applyAlignment="1" applyProtection="1">
      <alignment horizontal="center"/>
    </xf>
    <xf numFmtId="0" fontId="4" fillId="6" borderId="19" xfId="0" applyFont="1" applyFill="1" applyBorder="1" applyAlignment="1">
      <alignment horizontal="center"/>
    </xf>
    <xf numFmtId="0" fontId="3" fillId="6" borderId="19" xfId="0" applyFont="1" applyFill="1" applyBorder="1" applyAlignment="1">
      <alignment horizontal="center"/>
    </xf>
    <xf numFmtId="168" fontId="3" fillId="6" borderId="19" xfId="0" applyNumberFormat="1" applyFont="1" applyFill="1" applyBorder="1" applyAlignment="1" applyProtection="1">
      <alignment horizontal="center"/>
    </xf>
    <xf numFmtId="168" fontId="3" fillId="6" borderId="19" xfId="0" applyNumberFormat="1" applyFont="1" applyFill="1" applyBorder="1" applyProtection="1"/>
    <xf numFmtId="168" fontId="3" fillId="6" borderId="20" xfId="0" applyNumberFormat="1" applyFont="1" applyFill="1" applyBorder="1" applyProtection="1"/>
    <xf numFmtId="0" fontId="3" fillId="0" borderId="21" xfId="0" applyFont="1" applyBorder="1"/>
    <xf numFmtId="0" fontId="3" fillId="0" borderId="19" xfId="0" applyFont="1" applyBorder="1"/>
    <xf numFmtId="0" fontId="3" fillId="0" borderId="19" xfId="0" applyFont="1" applyBorder="1" applyAlignment="1">
      <alignment horizontal="center"/>
    </xf>
    <xf numFmtId="0" fontId="3" fillId="0" borderId="7" xfId="0" applyFont="1" applyFill="1" applyBorder="1"/>
    <xf numFmtId="0" fontId="8" fillId="0" borderId="7" xfId="0" applyFont="1" applyBorder="1"/>
    <xf numFmtId="0" fontId="4" fillId="6" borderId="7" xfId="0" applyFont="1" applyFill="1" applyBorder="1" applyAlignment="1">
      <alignment horizontal="left"/>
    </xf>
    <xf numFmtId="0" fontId="4" fillId="6" borderId="7" xfId="0" applyFont="1" applyFill="1" applyBorder="1" applyAlignment="1" applyProtection="1">
      <alignment horizontal="center"/>
    </xf>
    <xf numFmtId="169" fontId="4" fillId="6" borderId="7" xfId="0" applyNumberFormat="1" applyFont="1" applyFill="1" applyBorder="1" applyAlignment="1" applyProtection="1">
      <alignment horizontal="center"/>
    </xf>
    <xf numFmtId="0" fontId="4" fillId="6" borderId="7" xfId="0" applyFont="1" applyFill="1" applyBorder="1" applyAlignment="1">
      <alignment horizontal="center"/>
    </xf>
    <xf numFmtId="0" fontId="3" fillId="6" borderId="7" xfId="0" applyFont="1" applyFill="1" applyBorder="1" applyAlignment="1">
      <alignment horizontal="center"/>
    </xf>
    <xf numFmtId="168" fontId="3" fillId="6" borderId="7" xfId="0" applyNumberFormat="1" applyFont="1" applyFill="1" applyBorder="1" applyAlignment="1" applyProtection="1">
      <alignment horizontal="center"/>
    </xf>
    <xf numFmtId="168" fontId="3" fillId="6" borderId="7" xfId="0" applyNumberFormat="1" applyFont="1" applyFill="1" applyBorder="1" applyProtection="1"/>
    <xf numFmtId="168" fontId="3" fillId="6" borderId="17" xfId="0" applyNumberFormat="1" applyFont="1" applyFill="1" applyBorder="1" applyProtection="1"/>
    <xf numFmtId="0" fontId="3" fillId="0" borderId="18" xfId="0" applyFont="1" applyBorder="1"/>
    <xf numFmtId="0" fontId="3" fillId="0" borderId="19" xfId="0" applyFont="1" applyFill="1" applyBorder="1"/>
    <xf numFmtId="0" fontId="4" fillId="0" borderId="19" xfId="0" applyFont="1" applyFill="1" applyBorder="1"/>
    <xf numFmtId="0" fontId="4" fillId="7" borderId="19" xfId="0" applyFont="1" applyFill="1" applyBorder="1" applyAlignment="1">
      <alignment horizontal="left"/>
    </xf>
    <xf numFmtId="0" fontId="5" fillId="7" borderId="19" xfId="0" applyFont="1" applyFill="1" applyBorder="1" applyAlignment="1" applyProtection="1">
      <alignment horizontal="center"/>
    </xf>
    <xf numFmtId="0" fontId="4" fillId="7" borderId="19" xfId="0" applyFont="1" applyFill="1" applyBorder="1" applyAlignment="1">
      <alignment horizontal="center"/>
    </xf>
    <xf numFmtId="0" fontId="3" fillId="7" borderId="19" xfId="0" applyFont="1" applyFill="1" applyBorder="1" applyAlignment="1">
      <alignment horizontal="center"/>
    </xf>
    <xf numFmtId="168" fontId="3" fillId="7" borderId="19" xfId="0" applyNumberFormat="1" applyFont="1" applyFill="1" applyBorder="1" applyAlignment="1" applyProtection="1">
      <alignment horizontal="center"/>
    </xf>
    <xf numFmtId="168" fontId="3" fillId="7" borderId="19" xfId="0" applyNumberFormat="1" applyFont="1" applyFill="1" applyBorder="1" applyProtection="1"/>
    <xf numFmtId="168" fontId="3" fillId="7" borderId="20" xfId="0" applyNumberFormat="1" applyFont="1" applyFill="1" applyBorder="1" applyProtection="1"/>
    <xf numFmtId="0" fontId="4" fillId="7" borderId="7" xfId="0" applyFont="1" applyFill="1" applyBorder="1" applyAlignment="1">
      <alignment horizontal="left"/>
    </xf>
    <xf numFmtId="0" fontId="4" fillId="7" borderId="7" xfId="0" applyFont="1" applyFill="1" applyBorder="1" applyAlignment="1" applyProtection="1">
      <alignment horizontal="center"/>
    </xf>
    <xf numFmtId="169" fontId="4" fillId="7" borderId="7" xfId="0" applyNumberFormat="1" applyFont="1" applyFill="1" applyBorder="1" applyAlignment="1" applyProtection="1">
      <alignment horizontal="center"/>
    </xf>
    <xf numFmtId="0" fontId="4" fillId="7" borderId="7" xfId="0" applyFont="1" applyFill="1" applyBorder="1" applyAlignment="1">
      <alignment horizontal="center"/>
    </xf>
    <xf numFmtId="0" fontId="3" fillId="7" borderId="7" xfId="0" applyFont="1" applyFill="1" applyBorder="1" applyAlignment="1">
      <alignment horizontal="center"/>
    </xf>
    <xf numFmtId="168" fontId="3" fillId="7" borderId="7" xfId="0" applyNumberFormat="1" applyFont="1" applyFill="1" applyBorder="1" applyAlignment="1" applyProtection="1">
      <alignment horizontal="center"/>
    </xf>
    <xf numFmtId="168" fontId="3" fillId="7" borderId="7" xfId="0" applyNumberFormat="1" applyFont="1" applyFill="1" applyBorder="1" applyProtection="1"/>
    <xf numFmtId="168" fontId="3" fillId="7" borderId="17" xfId="0" applyNumberFormat="1" applyFont="1" applyFill="1" applyBorder="1" applyProtection="1"/>
    <xf numFmtId="0" fontId="4" fillId="5" borderId="19" xfId="0" applyFont="1" applyFill="1" applyBorder="1" applyAlignment="1">
      <alignment horizontal="left"/>
    </xf>
    <xf numFmtId="0" fontId="5" fillId="5" borderId="19" xfId="0" applyFont="1" applyFill="1" applyBorder="1" applyAlignment="1" applyProtection="1">
      <alignment horizontal="center"/>
    </xf>
    <xf numFmtId="167" fontId="4" fillId="5" borderId="19" xfId="0" applyNumberFormat="1" applyFont="1" applyFill="1" applyBorder="1" applyAlignment="1" applyProtection="1">
      <alignment horizontal="center"/>
    </xf>
    <xf numFmtId="0" fontId="4" fillId="5" borderId="19" xfId="0" applyFont="1" applyFill="1" applyBorder="1" applyAlignment="1">
      <alignment horizontal="center"/>
    </xf>
    <xf numFmtId="0" fontId="3" fillId="5" borderId="19" xfId="0" applyFont="1" applyFill="1" applyBorder="1" applyAlignment="1">
      <alignment horizontal="center"/>
    </xf>
    <xf numFmtId="168" fontId="3" fillId="5" borderId="19" xfId="0" applyNumberFormat="1" applyFont="1" applyFill="1" applyBorder="1" applyAlignment="1" applyProtection="1">
      <alignment horizontal="center"/>
    </xf>
    <xf numFmtId="167" fontId="3" fillId="5" borderId="19" xfId="0" applyNumberFormat="1" applyFont="1" applyFill="1" applyBorder="1" applyAlignment="1" applyProtection="1">
      <alignment horizontal="center"/>
    </xf>
    <xf numFmtId="167" fontId="3" fillId="5" borderId="19" xfId="0" applyNumberFormat="1" applyFont="1" applyFill="1" applyBorder="1" applyProtection="1"/>
    <xf numFmtId="167" fontId="3" fillId="5" borderId="20" xfId="0" applyNumberFormat="1" applyFont="1" applyFill="1" applyBorder="1" applyProtection="1"/>
    <xf numFmtId="167" fontId="3" fillId="9" borderId="1" xfId="0" applyNumberFormat="1" applyFont="1" applyFill="1" applyBorder="1" applyAlignment="1" applyProtection="1">
      <alignment horizontal="center"/>
    </xf>
    <xf numFmtId="167" fontId="3" fillId="9" borderId="1" xfId="0" applyNumberFormat="1" applyFont="1" applyFill="1" applyBorder="1" applyProtection="1"/>
    <xf numFmtId="167" fontId="3" fillId="9" borderId="3" xfId="0" applyNumberFormat="1" applyFont="1" applyFill="1" applyBorder="1" applyProtection="1"/>
    <xf numFmtId="167" fontId="3" fillId="9" borderId="2" xfId="0" applyNumberFormat="1" applyFont="1" applyFill="1" applyBorder="1" applyAlignment="1" applyProtection="1">
      <alignment horizontal="center"/>
    </xf>
    <xf numFmtId="0" fontId="3" fillId="4" borderId="3" xfId="0" applyFont="1" applyFill="1" applyBorder="1" applyAlignment="1">
      <alignment horizontal="center"/>
    </xf>
    <xf numFmtId="173" fontId="4" fillId="7" borderId="19" xfId="0" applyNumberFormat="1" applyFont="1" applyFill="1" applyBorder="1" applyAlignment="1" applyProtection="1">
      <alignment horizontal="center"/>
    </xf>
    <xf numFmtId="173" fontId="4" fillId="7" borderId="1" xfId="0" applyNumberFormat="1" applyFont="1" applyFill="1" applyBorder="1" applyAlignment="1" applyProtection="1">
      <alignment horizontal="center"/>
    </xf>
    <xf numFmtId="168" fontId="3" fillId="7" borderId="22" xfId="0" applyNumberFormat="1" applyFont="1" applyFill="1" applyBorder="1" applyAlignment="1" applyProtection="1">
      <alignment horizontal="center"/>
    </xf>
    <xf numFmtId="167" fontId="3" fillId="7" borderId="4" xfId="0" applyNumberFormat="1" applyFont="1" applyFill="1" applyBorder="1" applyAlignment="1" applyProtection="1">
      <alignment horizontal="center"/>
    </xf>
    <xf numFmtId="0" fontId="3" fillId="7" borderId="6" xfId="0" applyFont="1" applyFill="1" applyBorder="1" applyAlignment="1">
      <alignment horizontal="center"/>
    </xf>
    <xf numFmtId="168" fontId="3" fillId="7" borderId="2" xfId="0" applyNumberFormat="1" applyFont="1" applyFill="1" applyBorder="1" applyAlignment="1" applyProtection="1">
      <alignment horizontal="center"/>
    </xf>
    <xf numFmtId="167" fontId="3" fillId="7" borderId="1" xfId="0" applyNumberFormat="1" applyFont="1" applyFill="1" applyBorder="1" applyAlignment="1" applyProtection="1">
      <alignment horizontal="center"/>
    </xf>
    <xf numFmtId="0" fontId="4" fillId="4" borderId="1" xfId="0" applyFont="1" applyFill="1" applyBorder="1" applyAlignment="1" applyProtection="1">
      <alignment horizontal="center"/>
    </xf>
    <xf numFmtId="3" fontId="3" fillId="0" borderId="23" xfId="0" applyNumberFormat="1" applyFont="1" applyFill="1" applyBorder="1" applyAlignment="1" applyProtection="1">
      <alignment horizontal="center"/>
    </xf>
    <xf numFmtId="0" fontId="3" fillId="10" borderId="1" xfId="0" applyFont="1" applyFill="1" applyBorder="1" applyAlignment="1">
      <alignment horizontal="center"/>
    </xf>
    <xf numFmtId="0" fontId="9" fillId="10" borderId="1" xfId="0" applyFont="1" applyFill="1" applyBorder="1" applyAlignment="1" applyProtection="1">
      <alignment horizontal="center"/>
    </xf>
    <xf numFmtId="0" fontId="8" fillId="10" borderId="1" xfId="0" applyFont="1" applyFill="1" applyBorder="1" applyAlignment="1" applyProtection="1">
      <alignment horizontal="center"/>
    </xf>
    <xf numFmtId="0" fontId="14" fillId="10" borderId="1" xfId="0" applyFont="1" applyFill="1" applyBorder="1"/>
    <xf numFmtId="0" fontId="10" fillId="10" borderId="1" xfId="0" applyFont="1" applyFill="1" applyBorder="1"/>
    <xf numFmtId="0" fontId="10" fillId="10" borderId="1" xfId="0" applyFont="1" applyFill="1" applyBorder="1" applyAlignment="1">
      <alignment horizontal="right"/>
    </xf>
    <xf numFmtId="171" fontId="14" fillId="10" borderId="1" xfId="0" applyNumberFormat="1" applyFont="1" applyFill="1" applyBorder="1"/>
    <xf numFmtId="0" fontId="15" fillId="10" borderId="1" xfId="0" applyFont="1" applyFill="1" applyBorder="1" applyAlignment="1" applyProtection="1">
      <alignment horizontal="center"/>
    </xf>
    <xf numFmtId="0" fontId="4" fillId="4" borderId="7" xfId="0" applyFont="1" applyFill="1" applyBorder="1" applyAlignment="1">
      <alignment horizontal="center"/>
    </xf>
    <xf numFmtId="0" fontId="5" fillId="4" borderId="4" xfId="0" applyFont="1" applyFill="1" applyBorder="1" applyAlignment="1" applyProtection="1">
      <alignment horizontal="center"/>
    </xf>
    <xf numFmtId="0" fontId="5" fillId="4" borderId="6" xfId="0" applyFont="1" applyFill="1" applyBorder="1" applyAlignment="1" applyProtection="1">
      <alignment horizontal="center"/>
    </xf>
    <xf numFmtId="0" fontId="3" fillId="4" borderId="24" xfId="0" applyFont="1" applyFill="1" applyBorder="1" applyAlignment="1">
      <alignment horizontal="center"/>
    </xf>
    <xf numFmtId="0" fontId="12" fillId="0" borderId="1" xfId="0" applyFont="1" applyFill="1" applyBorder="1"/>
    <xf numFmtId="0" fontId="12" fillId="0" borderId="1" xfId="0" applyFont="1" applyFill="1" applyBorder="1" applyAlignment="1">
      <alignment horizontal="right"/>
    </xf>
    <xf numFmtId="2" fontId="12" fillId="0" borderId="1" xfId="0" applyNumberFormat="1" applyFont="1" applyFill="1" applyBorder="1" applyAlignment="1">
      <alignment horizontal="right"/>
    </xf>
    <xf numFmtId="0" fontId="13" fillId="0" borderId="1" xfId="0" applyFont="1" applyFill="1" applyBorder="1" applyAlignment="1" applyProtection="1">
      <alignment horizontal="center"/>
    </xf>
    <xf numFmtId="0" fontId="13" fillId="0" borderId="0" xfId="0" applyFont="1" applyFill="1" applyBorder="1" applyAlignment="1" applyProtection="1">
      <alignment horizontal="center"/>
    </xf>
    <xf numFmtId="0" fontId="8" fillId="0" borderId="1" xfId="0" applyFont="1" applyFill="1" applyBorder="1"/>
    <xf numFmtId="0" fontId="13" fillId="0" borderId="1" xfId="0" applyFont="1" applyFill="1" applyBorder="1" applyAlignment="1" applyProtection="1">
      <alignment horizontal="right"/>
    </xf>
    <xf numFmtId="3" fontId="13" fillId="0" borderId="2" xfId="0" applyNumberFormat="1" applyFont="1" applyFill="1" applyBorder="1" applyAlignment="1" applyProtection="1">
      <alignment horizontal="right"/>
    </xf>
    <xf numFmtId="167" fontId="4" fillId="8" borderId="1" xfId="0" applyNumberFormat="1" applyFont="1" applyFill="1" applyBorder="1" applyAlignment="1" applyProtection="1">
      <alignment horizontal="center"/>
    </xf>
    <xf numFmtId="3" fontId="5" fillId="0" borderId="5" xfId="0" applyNumberFormat="1" applyFont="1" applyFill="1" applyBorder="1" applyAlignment="1" applyProtection="1">
      <alignment horizontal="center"/>
    </xf>
    <xf numFmtId="168" fontId="7" fillId="4" borderId="1" xfId="0" applyNumberFormat="1" applyFont="1" applyFill="1" applyBorder="1" applyAlignment="1" applyProtection="1">
      <alignment horizontal="center"/>
    </xf>
    <xf numFmtId="0" fontId="3" fillId="11" borderId="30" xfId="0" applyFont="1" applyFill="1" applyBorder="1" applyAlignment="1">
      <alignment horizontal="center" vertical="center"/>
    </xf>
    <xf numFmtId="0" fontId="3" fillId="0" borderId="5"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21" fillId="11" borderId="30" xfId="0" applyFont="1" applyFill="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21" fillId="11" borderId="31" xfId="0" applyFont="1" applyFill="1" applyBorder="1" applyAlignment="1">
      <alignment horizontal="center" vertical="center"/>
    </xf>
    <xf numFmtId="0" fontId="21" fillId="11" borderId="32" xfId="0" applyFont="1" applyFill="1" applyBorder="1" applyAlignment="1">
      <alignment horizontal="center" vertical="center"/>
    </xf>
    <xf numFmtId="0" fontId="12" fillId="0" borderId="1" xfId="0" applyFont="1" applyFill="1" applyBorder="1" applyAlignment="1" applyProtection="1">
      <alignment horizontal="right"/>
    </xf>
    <xf numFmtId="171" fontId="12" fillId="0" borderId="1" xfId="0" applyNumberFormat="1" applyFont="1" applyFill="1" applyBorder="1" applyAlignment="1" applyProtection="1">
      <alignment horizontal="right"/>
    </xf>
    <xf numFmtId="0" fontId="12" fillId="0" borderId="1" xfId="0" applyFont="1" applyFill="1" applyBorder="1" applyAlignment="1">
      <alignment horizontal="center"/>
    </xf>
    <xf numFmtId="0" fontId="12" fillId="0" borderId="1" xfId="0" applyFont="1" applyFill="1" applyBorder="1" applyAlignment="1" applyProtection="1">
      <alignment horizontal="center"/>
    </xf>
    <xf numFmtId="2" fontId="12" fillId="0" borderId="6" xfId="0" applyNumberFormat="1" applyFont="1" applyFill="1" applyBorder="1" applyAlignment="1">
      <alignment horizontal="right"/>
    </xf>
    <xf numFmtId="0" fontId="13" fillId="0" borderId="7" xfId="0" applyFont="1" applyFill="1" applyBorder="1" applyAlignment="1" applyProtection="1">
      <alignment horizontal="right"/>
    </xf>
    <xf numFmtId="0" fontId="16" fillId="0" borderId="1" xfId="0" applyFont="1" applyFill="1" applyBorder="1" applyAlignment="1">
      <alignment horizontal="center"/>
    </xf>
    <xf numFmtId="2" fontId="17" fillId="0" borderId="1" xfId="0" applyNumberFormat="1" applyFont="1" applyFill="1" applyBorder="1" applyAlignment="1">
      <alignment horizontal="center"/>
    </xf>
    <xf numFmtId="0" fontId="17" fillId="0" borderId="1" xfId="0" applyFont="1" applyFill="1" applyBorder="1" applyAlignment="1" applyProtection="1">
      <alignment horizontal="center"/>
    </xf>
    <xf numFmtId="2" fontId="17" fillId="0" borderId="1" xfId="0" applyNumberFormat="1" applyFont="1" applyFill="1" applyBorder="1" applyAlignment="1" applyProtection="1">
      <alignment horizontal="center"/>
    </xf>
    <xf numFmtId="0" fontId="4" fillId="0" borderId="1" xfId="0" applyFont="1" applyFill="1" applyBorder="1" applyAlignment="1">
      <alignment horizontal="center"/>
    </xf>
    <xf numFmtId="2" fontId="3" fillId="0" borderId="1" xfId="0" applyNumberFormat="1" applyFont="1" applyFill="1" applyBorder="1" applyAlignment="1" applyProtection="1">
      <alignment horizontal="center"/>
    </xf>
    <xf numFmtId="0" fontId="7" fillId="2" borderId="1" xfId="0" applyFont="1" applyFill="1" applyBorder="1" applyAlignment="1" applyProtection="1">
      <alignment horizontal="left"/>
    </xf>
    <xf numFmtId="0" fontId="7" fillId="2" borderId="1" xfId="0" applyFont="1" applyFill="1" applyBorder="1"/>
    <xf numFmtId="0" fontId="7" fillId="2" borderId="1" xfId="0" applyFont="1" applyFill="1" applyBorder="1" applyAlignment="1">
      <alignment horizontal="center"/>
    </xf>
    <xf numFmtId="0" fontId="7" fillId="0" borderId="1" xfId="0" applyFont="1" applyFill="1" applyBorder="1" applyAlignment="1">
      <alignment horizontal="center"/>
    </xf>
    <xf numFmtId="0" fontId="7" fillId="2" borderId="7" xfId="0" applyFont="1" applyFill="1" applyBorder="1"/>
    <xf numFmtId="0" fontId="7" fillId="2" borderId="19" xfId="0" applyFont="1" applyFill="1" applyBorder="1"/>
    <xf numFmtId="0" fontId="19" fillId="2" borderId="1" xfId="0" applyFont="1" applyFill="1" applyBorder="1" applyAlignment="1" applyProtection="1">
      <alignment horizontal="right"/>
    </xf>
    <xf numFmtId="0" fontId="4" fillId="2" borderId="1" xfId="0" applyFont="1" applyFill="1" applyBorder="1" applyAlignment="1" applyProtection="1">
      <alignment horizontal="left"/>
    </xf>
    <xf numFmtId="171" fontId="3" fillId="0" borderId="1" xfId="0" applyNumberFormat="1" applyFont="1" applyFill="1" applyBorder="1" applyAlignment="1" applyProtection="1">
      <alignment horizontal="center"/>
    </xf>
    <xf numFmtId="170" fontId="3" fillId="0" borderId="1" xfId="0" applyNumberFormat="1" applyFont="1" applyFill="1" applyBorder="1" applyAlignment="1" applyProtection="1">
      <alignment horizontal="center"/>
    </xf>
    <xf numFmtId="168" fontId="14" fillId="10" borderId="1" xfId="0" applyNumberFormat="1" applyFont="1" applyFill="1" applyBorder="1"/>
    <xf numFmtId="171" fontId="3" fillId="0" borderId="0" xfId="0" applyNumberFormat="1" applyFont="1"/>
    <xf numFmtId="171" fontId="3" fillId="0" borderId="0" xfId="0" applyNumberFormat="1" applyFont="1" applyAlignment="1">
      <alignment horizontal="center"/>
    </xf>
    <xf numFmtId="0" fontId="3" fillId="0" borderId="0" xfId="0" applyFont="1" applyAlignment="1">
      <alignment horizontal="center"/>
    </xf>
    <xf numFmtId="0" fontId="11" fillId="0" borderId="0" xfId="0" applyFont="1"/>
    <xf numFmtId="171" fontId="11" fillId="0" borderId="0" xfId="0" applyNumberFormat="1" applyFont="1" applyAlignment="1">
      <alignment horizontal="left"/>
    </xf>
    <xf numFmtId="170" fontId="3" fillId="0" borderId="0" xfId="0" applyNumberFormat="1" applyFont="1" applyAlignment="1">
      <alignment horizontal="center"/>
    </xf>
    <xf numFmtId="0" fontId="11" fillId="0" borderId="0" xfId="0" applyFont="1" applyAlignment="1">
      <alignment horizontal="left"/>
    </xf>
    <xf numFmtId="171" fontId="22" fillId="0" borderId="0" xfId="0" applyNumberFormat="1" applyFont="1" applyAlignment="1">
      <alignment horizontal="center"/>
    </xf>
    <xf numFmtId="0" fontId="20" fillId="0" borderId="0" xfId="0" applyFont="1"/>
    <xf numFmtId="171" fontId="20" fillId="0" borderId="0" xfId="0" applyNumberFormat="1" applyFont="1" applyAlignment="1">
      <alignment horizontal="center"/>
    </xf>
    <xf numFmtId="168" fontId="10" fillId="10" borderId="1" xfId="0" applyNumberFormat="1" applyFont="1" applyFill="1" applyBorder="1" applyAlignment="1">
      <alignment horizontal="right"/>
    </xf>
    <xf numFmtId="169" fontId="4" fillId="2" borderId="1" xfId="0" applyNumberFormat="1" applyFont="1" applyFill="1" applyBorder="1" applyAlignment="1" applyProtection="1">
      <alignment horizontal="center"/>
    </xf>
    <xf numFmtId="169" fontId="5" fillId="2" borderId="1" xfId="0" applyNumberFormat="1" applyFont="1" applyFill="1" applyBorder="1" applyAlignment="1" applyProtection="1">
      <alignment horizontal="center"/>
    </xf>
    <xf numFmtId="168" fontId="4" fillId="3" borderId="1" xfId="0" applyNumberFormat="1" applyFont="1" applyFill="1" applyBorder="1" applyAlignment="1" applyProtection="1">
      <alignment horizontal="center"/>
    </xf>
    <xf numFmtId="168" fontId="5" fillId="3" borderId="1" xfId="0" applyNumberFormat="1" applyFont="1" applyFill="1" applyBorder="1" applyAlignment="1" applyProtection="1">
      <alignment horizontal="center"/>
    </xf>
    <xf numFmtId="11" fontId="14" fillId="10" borderId="1" xfId="0" applyNumberFormat="1" applyFont="1" applyFill="1" applyBorder="1"/>
    <xf numFmtId="167" fontId="22" fillId="9" borderId="1" xfId="0" applyNumberFormat="1" applyFont="1" applyFill="1" applyBorder="1" applyAlignment="1" applyProtection="1">
      <alignment horizontal="left"/>
    </xf>
    <xf numFmtId="2" fontId="22" fillId="0" borderId="28" xfId="0" applyNumberFormat="1" applyFont="1" applyBorder="1" applyAlignment="1">
      <alignment horizontal="center" vertical="center"/>
    </xf>
    <xf numFmtId="2" fontId="22" fillId="0" borderId="25" xfId="0" applyNumberFormat="1" applyFont="1" applyBorder="1" applyAlignment="1">
      <alignment horizontal="center" vertical="center"/>
    </xf>
    <xf numFmtId="0" fontId="21" fillId="0" borderId="30" xfId="0" applyFont="1" applyFill="1" applyBorder="1" applyAlignment="1">
      <alignment horizontal="center" vertical="center"/>
    </xf>
    <xf numFmtId="0" fontId="3" fillId="0" borderId="27" xfId="0" applyFont="1" applyFill="1" applyBorder="1" applyAlignment="1">
      <alignment horizontal="center" vertical="center"/>
    </xf>
    <xf numFmtId="2" fontId="22" fillId="0" borderId="28" xfId="0" applyNumberFormat="1" applyFont="1" applyFill="1" applyBorder="1" applyAlignment="1">
      <alignment horizontal="center" vertical="center"/>
    </xf>
    <xf numFmtId="0" fontId="3" fillId="0" borderId="28" xfId="0" applyFont="1" applyFill="1" applyBorder="1" applyAlignment="1">
      <alignment horizontal="center" vertical="center"/>
    </xf>
    <xf numFmtId="0" fontId="3" fillId="0" borderId="29" xfId="0" applyFont="1" applyFill="1" applyBorder="1" applyAlignment="1">
      <alignment horizontal="center" vertical="center"/>
    </xf>
    <xf numFmtId="167" fontId="3" fillId="0" borderId="4" xfId="0" applyNumberFormat="1" applyFont="1" applyFill="1" applyBorder="1" applyAlignment="1" applyProtection="1">
      <alignment horizontal="center"/>
    </xf>
    <xf numFmtId="168" fontId="3" fillId="0" borderId="1" xfId="0" applyNumberFormat="1" applyFont="1" applyFill="1" applyBorder="1" applyAlignment="1" applyProtection="1">
      <alignment horizontal="center"/>
    </xf>
    <xf numFmtId="168" fontId="3" fillId="0" borderId="12" xfId="0" applyNumberFormat="1" applyFont="1" applyFill="1" applyBorder="1" applyAlignment="1" applyProtection="1">
      <alignment horizontal="center"/>
    </xf>
    <xf numFmtId="168" fontId="3" fillId="0" borderId="8" xfId="0" applyNumberFormat="1" applyFont="1" applyFill="1" applyBorder="1" applyAlignment="1" applyProtection="1">
      <alignment horizontal="center"/>
    </xf>
    <xf numFmtId="168" fontId="3" fillId="0" borderId="13" xfId="0" applyNumberFormat="1" applyFont="1" applyFill="1" applyBorder="1" applyAlignment="1" applyProtection="1">
      <alignment horizontal="center"/>
    </xf>
    <xf numFmtId="168" fontId="3" fillId="0" borderId="4" xfId="0" applyNumberFormat="1" applyFont="1" applyFill="1" applyBorder="1" applyAlignment="1" applyProtection="1">
      <alignment horizontal="center"/>
    </xf>
    <xf numFmtId="168" fontId="3" fillId="0" borderId="7" xfId="0" applyNumberFormat="1" applyFont="1" applyFill="1" applyBorder="1" applyAlignment="1" applyProtection="1">
      <alignment horizontal="center"/>
    </xf>
    <xf numFmtId="168" fontId="3" fillId="0" borderId="19" xfId="0" applyNumberFormat="1" applyFont="1" applyFill="1" applyBorder="1" applyAlignment="1" applyProtection="1">
      <alignment horizontal="center"/>
    </xf>
    <xf numFmtId="168" fontId="3" fillId="0" borderId="22" xfId="0" applyNumberFormat="1" applyFont="1" applyFill="1" applyBorder="1" applyAlignment="1" applyProtection="1">
      <alignment horizontal="center"/>
    </xf>
    <xf numFmtId="168" fontId="3" fillId="0" borderId="1" xfId="0" applyNumberFormat="1" applyFont="1" applyFill="1" applyBorder="1" applyAlignment="1">
      <alignment horizontal="center"/>
    </xf>
    <xf numFmtId="167" fontId="3" fillId="12" borderId="1" xfId="0" applyNumberFormat="1" applyFont="1" applyFill="1" applyBorder="1" applyAlignment="1" applyProtection="1">
      <alignment horizontal="center"/>
    </xf>
    <xf numFmtId="172" fontId="3" fillId="12" borderId="1" xfId="0" applyNumberFormat="1" applyFont="1" applyFill="1" applyBorder="1" applyAlignment="1" applyProtection="1">
      <alignment horizontal="center"/>
    </xf>
    <xf numFmtId="167" fontId="3" fillId="12" borderId="7" xfId="0" applyNumberFormat="1" applyFont="1" applyFill="1" applyBorder="1" applyAlignment="1" applyProtection="1">
      <alignment horizontal="center"/>
    </xf>
    <xf numFmtId="2" fontId="22" fillId="13" borderId="28" xfId="0" applyNumberFormat="1" applyFont="1" applyFill="1" applyBorder="1" applyAlignment="1">
      <alignment horizontal="center" vertical="center"/>
    </xf>
    <xf numFmtId="167" fontId="3" fillId="14" borderId="4" xfId="0" applyNumberFormat="1" applyFont="1" applyFill="1" applyBorder="1" applyAlignment="1" applyProtection="1">
      <alignment horizontal="center"/>
    </xf>
    <xf numFmtId="167" fontId="3" fillId="14" borderId="1" xfId="0" applyNumberFormat="1" applyFont="1" applyFill="1" applyBorder="1" applyAlignment="1" applyProtection="1">
      <alignment horizontal="center"/>
    </xf>
    <xf numFmtId="168" fontId="3" fillId="14" borderId="1" xfId="0" applyNumberFormat="1" applyFont="1" applyFill="1" applyBorder="1" applyAlignment="1" applyProtection="1">
      <alignment horizontal="center"/>
    </xf>
    <xf numFmtId="171" fontId="3" fillId="14" borderId="1" xfId="0" applyNumberFormat="1" applyFont="1" applyFill="1" applyBorder="1" applyAlignment="1" applyProtection="1">
      <alignment horizontal="center"/>
    </xf>
    <xf numFmtId="2" fontId="3" fillId="14" borderId="1" xfId="0" applyNumberFormat="1" applyFont="1" applyFill="1" applyBorder="1" applyAlignment="1" applyProtection="1">
      <alignment horizontal="center"/>
    </xf>
    <xf numFmtId="1" fontId="3" fillId="14" borderId="1" xfId="0" applyNumberFormat="1" applyFont="1" applyFill="1" applyBorder="1" applyAlignment="1" applyProtection="1">
      <alignment horizontal="center"/>
    </xf>
    <xf numFmtId="172" fontId="14" fillId="10" borderId="1" xfId="0" applyNumberFormat="1" applyFont="1" applyFill="1" applyBorder="1"/>
    <xf numFmtId="169" fontId="14" fillId="10" borderId="1" xfId="0" applyNumberFormat="1" applyFont="1" applyFill="1" applyBorder="1"/>
    <xf numFmtId="0" fontId="11" fillId="0" borderId="27" xfId="0" applyFont="1" applyBorder="1" applyAlignment="1">
      <alignment horizontal="center" vertical="center"/>
    </xf>
    <xf numFmtId="2" fontId="7" fillId="2" borderId="1" xfId="0" applyNumberFormat="1" applyFont="1" applyFill="1" applyBorder="1" applyAlignment="1">
      <alignment horizontal="center"/>
    </xf>
    <xf numFmtId="174" fontId="7" fillId="2" borderId="1" xfId="0" applyNumberFormat="1" applyFont="1" applyFill="1" applyBorder="1" applyAlignment="1">
      <alignment horizontal="center"/>
    </xf>
    <xf numFmtId="0" fontId="11" fillId="15" borderId="0" xfId="0" applyFont="1" applyFill="1"/>
    <xf numFmtId="0" fontId="3" fillId="15" borderId="0" xfId="0" applyFont="1" applyFill="1"/>
    <xf numFmtId="1" fontId="7" fillId="2" borderId="1" xfId="0" applyNumberFormat="1" applyFont="1" applyFill="1" applyBorder="1" applyAlignment="1">
      <alignment horizontal="center"/>
    </xf>
  </cellXfs>
  <cellStyles count="5">
    <cellStyle name="Date" xfId="1" xr:uid="{00000000-0005-0000-0000-000000000000}"/>
    <cellStyle name="Fixed" xfId="2" xr:uid="{00000000-0005-0000-0000-000001000000}"/>
    <cellStyle name="Heading1" xfId="3" xr:uid="{00000000-0005-0000-0000-000002000000}"/>
    <cellStyle name="Heading2" xfId="4" xr:uid="{00000000-0005-0000-0000-000003000000}"/>
    <cellStyle name="Normal" xfId="0" builtinId="0"/>
  </cellStyles>
  <dxfs count="1">
    <dxf>
      <font>
        <b/>
        <i val="0"/>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1EA88"/>
      <color rgb="FFF1E6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CA"/>
              <a:t>P:B CV vs. wt%</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6.3187925845796054E-3"/>
                  <c:y val="0.5715288316233198"/>
                </c:manualLayout>
              </c:layout>
              <c:numFmt formatCode="General" sourceLinked="0"/>
              <c:spPr>
                <a:noFill/>
                <a:ln w="25400">
                  <a:noFill/>
                </a:ln>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xVal>
            <c:numRef>
              <c:f>CompareResults!$B$13:$L$13</c:f>
              <c:numCache>
                <c:formatCode>0.000</c:formatCode>
                <c:ptCount val="9"/>
                <c:pt idx="0">
                  <c:v>72.316005065747419</c:v>
                </c:pt>
                <c:pt idx="1">
                  <c:v>0.42878841622857211</c:v>
                </c:pt>
                <c:pt idx="2">
                  <c:v>11.39971507723212</c:v>
                </c:pt>
                <c:pt idx="3">
                  <c:v>0.13399770398659247</c:v>
                </c:pt>
                <c:pt idx="4">
                  <c:v>3.6089030703537208</c:v>
                </c:pt>
                <c:pt idx="5">
                  <c:v>1.2660760310736674</c:v>
                </c:pt>
                <c:pt idx="6">
                  <c:v>0.6042207773948377</c:v>
                </c:pt>
                <c:pt idx="7">
                  <c:v>1.080183867855864</c:v>
                </c:pt>
                <c:pt idx="8">
                  <c:v>7.3182275633627913</c:v>
                </c:pt>
              </c:numCache>
            </c:numRef>
          </c:xVal>
          <c:yVal>
            <c:numRef>
              <c:f>CompareResults!$B$17:$Q$17</c:f>
              <c:numCache>
                <c:formatCode>0.000</c:formatCode>
                <c:ptCount val="14"/>
                <c:pt idx="0">
                  <c:v>1.2119367055648402</c:v>
                </c:pt>
                <c:pt idx="1">
                  <c:v>1.0019132826081341</c:v>
                </c:pt>
                <c:pt idx="2">
                  <c:v>1.1589962774778928</c:v>
                </c:pt>
                <c:pt idx="3">
                  <c:v>1.0005012646476115</c:v>
                </c:pt>
                <c:pt idx="4">
                  <c:v>1.0599966275577084</c:v>
                </c:pt>
                <c:pt idx="5">
                  <c:v>1.0599602092543052</c:v>
                </c:pt>
                <c:pt idx="6">
                  <c:v>1.0206213398599677</c:v>
                </c:pt>
                <c:pt idx="7">
                  <c:v>1.0569041162990731</c:v>
                </c:pt>
                <c:pt idx="8">
                  <c:v>1.2049735417823002</c:v>
                </c:pt>
                <c:pt idx="10">
                  <c:v>1.0599580069708991</c:v>
                </c:pt>
                <c:pt idx="11">
                  <c:v>1.0001058950423902</c:v>
                </c:pt>
                <c:pt idx="12">
                  <c:v>1.0005012646381417</c:v>
                </c:pt>
                <c:pt idx="13">
                  <c:v>1.0001009039340729</c:v>
                </c:pt>
              </c:numCache>
            </c:numRef>
          </c:yVal>
          <c:smooth val="0"/>
          <c:extLst>
            <c:ext xmlns:c16="http://schemas.microsoft.com/office/drawing/2014/chart" uri="{C3380CC4-5D6E-409C-BE32-E72D297353CC}">
              <c16:uniqueId val="{00000000-E2A2-491F-A9C1-BBDD11A17832}"/>
            </c:ext>
          </c:extLst>
        </c:ser>
        <c:dLbls>
          <c:showLegendKey val="0"/>
          <c:showVal val="0"/>
          <c:showCatName val="0"/>
          <c:showSerName val="0"/>
          <c:showPercent val="0"/>
          <c:showBubbleSize val="0"/>
        </c:dLbls>
        <c:axId val="449080312"/>
        <c:axId val="1"/>
      </c:scatterChart>
      <c:valAx>
        <c:axId val="449080312"/>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CA"/>
                  <a:t>Oxide concentration wt%</a:t>
                </a:r>
              </a:p>
            </c:rich>
          </c:tx>
          <c:overlay val="0"/>
          <c:spPr>
            <a:noFill/>
            <a:ln w="25400">
              <a:noFill/>
            </a:ln>
          </c:sp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18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max val="1.3"/>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CA"/>
                  <a:t>Ratio of Poisson CV to Binomial CV</a:t>
                </a:r>
              </a:p>
            </c:rich>
          </c:tx>
          <c:overlay val="0"/>
          <c:spPr>
            <a:noFill/>
            <a:ln w="25400">
              <a:noFill/>
            </a:ln>
          </c:sp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49080312"/>
        <c:crossesAt val="0.01"/>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88"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9091" cy="6277841"/>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3"/>
  <sheetViews>
    <sheetView zoomScale="97" zoomScaleNormal="97" workbookViewId="0">
      <selection activeCell="U15" sqref="U15"/>
    </sheetView>
  </sheetViews>
  <sheetFormatPr baseColWidth="10" defaultColWidth="8.85546875" defaultRowHeight="16"/>
  <cols>
    <col min="1" max="16384" width="8.85546875" style="138"/>
  </cols>
  <sheetData>
    <row r="1" spans="1:2">
      <c r="A1" s="138" t="s">
        <v>102</v>
      </c>
    </row>
    <row r="2" spans="1:2">
      <c r="B2" s="138" t="s">
        <v>106</v>
      </c>
    </row>
    <row r="3" spans="1:2">
      <c r="B3" s="138" t="s">
        <v>103</v>
      </c>
    </row>
    <row r="4" spans="1:2">
      <c r="B4" s="138" t="s">
        <v>104</v>
      </c>
    </row>
    <row r="6" spans="1:2">
      <c r="A6" s="138" t="s">
        <v>105</v>
      </c>
    </row>
    <row r="7" spans="1:2">
      <c r="B7" s="138" t="s">
        <v>108</v>
      </c>
    </row>
    <row r="8" spans="1:2" ht="18">
      <c r="B8" s="138" t="s">
        <v>113</v>
      </c>
    </row>
    <row r="9" spans="1:2">
      <c r="B9" s="138" t="s">
        <v>107</v>
      </c>
    </row>
    <row r="10" spans="1:2">
      <c r="B10" s="138" t="s">
        <v>109</v>
      </c>
    </row>
    <row r="11" spans="1:2">
      <c r="B11" s="138" t="s">
        <v>110</v>
      </c>
    </row>
    <row r="12" spans="1:2">
      <c r="B12" s="138" t="s">
        <v>111</v>
      </c>
    </row>
    <row r="13" spans="1:2">
      <c r="B13" s="138" t="s">
        <v>112</v>
      </c>
    </row>
    <row r="18" spans="1:31" s="278" customFormat="1">
      <c r="A18" s="324" t="s">
        <v>151</v>
      </c>
      <c r="B18" s="324"/>
      <c r="C18" s="324"/>
      <c r="D18" s="324"/>
      <c r="E18" s="324"/>
      <c r="F18" s="324"/>
      <c r="G18" s="324"/>
      <c r="H18" s="324"/>
      <c r="I18" s="324"/>
      <c r="J18" s="324"/>
      <c r="K18" s="324"/>
      <c r="L18" s="324"/>
      <c r="M18" s="324"/>
      <c r="N18" s="324"/>
      <c r="O18" s="324"/>
      <c r="P18" s="324"/>
      <c r="Q18" s="324"/>
      <c r="R18" s="324"/>
      <c r="S18" s="324"/>
      <c r="T18" s="324"/>
      <c r="U18" s="324"/>
      <c r="V18" s="324"/>
      <c r="W18" s="324"/>
      <c r="X18" s="324"/>
      <c r="Y18" s="324"/>
      <c r="Z18" s="324"/>
      <c r="AA18" s="324"/>
      <c r="AB18" s="324"/>
      <c r="AC18" s="324"/>
      <c r="AD18" s="324"/>
      <c r="AE18" s="324"/>
    </row>
    <row r="19" spans="1:31" s="278" customFormat="1">
      <c r="A19" s="324"/>
      <c r="B19" s="324" t="s">
        <v>159</v>
      </c>
      <c r="C19" s="324"/>
      <c r="D19" s="324"/>
      <c r="E19" s="324"/>
      <c r="F19" s="324"/>
      <c r="G19" s="324"/>
      <c r="H19" s="324"/>
      <c r="I19" s="324"/>
      <c r="J19" s="324"/>
      <c r="K19" s="324"/>
      <c r="L19" s="324"/>
      <c r="M19" s="324"/>
      <c r="N19" s="324"/>
      <c r="O19" s="324"/>
      <c r="P19" s="324"/>
      <c r="Q19" s="324"/>
      <c r="R19" s="324"/>
      <c r="S19" s="324"/>
      <c r="T19" s="324"/>
      <c r="U19" s="324"/>
      <c r="V19" s="324"/>
      <c r="W19" s="324"/>
      <c r="X19" s="324"/>
      <c r="Y19" s="324"/>
      <c r="Z19" s="324"/>
      <c r="AA19" s="324"/>
      <c r="AB19" s="324"/>
      <c r="AC19" s="324"/>
      <c r="AD19" s="324"/>
      <c r="AE19" s="324"/>
    </row>
    <row r="20" spans="1:31" s="278" customFormat="1">
      <c r="A20" s="324"/>
      <c r="B20" s="324" t="s">
        <v>153</v>
      </c>
      <c r="C20" s="324"/>
      <c r="D20" s="324"/>
      <c r="E20" s="324"/>
      <c r="F20" s="324"/>
      <c r="G20" s="324"/>
      <c r="H20" s="324"/>
      <c r="I20" s="324"/>
      <c r="J20" s="324"/>
      <c r="K20" s="324"/>
      <c r="L20" s="324"/>
      <c r="M20" s="324"/>
      <c r="N20" s="324"/>
      <c r="O20" s="324"/>
      <c r="P20" s="324"/>
      <c r="Q20" s="324"/>
      <c r="R20" s="324"/>
      <c r="S20" s="324"/>
      <c r="T20" s="324"/>
      <c r="U20" s="324"/>
      <c r="V20" s="324"/>
      <c r="W20" s="324"/>
      <c r="X20" s="324"/>
      <c r="Y20" s="324"/>
      <c r="Z20" s="324"/>
      <c r="AA20" s="324"/>
      <c r="AB20" s="324"/>
      <c r="AC20" s="324"/>
      <c r="AD20" s="324"/>
      <c r="AE20" s="324"/>
    </row>
    <row r="21" spans="1:31" s="278" customFormat="1">
      <c r="A21" s="324"/>
      <c r="B21" s="324" t="s">
        <v>152</v>
      </c>
      <c r="C21" s="324"/>
      <c r="D21" s="324"/>
      <c r="E21" s="324"/>
      <c r="F21" s="324"/>
      <c r="G21" s="324"/>
      <c r="H21" s="324"/>
      <c r="I21" s="324"/>
      <c r="J21" s="324"/>
      <c r="K21" s="324"/>
      <c r="L21" s="324"/>
      <c r="M21" s="324"/>
      <c r="N21" s="324"/>
      <c r="O21" s="324"/>
      <c r="P21" s="324"/>
      <c r="Q21" s="324"/>
      <c r="R21" s="324"/>
      <c r="S21" s="324"/>
      <c r="T21" s="324"/>
      <c r="U21" s="324"/>
      <c r="V21" s="324"/>
      <c r="W21" s="324"/>
      <c r="X21" s="324"/>
      <c r="Y21" s="324"/>
      <c r="Z21" s="324"/>
      <c r="AA21" s="324"/>
      <c r="AB21" s="324"/>
      <c r="AC21" s="324"/>
      <c r="AD21" s="324"/>
      <c r="AE21" s="324"/>
    </row>
    <row r="22" spans="1:31">
      <c r="A22" s="325"/>
      <c r="B22" s="325"/>
      <c r="C22" s="325"/>
      <c r="D22" s="325"/>
      <c r="E22" s="325"/>
      <c r="F22" s="325"/>
      <c r="G22" s="325"/>
      <c r="H22" s="325"/>
      <c r="I22" s="325"/>
      <c r="J22" s="325"/>
      <c r="K22" s="325"/>
      <c r="L22" s="325"/>
      <c r="M22" s="325"/>
      <c r="N22" s="325"/>
      <c r="O22" s="325"/>
      <c r="P22" s="325"/>
      <c r="Q22" s="325"/>
      <c r="R22" s="325"/>
      <c r="S22" s="325"/>
      <c r="T22" s="325"/>
      <c r="U22" s="325"/>
      <c r="V22" s="325"/>
      <c r="W22" s="325"/>
      <c r="X22" s="325"/>
      <c r="Y22" s="325"/>
      <c r="Z22" s="325"/>
      <c r="AA22" s="325"/>
      <c r="AB22" s="325"/>
      <c r="AC22" s="325"/>
      <c r="AD22" s="325"/>
      <c r="AE22" s="325"/>
    </row>
    <row r="23" spans="1:31" s="278" customFormat="1">
      <c r="A23" s="324" t="s">
        <v>158</v>
      </c>
      <c r="B23" s="324"/>
      <c r="C23" s="324"/>
      <c r="D23" s="324"/>
      <c r="E23" s="324"/>
      <c r="F23" s="324"/>
      <c r="G23" s="324"/>
      <c r="H23" s="324"/>
      <c r="I23" s="324"/>
      <c r="J23" s="324"/>
      <c r="K23" s="324"/>
      <c r="L23" s="324"/>
      <c r="M23" s="324"/>
      <c r="N23" s="324"/>
      <c r="O23" s="324"/>
      <c r="P23" s="324"/>
      <c r="Q23" s="324"/>
      <c r="R23" s="324"/>
      <c r="S23" s="324"/>
      <c r="T23" s="324"/>
      <c r="U23" s="324"/>
      <c r="V23" s="324"/>
      <c r="W23" s="324"/>
      <c r="X23" s="324"/>
      <c r="Y23" s="324"/>
      <c r="Z23" s="324"/>
      <c r="AA23" s="324"/>
      <c r="AB23" s="324"/>
      <c r="AC23" s="324"/>
      <c r="AD23" s="324"/>
      <c r="AE23" s="324"/>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CU15" transitionEvaluation="1"/>
  <dimension ref="A1:DM153"/>
  <sheetViews>
    <sheetView showGridLines="0" tabSelected="1" zoomScale="90" zoomScaleNormal="75" workbookViewId="0">
      <pane xSplit="1" ySplit="13" topLeftCell="B14" activePane="bottomRight" state="frozen"/>
      <selection pane="topRight" activeCell="B1" sqref="B1"/>
      <selection pane="bottomLeft" activeCell="A9" sqref="A9"/>
      <selection pane="bottomRight" activeCell="AJ10" sqref="AJ10"/>
    </sheetView>
  </sheetViews>
  <sheetFormatPr baseColWidth="10" defaultColWidth="9.7109375" defaultRowHeight="16"/>
  <cols>
    <col min="1" max="1" width="16.7109375" style="1" customWidth="1"/>
    <col min="2" max="2" width="12.42578125" style="1" customWidth="1"/>
    <col min="3" max="3" width="8.85546875" style="1" customWidth="1"/>
    <col min="4" max="6" width="13" style="1" customWidth="1"/>
    <col min="7" max="7" width="13.28515625" style="1" bestFit="1" customWidth="1"/>
    <col min="8" max="8" width="11.5703125" style="9" customWidth="1"/>
    <col min="9" max="9" width="10.42578125" style="9" customWidth="1"/>
    <col min="10" max="10" width="8.85546875" style="9" bestFit="1" customWidth="1"/>
    <col min="11" max="11" width="7" style="9" customWidth="1"/>
    <col min="12" max="12" width="12.42578125" style="8" customWidth="1"/>
    <col min="13" max="13" width="9.42578125" style="8" bestFit="1" customWidth="1"/>
    <col min="14" max="14" width="12.42578125" style="8" bestFit="1" customWidth="1"/>
    <col min="15" max="15" width="9.42578125" style="8" bestFit="1" customWidth="1"/>
    <col min="16" max="16" width="10.85546875" style="12" bestFit="1" customWidth="1"/>
    <col min="17" max="17" width="11.42578125" style="12" bestFit="1" customWidth="1"/>
    <col min="18" max="18" width="14.5703125" style="8" bestFit="1" customWidth="1"/>
    <col min="19" max="19" width="8.5703125" style="8" bestFit="1" customWidth="1"/>
    <col min="20" max="20" width="10.85546875" style="8" bestFit="1" customWidth="1"/>
    <col min="21" max="21" width="11.42578125" style="8" customWidth="1"/>
    <col min="22" max="22" width="24.85546875" style="8" bestFit="1" customWidth="1"/>
    <col min="23" max="33" width="9.140625" style="1" bestFit="1" customWidth="1"/>
    <col min="34" max="34" width="8" style="1" bestFit="1" customWidth="1"/>
    <col min="35" max="36" width="9.7109375" style="1" bestFit="1" customWidth="1"/>
    <col min="37" max="37" width="10.28515625" style="1" bestFit="1" customWidth="1"/>
    <col min="38" max="39" width="9.140625" style="1" bestFit="1" customWidth="1"/>
    <col min="40" max="40" width="9.28515625" style="1" bestFit="1" customWidth="1"/>
    <col min="41" max="41" width="9" style="152" bestFit="1" customWidth="1"/>
    <col min="42" max="42" width="6.7109375" style="167" customWidth="1"/>
    <col min="43" max="47" width="6.7109375" style="1" customWidth="1"/>
    <col min="48" max="48" width="5.85546875" style="1" bestFit="1" customWidth="1"/>
    <col min="49" max="49" width="6.7109375" style="1" bestFit="1" customWidth="1"/>
    <col min="50" max="50" width="6.7109375" style="1" customWidth="1"/>
    <col min="51" max="51" width="6.7109375" style="1" bestFit="1" customWidth="1"/>
    <col min="52" max="52" width="5.85546875" style="1" bestFit="1" customWidth="1"/>
    <col min="53" max="53" width="6.7109375" style="1" bestFit="1" customWidth="1"/>
    <col min="54" max="59" width="6.7109375" style="1" customWidth="1"/>
    <col min="60" max="60" width="7.5703125" style="152" bestFit="1" customWidth="1"/>
    <col min="61" max="61" width="7.5703125" style="166" customWidth="1"/>
    <col min="62" max="63" width="7.5703125" style="1" customWidth="1"/>
    <col min="64" max="64" width="7.42578125" style="1" customWidth="1"/>
    <col min="65" max="65" width="7.5703125" style="1" bestFit="1" customWidth="1"/>
    <col min="66" max="66" width="7.85546875" style="1" customWidth="1"/>
    <col min="67" max="67" width="6.7109375" style="1" customWidth="1"/>
    <col min="68" max="68" width="6.42578125" style="1" customWidth="1"/>
    <col min="69" max="70" width="6.7109375" style="1" customWidth="1"/>
    <col min="71" max="71" width="7.140625" style="1" customWidth="1"/>
    <col min="72" max="73" width="6.7109375" style="1" customWidth="1"/>
    <col min="74" max="74" width="7" style="1" customWidth="1"/>
    <col min="75" max="75" width="6.7109375" style="1" customWidth="1"/>
    <col min="76" max="76" width="7.85546875" style="1" customWidth="1"/>
    <col min="77" max="77" width="6.7109375" style="1" customWidth="1"/>
    <col min="78" max="78" width="7.5703125" style="152" bestFit="1" customWidth="1"/>
    <col min="79" max="79" width="7.5703125" style="166" customWidth="1"/>
    <col min="80" max="90" width="7.5703125" style="1" customWidth="1"/>
    <col min="91" max="91" width="6.42578125" style="1" customWidth="1"/>
    <col min="92" max="93" width="7.5703125" style="1" customWidth="1"/>
    <col min="94" max="94" width="8.7109375" style="1" customWidth="1"/>
    <col min="95" max="95" width="7.5703125" style="1" customWidth="1"/>
    <col min="96" max="96" width="8.42578125" style="1" bestFit="1" customWidth="1"/>
    <col min="97" max="97" width="7.5703125" style="1" customWidth="1"/>
    <col min="98" max="108" width="8.85546875" style="1" customWidth="1"/>
    <col min="109" max="110" width="7.85546875" style="1" customWidth="1"/>
    <col min="111" max="111" width="8.85546875" style="1" customWidth="1"/>
    <col min="112" max="113" width="10.5703125" style="1" bestFit="1" customWidth="1"/>
    <col min="114" max="114" width="8.85546875" style="1" customWidth="1"/>
    <col min="115" max="115" width="10.5703125" style="1" bestFit="1" customWidth="1"/>
    <col min="116" max="117" width="7.5703125" style="1" customWidth="1"/>
    <col min="118" max="16384" width="9.7109375" style="1"/>
  </cols>
  <sheetData>
    <row r="1" spans="1:117" s="265" customFormat="1" ht="18">
      <c r="A1" s="264" t="s">
        <v>124</v>
      </c>
      <c r="L1" s="266"/>
      <c r="M1" s="266"/>
      <c r="N1" s="266"/>
      <c r="O1" s="266"/>
      <c r="P1" s="267"/>
      <c r="Q1" s="267"/>
      <c r="R1" s="266"/>
      <c r="S1" s="266"/>
      <c r="T1" s="266"/>
      <c r="Y1" s="266" t="s">
        <v>141</v>
      </c>
      <c r="Z1" s="266" t="s">
        <v>146</v>
      </c>
      <c r="AA1" s="266" t="s">
        <v>142</v>
      </c>
      <c r="AI1" s="266" t="s">
        <v>149</v>
      </c>
      <c r="AJ1" s="266" t="s">
        <v>147</v>
      </c>
      <c r="AK1" s="266" t="s">
        <v>150</v>
      </c>
      <c r="AL1" s="266" t="s">
        <v>148</v>
      </c>
      <c r="AM1" s="266" t="s">
        <v>156</v>
      </c>
      <c r="AN1" s="266" t="s">
        <v>157</v>
      </c>
      <c r="AO1" s="268"/>
      <c r="AP1" s="269"/>
      <c r="BH1" s="268"/>
      <c r="BI1" s="269"/>
      <c r="BZ1" s="268"/>
      <c r="CA1" s="269"/>
    </row>
    <row r="2" spans="1:117" s="265" customFormat="1" ht="18">
      <c r="A2" s="270" t="s">
        <v>125</v>
      </c>
      <c r="B2" s="271" t="s">
        <v>126</v>
      </c>
      <c r="L2" s="266"/>
      <c r="M2" s="266"/>
      <c r="N2" s="266"/>
      <c r="O2" s="266"/>
      <c r="P2" s="267"/>
      <c r="Q2" s="267"/>
      <c r="R2" s="266"/>
      <c r="S2" s="266"/>
      <c r="T2" s="266"/>
      <c r="Y2" s="322">
        <f>(Z5*0.89981)+AA5</f>
        <v>3.6879689281594077</v>
      </c>
      <c r="Z2" s="322">
        <f>(((Z6*0.89981)^2)+(AA6^2))^0.5</f>
        <v>3.3186099709422739E-2</v>
      </c>
      <c r="AA2" s="322">
        <f>Z2/Y2*100</f>
        <v>0.89984759513647172</v>
      </c>
      <c r="AI2" s="323">
        <f>AJ5*0.7403*10000</f>
        <v>383.03795565124284</v>
      </c>
      <c r="AJ2" s="323">
        <f>AJ6*0.7303*10000</f>
        <v>1.6720900680804196</v>
      </c>
      <c r="AK2" s="323">
        <f>AK5*0.87881*10000</f>
        <v>40.610065256835561</v>
      </c>
      <c r="AL2" s="323">
        <f>AK6*0.87881*10000</f>
        <v>0.58869778589198551</v>
      </c>
      <c r="AM2" s="326">
        <f>AM5*0.895651*10000</f>
        <v>1688.4626307742919</v>
      </c>
      <c r="AN2" s="326">
        <f>AM6*0.895651*10000</f>
        <v>231.26626169711434</v>
      </c>
      <c r="AO2" s="268"/>
      <c r="AP2" s="269"/>
      <c r="BH2" s="268"/>
      <c r="BI2" s="269"/>
      <c r="BZ2" s="268"/>
      <c r="CA2" s="269"/>
    </row>
    <row r="3" spans="1:117" s="113" customFormat="1" ht="20" hidden="1">
      <c r="A3" s="136"/>
      <c r="L3" s="114"/>
      <c r="M3" s="114"/>
      <c r="N3" s="114"/>
      <c r="O3" s="114"/>
      <c r="P3" s="114"/>
      <c r="Q3" s="114"/>
      <c r="R3" s="114"/>
      <c r="S3" s="114"/>
      <c r="T3" s="114"/>
      <c r="AN3" s="114"/>
      <c r="AO3" s="139"/>
      <c r="AP3" s="153"/>
      <c r="BH3" s="139"/>
      <c r="BI3" s="153"/>
      <c r="BZ3" s="139"/>
      <c r="CA3" s="153"/>
    </row>
    <row r="4" spans="1:117" ht="20">
      <c r="B4" s="105"/>
      <c r="C4" s="105"/>
      <c r="D4" s="105"/>
      <c r="E4" s="105"/>
      <c r="F4" s="106"/>
      <c r="G4" s="106"/>
      <c r="H4" s="106"/>
      <c r="I4" s="106"/>
      <c r="J4" s="106"/>
      <c r="K4" s="106"/>
      <c r="L4" s="107"/>
      <c r="M4" s="107"/>
      <c r="N4" s="12"/>
      <c r="O4" s="12"/>
      <c r="Q4" s="258"/>
      <c r="R4" s="219"/>
      <c r="S4" s="219"/>
      <c r="T4" s="219"/>
      <c r="U4" s="219"/>
      <c r="V4" s="220" t="s">
        <v>17</v>
      </c>
      <c r="W4" s="220" t="s">
        <v>49</v>
      </c>
      <c r="X4" s="220" t="s">
        <v>18</v>
      </c>
      <c r="Y4" s="220" t="s">
        <v>96</v>
      </c>
      <c r="Z4" s="220" t="s">
        <v>19</v>
      </c>
      <c r="AA4" s="220" t="s">
        <v>41</v>
      </c>
      <c r="AB4" s="220" t="s">
        <v>21</v>
      </c>
      <c r="AC4" s="220" t="s">
        <v>20</v>
      </c>
      <c r="AD4" s="220" t="s">
        <v>22</v>
      </c>
      <c r="AE4" s="220" t="s">
        <v>23</v>
      </c>
      <c r="AF4" s="220" t="s">
        <v>24</v>
      </c>
      <c r="AG4" s="220"/>
      <c r="AH4" s="220" t="s">
        <v>25</v>
      </c>
      <c r="AI4" s="220" t="s">
        <v>26</v>
      </c>
      <c r="AJ4" s="220" t="s">
        <v>94</v>
      </c>
      <c r="AK4" s="220" t="s">
        <v>145</v>
      </c>
      <c r="AL4" s="220" t="s">
        <v>27</v>
      </c>
      <c r="AM4" s="221" t="s">
        <v>155</v>
      </c>
      <c r="AN4" s="221" t="s">
        <v>39</v>
      </c>
      <c r="AO4" s="140"/>
      <c r="AP4" s="154"/>
      <c r="AQ4" s="9"/>
      <c r="AR4" s="9"/>
      <c r="AS4" s="9"/>
      <c r="AT4" s="9"/>
      <c r="AU4" s="9"/>
      <c r="AV4" s="9"/>
      <c r="AW4" s="9"/>
      <c r="AX4" s="9"/>
      <c r="AY4" s="9"/>
      <c r="AZ4" s="9"/>
      <c r="BA4" s="9"/>
      <c r="BB4" s="9"/>
      <c r="BC4" s="9"/>
      <c r="BD4" s="9"/>
      <c r="BE4" s="9"/>
      <c r="BF4" s="9"/>
      <c r="BG4" s="9"/>
      <c r="BH4" s="168"/>
      <c r="BI4" s="179"/>
      <c r="BJ4" s="9"/>
      <c r="BK4" s="9"/>
      <c r="BL4" s="9"/>
      <c r="BM4" s="9"/>
      <c r="BN4" s="9"/>
      <c r="BO4" s="9"/>
      <c r="BP4" s="9"/>
      <c r="BQ4" s="9"/>
      <c r="BR4" s="9"/>
      <c r="BS4" s="9"/>
      <c r="BT4" s="9"/>
      <c r="BU4" s="112"/>
      <c r="BV4" s="9"/>
      <c r="BW4" s="9"/>
      <c r="BX4" s="9"/>
      <c r="BY4" s="9"/>
      <c r="BZ4" s="168"/>
      <c r="CA4" s="17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row>
    <row r="5" spans="1:117" s="100" customFormat="1" ht="21" thickBot="1">
      <c r="B5" s="231"/>
      <c r="C5" s="231"/>
      <c r="D5" s="252" t="s">
        <v>37</v>
      </c>
      <c r="E5" s="253">
        <f>SUMPRODUCT(B15:B37,C15:C37)/100</f>
        <v>2.6924726999999997</v>
      </c>
      <c r="F5" s="254"/>
      <c r="G5" s="254"/>
      <c r="H5" s="255"/>
      <c r="I5" s="255"/>
      <c r="J5" s="255"/>
      <c r="K5" s="252" t="s">
        <v>85</v>
      </c>
      <c r="L5" s="256">
        <f>MAX(V7:AM7)</f>
        <v>13.696854018679744</v>
      </c>
      <c r="P5" s="102"/>
      <c r="Q5" s="259"/>
      <c r="R5" s="222"/>
      <c r="S5" s="222"/>
      <c r="T5" s="223"/>
      <c r="U5" s="224" t="s">
        <v>84</v>
      </c>
      <c r="V5" s="274">
        <f t="shared" ref="V5:AF5" si="0">SUMPRODUCT(CT15:CT40,$H15:$H40)/100</f>
        <v>68.182144981318558</v>
      </c>
      <c r="W5" s="274">
        <f t="shared" si="0"/>
        <v>0.64227291347102478</v>
      </c>
      <c r="X5" s="274">
        <f t="shared" si="0"/>
        <v>14.785278978728845</v>
      </c>
      <c r="Y5" s="274">
        <f t="shared" si="0"/>
        <v>1.7766215439182227E-3</v>
      </c>
      <c r="Z5" s="274">
        <f t="shared" si="0"/>
        <v>1.9115580445251019</v>
      </c>
      <c r="AA5" s="274">
        <f t="shared" si="0"/>
        <v>1.9679298841152757</v>
      </c>
      <c r="AB5" s="274">
        <f t="shared" si="0"/>
        <v>4.3547791853721415E-2</v>
      </c>
      <c r="AC5" s="274">
        <f t="shared" si="0"/>
        <v>0.82694618142954401</v>
      </c>
      <c r="AD5" s="274">
        <f t="shared" si="0"/>
        <v>2.658500432587076</v>
      </c>
      <c r="AE5" s="274">
        <f t="shared" si="0"/>
        <v>3.057020298806969</v>
      </c>
      <c r="AF5" s="274">
        <f t="shared" si="0"/>
        <v>5.1632464108062752</v>
      </c>
      <c r="AG5" s="274"/>
      <c r="AH5" s="274">
        <f t="shared" ref="AH5:AM5" si="1">SUMPRODUCT(DF15:DF40,$H15:$H40)/100</f>
        <v>0.25553729236241618</v>
      </c>
      <c r="AI5" s="274">
        <f t="shared" si="1"/>
        <v>0.25936031010806615</v>
      </c>
      <c r="AJ5" s="274">
        <f t="shared" si="1"/>
        <v>5.1740909854281085E-2</v>
      </c>
      <c r="AK5" s="320">
        <f t="shared" si="1"/>
        <v>4.6210290343573204E-3</v>
      </c>
      <c r="AL5" s="274">
        <f t="shared" si="1"/>
        <v>0</v>
      </c>
      <c r="AM5" s="274">
        <f t="shared" si="1"/>
        <v>0.18851791945459695</v>
      </c>
      <c r="AN5" s="285">
        <f>SUM(V5:AM5)</f>
        <v>100.00000000000004</v>
      </c>
      <c r="AO5" s="141"/>
      <c r="AP5" s="155"/>
      <c r="BH5" s="169"/>
      <c r="BI5" s="155"/>
      <c r="BZ5" s="169"/>
      <c r="CA5" s="155"/>
    </row>
    <row r="6" spans="1:117" s="100" customFormat="1" ht="21" thickBot="1">
      <c r="A6" s="101"/>
      <c r="B6" s="231"/>
      <c r="C6" s="231"/>
      <c r="D6" s="232" t="s">
        <v>38</v>
      </c>
      <c r="E6" s="233">
        <f>SUMPRODUCT(I15:I37,R15:R37)/100</f>
        <v>53.299015603593887</v>
      </c>
      <c r="F6" s="234"/>
      <c r="G6" s="234"/>
      <c r="H6" s="234"/>
      <c r="I6" s="234"/>
      <c r="J6" s="234"/>
      <c r="K6" s="257" t="s">
        <v>62</v>
      </c>
      <c r="L6" s="118">
        <v>625</v>
      </c>
      <c r="N6" s="117"/>
      <c r="O6" s="117"/>
      <c r="P6" s="103"/>
      <c r="Q6" s="260"/>
      <c r="R6" s="222"/>
      <c r="S6" s="222"/>
      <c r="T6" s="223"/>
      <c r="U6" s="224" t="s">
        <v>122</v>
      </c>
      <c r="V6" s="274">
        <f t="shared" ref="V6:AF6" si="2">SQRT(SUMPRODUCT(CT15:CT40,CT15:CT40,$Q15:$Q40,$Q15:$Q40)/100/100)</f>
        <v>3.4695323641245697</v>
      </c>
      <c r="W6" s="320">
        <f t="shared" si="2"/>
        <v>3.9018494102518019E-3</v>
      </c>
      <c r="X6" s="274">
        <f t="shared" si="2"/>
        <v>1.0218443825153642</v>
      </c>
      <c r="Y6" s="274">
        <f t="shared" si="2"/>
        <v>3.0930557967853985E-5</v>
      </c>
      <c r="Z6" s="274">
        <f t="shared" si="2"/>
        <v>3.2417161203185024E-2</v>
      </c>
      <c r="AA6" s="274">
        <f t="shared" si="2"/>
        <v>1.5826243349081233E-2</v>
      </c>
      <c r="AB6" s="319">
        <f t="shared" si="2"/>
        <v>4.8901065860489394E-4</v>
      </c>
      <c r="AC6" s="320">
        <f t="shared" si="2"/>
        <v>3.6214615248245613E-3</v>
      </c>
      <c r="AD6" s="274">
        <f t="shared" si="2"/>
        <v>4.2156244088131102E-2</v>
      </c>
      <c r="AE6" s="274">
        <f t="shared" si="2"/>
        <v>0.13088391499104371</v>
      </c>
      <c r="AF6" s="274">
        <f t="shared" si="2"/>
        <v>0.64245989608921028</v>
      </c>
      <c r="AG6" s="274"/>
      <c r="AH6" s="274">
        <f t="shared" ref="AH6:AM6" si="3">SQRT(SUMPRODUCT(DF15:DF40,DF15:DF40,$Q15:$Q40,$Q15:$Q40)/100/100)</f>
        <v>1.0612685102013243E-3</v>
      </c>
      <c r="AI6" s="290">
        <f t="shared" si="3"/>
        <v>1.0514081080422882E-3</v>
      </c>
      <c r="AJ6" s="290">
        <f t="shared" si="3"/>
        <v>2.2895934110371351E-4</v>
      </c>
      <c r="AK6" s="290">
        <f t="shared" si="3"/>
        <v>6.6988061798566864E-5</v>
      </c>
      <c r="AL6" s="274">
        <f t="shared" si="3"/>
        <v>0</v>
      </c>
      <c r="AM6" s="274">
        <f t="shared" si="3"/>
        <v>2.5821024226748403E-2</v>
      </c>
      <c r="AN6" s="274"/>
      <c r="AO6" s="142"/>
      <c r="AP6" s="155"/>
      <c r="BH6" s="169"/>
      <c r="BI6" s="155"/>
      <c r="BZ6" s="169"/>
      <c r="CA6" s="155"/>
    </row>
    <row r="7" spans="1:117" s="100" customFormat="1" ht="21" thickBot="1">
      <c r="A7" s="101"/>
      <c r="B7" s="231"/>
      <c r="C7" s="231"/>
      <c r="D7" s="232" t="s">
        <v>42</v>
      </c>
      <c r="E7" s="233">
        <f>E6*E5</f>
        <v>143.50614444955053</v>
      </c>
      <c r="F7" s="234"/>
      <c r="G7" s="234"/>
      <c r="H7" s="234"/>
      <c r="I7" s="234"/>
      <c r="J7" s="234"/>
      <c r="K7" s="237" t="s">
        <v>137</v>
      </c>
      <c r="L7" s="238">
        <f>L6/E5</f>
        <v>232.12863031071774</v>
      </c>
      <c r="P7" s="104"/>
      <c r="Q7" s="261"/>
      <c r="R7" s="226"/>
      <c r="S7" s="222"/>
      <c r="T7" s="223"/>
      <c r="U7" s="224" t="s">
        <v>123</v>
      </c>
      <c r="V7" s="274">
        <f>IF(V5&gt;0,V6/V5*100,0)</f>
        <v>5.0886230773103396</v>
      </c>
      <c r="W7" s="274">
        <f t="shared" ref="W7:AF7" si="4">IF(W5&gt;0,W6/W5*100,0)</f>
        <v>0.60750645534234071</v>
      </c>
      <c r="X7" s="274">
        <f t="shared" si="4"/>
        <v>6.9112282831149976</v>
      </c>
      <c r="Y7" s="274">
        <f t="shared" si="4"/>
        <v>1.740976184474194</v>
      </c>
      <c r="Z7" s="274">
        <f t="shared" si="4"/>
        <v>1.6958502147518404</v>
      </c>
      <c r="AA7" s="274">
        <f t="shared" si="4"/>
        <v>0.80420768426900813</v>
      </c>
      <c r="AB7" s="274">
        <f t="shared" si="4"/>
        <v>1.1229287130045496</v>
      </c>
      <c r="AC7" s="274">
        <f t="shared" si="4"/>
        <v>0.43793194843274214</v>
      </c>
      <c r="AD7" s="274">
        <f t="shared" si="4"/>
        <v>1.5857151487128949</v>
      </c>
      <c r="AE7" s="274">
        <f t="shared" si="4"/>
        <v>4.2814211944265592</v>
      </c>
      <c r="AF7" s="274">
        <f t="shared" si="4"/>
        <v>12.442944709061173</v>
      </c>
      <c r="AG7" s="274"/>
      <c r="AH7" s="274">
        <f t="shared" ref="AH7:AM7" si="5">IF(AH5&gt;0,AH6/AH5*100,0)</f>
        <v>0.41530866214868495</v>
      </c>
      <c r="AI7" s="274">
        <f t="shared" si="5"/>
        <v>0.40538512141823246</v>
      </c>
      <c r="AJ7" s="274">
        <f>(IF(AJ5&gt;0,AJ6/AJ5*100,0))*2</f>
        <v>0.88502247737249329</v>
      </c>
      <c r="AK7" s="274">
        <f t="shared" si="5"/>
        <v>1.4496351635211782</v>
      </c>
      <c r="AL7" s="274">
        <f t="shared" si="5"/>
        <v>0</v>
      </c>
      <c r="AM7" s="274">
        <f t="shared" si="5"/>
        <v>13.696854018679744</v>
      </c>
      <c r="AN7" s="274"/>
      <c r="AO7" s="142"/>
      <c r="AP7" s="155"/>
      <c r="BH7" s="169"/>
      <c r="BI7" s="155"/>
      <c r="BZ7" s="169"/>
      <c r="CA7" s="155"/>
    </row>
    <row r="8" spans="1:117" s="100" customFormat="1" ht="21" hidden="1" thickBot="1">
      <c r="A8" s="101"/>
      <c r="B8" s="231"/>
      <c r="C8" s="231"/>
      <c r="D8" s="232"/>
      <c r="E8" s="233"/>
      <c r="F8" s="234"/>
      <c r="G8" s="235"/>
      <c r="H8" s="234"/>
      <c r="I8" s="234"/>
      <c r="J8" s="234"/>
      <c r="K8" s="236"/>
      <c r="L8" s="237"/>
      <c r="M8" s="238"/>
      <c r="P8" s="104"/>
      <c r="Q8" s="261"/>
      <c r="R8" s="226"/>
      <c r="S8" s="222"/>
      <c r="T8" s="223"/>
      <c r="U8" s="224"/>
      <c r="V8" s="225"/>
      <c r="W8" s="225"/>
      <c r="X8" s="225"/>
      <c r="Y8" s="225"/>
      <c r="Z8" s="225"/>
      <c r="AA8" s="225"/>
      <c r="AB8" s="225"/>
      <c r="AC8" s="225"/>
      <c r="AD8" s="225"/>
      <c r="AE8" s="225"/>
      <c r="AF8" s="225"/>
      <c r="AG8" s="225"/>
      <c r="AH8" s="225"/>
      <c r="AI8" s="225"/>
      <c r="AJ8" s="225"/>
      <c r="AK8" s="225"/>
      <c r="AL8" s="225"/>
      <c r="AM8" s="225"/>
      <c r="AN8" s="222"/>
      <c r="AO8" s="142"/>
      <c r="AP8" s="155"/>
      <c r="BH8" s="169"/>
      <c r="BI8" s="155"/>
      <c r="BZ8" s="169"/>
      <c r="CA8" s="155"/>
    </row>
    <row r="9" spans="1:117" s="2" customFormat="1" ht="19" thickBot="1">
      <c r="A9" s="10"/>
      <c r="D9" s="29"/>
      <c r="E9" s="24"/>
      <c r="F9" s="10" t="s">
        <v>127</v>
      </c>
      <c r="G9" s="240">
        <v>1000</v>
      </c>
      <c r="H9" s="3"/>
      <c r="I9" s="3"/>
      <c r="J9" s="3"/>
      <c r="K9" s="3"/>
      <c r="L9" s="3"/>
      <c r="M9" s="3" t="s">
        <v>115</v>
      </c>
      <c r="N9" s="3" t="s">
        <v>116</v>
      </c>
      <c r="O9" s="3"/>
      <c r="P9" s="3"/>
      <c r="Q9" s="13"/>
      <c r="R9" s="13"/>
      <c r="S9" s="3"/>
      <c r="T9" s="3"/>
      <c r="U9" s="54"/>
      <c r="V9" s="54"/>
      <c r="W9" s="54"/>
      <c r="X9" s="54"/>
      <c r="Y9" s="54"/>
      <c r="Z9" s="54"/>
      <c r="AA9" s="54"/>
      <c r="AB9" s="54"/>
      <c r="AC9" s="54"/>
      <c r="AD9" s="54"/>
      <c r="AE9" s="54"/>
      <c r="AF9" s="54"/>
      <c r="AG9" s="54"/>
      <c r="AH9" s="54"/>
      <c r="AI9" s="54"/>
      <c r="AJ9" s="54"/>
      <c r="AK9" s="54"/>
      <c r="AL9" s="54"/>
      <c r="AM9" s="54"/>
      <c r="AN9" s="54"/>
      <c r="AO9" s="143"/>
      <c r="AP9" s="156"/>
      <c r="AQ9" s="54"/>
      <c r="AR9" s="54"/>
      <c r="AS9" s="54"/>
      <c r="AT9" s="54"/>
      <c r="AU9" s="54"/>
      <c r="AV9" s="54"/>
      <c r="AW9" s="54"/>
      <c r="AX9" s="54"/>
      <c r="AY9" s="54"/>
      <c r="AZ9" s="54"/>
      <c r="BA9" s="54"/>
      <c r="BB9" s="54"/>
      <c r="BC9" s="54"/>
      <c r="BD9" s="54"/>
      <c r="BE9" s="54"/>
      <c r="BF9" s="54"/>
      <c r="BG9" s="54"/>
      <c r="BH9" s="143"/>
      <c r="BI9" s="180"/>
      <c r="BJ9" s="54"/>
      <c r="BK9" s="54"/>
      <c r="BL9" s="54"/>
      <c r="BM9" s="54"/>
      <c r="BN9" s="54"/>
      <c r="BO9" s="54"/>
      <c r="BP9" s="54"/>
      <c r="BQ9" s="54"/>
      <c r="BR9" s="54"/>
      <c r="BS9" s="54"/>
      <c r="BT9" s="54"/>
      <c r="BU9" s="54"/>
      <c r="BV9" s="54"/>
      <c r="BW9" s="54"/>
      <c r="BX9" s="54"/>
      <c r="BY9" s="54"/>
      <c r="BZ9" s="143"/>
      <c r="CA9" s="180"/>
      <c r="CB9" s="54"/>
      <c r="CC9" s="54"/>
      <c r="CD9" s="54"/>
      <c r="CE9" s="54"/>
      <c r="CF9" s="54"/>
      <c r="CG9" s="54"/>
      <c r="CH9" s="54"/>
      <c r="CI9" s="54"/>
      <c r="CJ9" s="54"/>
      <c r="CK9" s="54"/>
      <c r="CL9" s="54"/>
      <c r="CM9" s="54"/>
      <c r="CN9" s="54"/>
      <c r="CO9" s="54"/>
      <c r="CP9" s="54"/>
      <c r="CQ9" s="54"/>
      <c r="CR9" s="54"/>
      <c r="CS9" s="54"/>
      <c r="CU9" s="54"/>
      <c r="CV9" s="54"/>
      <c r="CW9" s="54"/>
      <c r="CX9" s="54"/>
      <c r="CY9" s="54"/>
      <c r="CZ9" s="54"/>
      <c r="DA9" s="54"/>
      <c r="DB9" s="54"/>
      <c r="DC9" s="54"/>
      <c r="DD9" s="54"/>
      <c r="DE9" s="54"/>
      <c r="DF9" s="54"/>
      <c r="DG9" s="54"/>
      <c r="DH9" s="54"/>
      <c r="DI9" s="54"/>
      <c r="DJ9" s="54"/>
      <c r="DK9" s="54"/>
      <c r="DL9" s="54"/>
    </row>
    <row r="10" spans="1:117" s="53" customFormat="1" ht="18">
      <c r="A10" s="55" t="s">
        <v>39</v>
      </c>
      <c r="B10" s="241">
        <f>SUM(B15:B40)</f>
        <v>100.0981</v>
      </c>
      <c r="C10" s="47"/>
      <c r="D10" s="48"/>
      <c r="E10" s="46"/>
      <c r="F10" s="47"/>
      <c r="G10" s="217" t="s">
        <v>117</v>
      </c>
      <c r="H10" s="86">
        <f>SUM(H15:H63)</f>
        <v>100.00000000000003</v>
      </c>
      <c r="I10" s="86">
        <f>SUM(I15:I63)</f>
        <v>100</v>
      </c>
      <c r="J10" s="86"/>
      <c r="K10" s="48"/>
      <c r="L10" s="87" t="s">
        <v>39</v>
      </c>
      <c r="M10" s="19" t="s">
        <v>65</v>
      </c>
      <c r="N10" s="87" t="s">
        <v>39</v>
      </c>
      <c r="O10" s="87" t="s">
        <v>120</v>
      </c>
      <c r="P10" s="262" t="s">
        <v>68</v>
      </c>
      <c r="Q10" s="262" t="s">
        <v>79</v>
      </c>
      <c r="R10" s="89"/>
      <c r="S10" s="89"/>
      <c r="T10" s="90"/>
      <c r="U10" s="239" t="s">
        <v>128</v>
      </c>
      <c r="V10" s="45" t="s">
        <v>53</v>
      </c>
      <c r="W10" s="45"/>
      <c r="X10" s="45"/>
      <c r="Y10" s="45"/>
      <c r="Z10" s="45"/>
      <c r="AA10" s="45"/>
      <c r="AB10" s="45"/>
      <c r="AC10" s="45"/>
      <c r="AD10" s="45"/>
      <c r="AE10" s="45"/>
      <c r="AF10" s="45"/>
      <c r="AG10" s="45"/>
      <c r="AH10" s="45"/>
      <c r="AI10" s="45"/>
      <c r="AJ10" s="45"/>
      <c r="AK10" s="45"/>
      <c r="AL10" s="45"/>
      <c r="AM10" s="45"/>
      <c r="AN10" s="45"/>
      <c r="AO10" s="144"/>
      <c r="AP10" s="157" t="s">
        <v>40</v>
      </c>
      <c r="AQ10" s="50"/>
      <c r="AR10" s="50"/>
      <c r="AS10" s="50"/>
      <c r="AT10" s="50"/>
      <c r="AU10" s="50"/>
      <c r="AV10" s="50"/>
      <c r="AW10" s="50"/>
      <c r="AX10" s="50"/>
      <c r="AY10" s="50"/>
      <c r="AZ10" s="50"/>
      <c r="BA10" s="50"/>
      <c r="BB10" s="50"/>
      <c r="BC10" s="50"/>
      <c r="BD10" s="50"/>
      <c r="BE10" s="50"/>
      <c r="BF10" s="50"/>
      <c r="BG10" s="50"/>
      <c r="BH10" s="170"/>
      <c r="BI10" s="181" t="s">
        <v>52</v>
      </c>
      <c r="BJ10" s="51"/>
      <c r="BK10" s="51"/>
      <c r="BL10" s="51"/>
      <c r="BM10" s="51"/>
      <c r="BN10" s="51"/>
      <c r="BO10" s="51"/>
      <c r="BP10" s="51"/>
      <c r="BQ10" s="51"/>
      <c r="BR10" s="51"/>
      <c r="BS10" s="51"/>
      <c r="BT10" s="51"/>
      <c r="BU10" s="51"/>
      <c r="BV10" s="51"/>
      <c r="BW10" s="51"/>
      <c r="BX10" s="51"/>
      <c r="BY10" s="51"/>
      <c r="BZ10" s="188"/>
      <c r="CA10" s="196" t="s">
        <v>60</v>
      </c>
      <c r="CB10" s="49"/>
      <c r="CC10" s="49"/>
      <c r="CD10" s="49"/>
      <c r="CE10" s="49"/>
      <c r="CF10" s="49"/>
      <c r="CG10" s="49"/>
      <c r="CH10" s="49"/>
      <c r="CI10" s="49"/>
      <c r="CJ10" s="49"/>
      <c r="CK10" s="49"/>
      <c r="CL10" s="49"/>
      <c r="CM10" s="49"/>
      <c r="CN10" s="49"/>
      <c r="CO10" s="49"/>
      <c r="CP10" s="49"/>
      <c r="CQ10" s="49"/>
      <c r="CR10" s="49"/>
      <c r="CS10" s="49"/>
      <c r="CT10" s="52" t="s">
        <v>136</v>
      </c>
      <c r="CU10" s="52"/>
      <c r="CV10" s="52"/>
      <c r="CW10" s="52"/>
      <c r="CX10" s="52"/>
      <c r="CY10" s="52"/>
      <c r="CZ10" s="52"/>
      <c r="DA10" s="52"/>
      <c r="DB10" s="52"/>
      <c r="DC10" s="52"/>
      <c r="DD10" s="52"/>
      <c r="DE10" s="52"/>
      <c r="DF10" s="52"/>
      <c r="DG10" s="52"/>
      <c r="DH10" s="52"/>
      <c r="DI10" s="52"/>
      <c r="DJ10" s="52"/>
      <c r="DK10" s="52"/>
      <c r="DL10" s="52"/>
    </row>
    <row r="11" spans="1:117" s="4" customFormat="1" ht="18">
      <c r="A11" s="17" t="s">
        <v>0</v>
      </c>
      <c r="B11" s="19" t="s">
        <v>0</v>
      </c>
      <c r="C11" s="19" t="s">
        <v>0</v>
      </c>
      <c r="D11" s="18" t="s">
        <v>64</v>
      </c>
      <c r="E11" s="18"/>
      <c r="F11" s="18"/>
      <c r="G11" s="18" t="s">
        <v>114</v>
      </c>
      <c r="H11" s="19" t="s">
        <v>0</v>
      </c>
      <c r="I11" s="19" t="s">
        <v>0</v>
      </c>
      <c r="J11" s="19" t="s">
        <v>63</v>
      </c>
      <c r="K11" s="19" t="s">
        <v>63</v>
      </c>
      <c r="L11" s="19" t="s">
        <v>0</v>
      </c>
      <c r="M11" s="19" t="s">
        <v>66</v>
      </c>
      <c r="N11" s="19" t="s">
        <v>65</v>
      </c>
      <c r="O11" s="19" t="s">
        <v>121</v>
      </c>
      <c r="P11" s="262" t="s">
        <v>69</v>
      </c>
      <c r="Q11" s="262" t="s">
        <v>69</v>
      </c>
      <c r="R11" s="91" t="s">
        <v>0</v>
      </c>
      <c r="S11" s="91" t="s">
        <v>59</v>
      </c>
      <c r="T11" s="91" t="s">
        <v>0</v>
      </c>
      <c r="U11" s="91" t="s">
        <v>0</v>
      </c>
      <c r="V11" s="25" t="s">
        <v>6</v>
      </c>
      <c r="W11" s="25" t="s">
        <v>48</v>
      </c>
      <c r="X11" s="25" t="s">
        <v>7</v>
      </c>
      <c r="Y11" s="25" t="s">
        <v>95</v>
      </c>
      <c r="Z11" s="25" t="s">
        <v>83</v>
      </c>
      <c r="AA11" s="25" t="s">
        <v>82</v>
      </c>
      <c r="AB11" s="25" t="s">
        <v>9</v>
      </c>
      <c r="AC11" s="25" t="s">
        <v>8</v>
      </c>
      <c r="AD11" s="25" t="s">
        <v>10</v>
      </c>
      <c r="AE11" s="25" t="s">
        <v>11</v>
      </c>
      <c r="AF11" s="25" t="s">
        <v>12</v>
      </c>
      <c r="AG11" s="25" t="s">
        <v>13</v>
      </c>
      <c r="AH11" s="25" t="s">
        <v>14</v>
      </c>
      <c r="AI11" s="25" t="s">
        <v>15</v>
      </c>
      <c r="AJ11" s="25" t="s">
        <v>93</v>
      </c>
      <c r="AK11" s="25" t="s">
        <v>144</v>
      </c>
      <c r="AL11" s="25" t="s">
        <v>16</v>
      </c>
      <c r="AM11" s="26" t="s">
        <v>154</v>
      </c>
      <c r="AN11" s="26" t="s">
        <v>39</v>
      </c>
      <c r="AO11" s="145" t="s">
        <v>54</v>
      </c>
      <c r="AP11" s="158" t="s">
        <v>6</v>
      </c>
      <c r="AQ11" s="35" t="s">
        <v>48</v>
      </c>
      <c r="AR11" s="35" t="s">
        <v>7</v>
      </c>
      <c r="AS11" s="35" t="s">
        <v>95</v>
      </c>
      <c r="AT11" s="35" t="s">
        <v>83</v>
      </c>
      <c r="AU11" s="35" t="s">
        <v>82</v>
      </c>
      <c r="AV11" s="35" t="s">
        <v>9</v>
      </c>
      <c r="AW11" s="35" t="s">
        <v>8</v>
      </c>
      <c r="AX11" s="35" t="s">
        <v>10</v>
      </c>
      <c r="AY11" s="35" t="s">
        <v>11</v>
      </c>
      <c r="AZ11" s="35" t="s">
        <v>12</v>
      </c>
      <c r="BA11" s="35" t="s">
        <v>13</v>
      </c>
      <c r="BB11" s="35" t="s">
        <v>14</v>
      </c>
      <c r="BC11" s="35" t="s">
        <v>15</v>
      </c>
      <c r="BD11" s="35" t="s">
        <v>93</v>
      </c>
      <c r="BE11" s="35" t="s">
        <v>144</v>
      </c>
      <c r="BF11" s="35" t="s">
        <v>16</v>
      </c>
      <c r="BG11" s="36" t="s">
        <v>154</v>
      </c>
      <c r="BH11" s="171" t="s">
        <v>39</v>
      </c>
      <c r="BI11" s="182" t="s">
        <v>17</v>
      </c>
      <c r="BJ11" s="40" t="s">
        <v>49</v>
      </c>
      <c r="BK11" s="40" t="s">
        <v>18</v>
      </c>
      <c r="BL11" s="40" t="s">
        <v>96</v>
      </c>
      <c r="BM11" s="40" t="s">
        <v>19</v>
      </c>
      <c r="BN11" s="40" t="s">
        <v>41</v>
      </c>
      <c r="BO11" s="40" t="s">
        <v>21</v>
      </c>
      <c r="BP11" s="40" t="s">
        <v>20</v>
      </c>
      <c r="BQ11" s="40" t="s">
        <v>22</v>
      </c>
      <c r="BR11" s="40" t="s">
        <v>23</v>
      </c>
      <c r="BS11" s="40" t="s">
        <v>24</v>
      </c>
      <c r="BT11" s="40" t="s">
        <v>25</v>
      </c>
      <c r="BU11" s="40" t="s">
        <v>26</v>
      </c>
      <c r="BV11" s="40" t="s">
        <v>94</v>
      </c>
      <c r="BW11" s="40" t="s">
        <v>145</v>
      </c>
      <c r="BX11" s="40" t="s">
        <v>27</v>
      </c>
      <c r="BY11" s="41" t="s">
        <v>155</v>
      </c>
      <c r="BZ11" s="189" t="s">
        <v>39</v>
      </c>
      <c r="CA11" s="197" t="s">
        <v>6</v>
      </c>
      <c r="CB11" s="32" t="s">
        <v>48</v>
      </c>
      <c r="CC11" s="32" t="s">
        <v>7</v>
      </c>
      <c r="CD11" s="32" t="s">
        <v>95</v>
      </c>
      <c r="CE11" s="32" t="s">
        <v>83</v>
      </c>
      <c r="CF11" s="32" t="s">
        <v>82</v>
      </c>
      <c r="CG11" s="32" t="s">
        <v>9</v>
      </c>
      <c r="CH11" s="32" t="s">
        <v>8</v>
      </c>
      <c r="CI11" s="32" t="s">
        <v>10</v>
      </c>
      <c r="CJ11" s="32" t="s">
        <v>11</v>
      </c>
      <c r="CK11" s="32" t="s">
        <v>12</v>
      </c>
      <c r="CL11" s="32" t="s">
        <v>13</v>
      </c>
      <c r="CM11" s="32" t="s">
        <v>14</v>
      </c>
      <c r="CN11" s="32" t="s">
        <v>15</v>
      </c>
      <c r="CO11" s="32" t="s">
        <v>93</v>
      </c>
      <c r="CP11" s="32" t="s">
        <v>144</v>
      </c>
      <c r="CQ11" s="32" t="s">
        <v>16</v>
      </c>
      <c r="CR11" s="32" t="s">
        <v>154</v>
      </c>
      <c r="CS11" s="33" t="s">
        <v>39</v>
      </c>
      <c r="CT11" s="27" t="s">
        <v>17</v>
      </c>
      <c r="CU11" s="27" t="s">
        <v>49</v>
      </c>
      <c r="CV11" s="27" t="s">
        <v>18</v>
      </c>
      <c r="CW11" s="27" t="s">
        <v>96</v>
      </c>
      <c r="CX11" s="27" t="s">
        <v>19</v>
      </c>
      <c r="CY11" s="27" t="s">
        <v>41</v>
      </c>
      <c r="CZ11" s="27" t="s">
        <v>21</v>
      </c>
      <c r="DA11" s="27" t="s">
        <v>20</v>
      </c>
      <c r="DB11" s="27" t="s">
        <v>22</v>
      </c>
      <c r="DC11" s="27" t="s">
        <v>23</v>
      </c>
      <c r="DD11" s="27" t="s">
        <v>24</v>
      </c>
      <c r="DE11" s="27" t="s">
        <v>13</v>
      </c>
      <c r="DF11" s="27" t="s">
        <v>25</v>
      </c>
      <c r="DG11" s="27" t="s">
        <v>26</v>
      </c>
      <c r="DH11" s="27" t="s">
        <v>94</v>
      </c>
      <c r="DI11" s="27" t="s">
        <v>145</v>
      </c>
      <c r="DJ11" s="27" t="s">
        <v>27</v>
      </c>
      <c r="DK11" s="27" t="s">
        <v>155</v>
      </c>
      <c r="DL11" s="44" t="s">
        <v>39</v>
      </c>
    </row>
    <row r="12" spans="1:117" s="4" customFormat="1" ht="18">
      <c r="A12" s="19" t="s">
        <v>28</v>
      </c>
      <c r="B12" s="17" t="s">
        <v>43</v>
      </c>
      <c r="C12" s="17" t="s">
        <v>5</v>
      </c>
      <c r="D12" s="17" t="s">
        <v>29</v>
      </c>
      <c r="E12" s="17" t="s">
        <v>30</v>
      </c>
      <c r="F12" s="17" t="s">
        <v>31</v>
      </c>
      <c r="G12" s="229" t="s">
        <v>118</v>
      </c>
      <c r="H12" s="17" t="s">
        <v>43</v>
      </c>
      <c r="I12" s="17" t="s">
        <v>43</v>
      </c>
      <c r="J12" s="17" t="s">
        <v>1</v>
      </c>
      <c r="K12" s="19" t="s">
        <v>80</v>
      </c>
      <c r="L12" s="19" t="s">
        <v>80</v>
      </c>
      <c r="M12" s="19" t="s">
        <v>0</v>
      </c>
      <c r="N12" s="19" t="s">
        <v>66</v>
      </c>
      <c r="O12" s="19" t="s">
        <v>0</v>
      </c>
      <c r="P12" s="262" t="s">
        <v>70</v>
      </c>
      <c r="Q12" s="262" t="s">
        <v>70</v>
      </c>
      <c r="R12" s="92" t="s">
        <v>2</v>
      </c>
      <c r="S12" s="92" t="s">
        <v>1</v>
      </c>
      <c r="T12" s="92" t="s">
        <v>32</v>
      </c>
      <c r="U12" s="92" t="s">
        <v>35</v>
      </c>
      <c r="V12" s="288">
        <v>28.0855</v>
      </c>
      <c r="W12" s="288">
        <v>47.866999999999997</v>
      </c>
      <c r="X12" s="288">
        <v>26.981539999999999</v>
      </c>
      <c r="Y12" s="288">
        <v>51.996099999999998</v>
      </c>
      <c r="Z12" s="288">
        <v>55.844999999999999</v>
      </c>
      <c r="AA12" s="288">
        <v>55.844999999999999</v>
      </c>
      <c r="AB12" s="288">
        <v>54.938049999999997</v>
      </c>
      <c r="AC12" s="288">
        <v>24.305</v>
      </c>
      <c r="AD12" s="288">
        <v>40.078000000000003</v>
      </c>
      <c r="AE12" s="288">
        <v>22.98977</v>
      </c>
      <c r="AF12" s="288">
        <v>39.098300000000002</v>
      </c>
      <c r="AG12" s="288">
        <v>15.9994</v>
      </c>
      <c r="AH12" s="288">
        <v>1.0079400000000001</v>
      </c>
      <c r="AI12" s="288">
        <v>30.973759999999999</v>
      </c>
      <c r="AJ12" s="289">
        <v>91.224000000000004</v>
      </c>
      <c r="AK12" s="288">
        <v>232.0377</v>
      </c>
      <c r="AL12" s="289">
        <v>12.0107</v>
      </c>
      <c r="AM12" s="288">
        <v>137.327</v>
      </c>
      <c r="AN12" s="28"/>
      <c r="AO12" s="146" t="s">
        <v>55</v>
      </c>
      <c r="AP12" s="159"/>
      <c r="AQ12" s="37"/>
      <c r="AR12" s="37"/>
      <c r="AS12" s="37"/>
      <c r="AT12" s="37"/>
      <c r="AU12" s="37"/>
      <c r="AV12" s="37"/>
      <c r="AW12" s="37"/>
      <c r="AX12" s="37"/>
      <c r="AY12" s="37"/>
      <c r="AZ12" s="37"/>
      <c r="BA12" s="37"/>
      <c r="BB12" s="37"/>
      <c r="BC12" s="37"/>
      <c r="BD12" s="37"/>
      <c r="BE12" s="37"/>
      <c r="BF12" s="37"/>
      <c r="BG12" s="37"/>
      <c r="BH12" s="172"/>
      <c r="BI12" s="210">
        <v>1</v>
      </c>
      <c r="BJ12" s="211">
        <v>1</v>
      </c>
      <c r="BK12" s="211">
        <v>2</v>
      </c>
      <c r="BL12" s="211">
        <v>2</v>
      </c>
      <c r="BM12" s="211">
        <v>2</v>
      </c>
      <c r="BN12" s="211">
        <v>1</v>
      </c>
      <c r="BO12" s="211">
        <v>1</v>
      </c>
      <c r="BP12" s="211">
        <v>1</v>
      </c>
      <c r="BQ12" s="211">
        <v>1</v>
      </c>
      <c r="BR12" s="211">
        <v>2</v>
      </c>
      <c r="BS12" s="211">
        <v>2</v>
      </c>
      <c r="BT12" s="211">
        <v>2</v>
      </c>
      <c r="BU12" s="211">
        <v>2</v>
      </c>
      <c r="BV12" s="211">
        <v>1</v>
      </c>
      <c r="BW12" s="211">
        <v>1</v>
      </c>
      <c r="BX12" s="211">
        <v>1</v>
      </c>
      <c r="BY12" s="211">
        <v>1</v>
      </c>
      <c r="BZ12" s="190"/>
      <c r="CA12" s="198">
        <f t="shared" ref="CA12:CQ12" si="6">V12</f>
        <v>28.0855</v>
      </c>
      <c r="CB12" s="72">
        <f t="shared" si="6"/>
        <v>47.866999999999997</v>
      </c>
      <c r="CC12" s="72">
        <f t="shared" si="6"/>
        <v>26.981539999999999</v>
      </c>
      <c r="CD12" s="72">
        <f t="shared" si="6"/>
        <v>51.996099999999998</v>
      </c>
      <c r="CE12" s="72">
        <f t="shared" si="6"/>
        <v>55.844999999999999</v>
      </c>
      <c r="CF12" s="72">
        <f t="shared" si="6"/>
        <v>55.844999999999999</v>
      </c>
      <c r="CG12" s="72">
        <f t="shared" si="6"/>
        <v>54.938049999999997</v>
      </c>
      <c r="CH12" s="72">
        <f t="shared" si="6"/>
        <v>24.305</v>
      </c>
      <c r="CI12" s="72">
        <f t="shared" si="6"/>
        <v>40.078000000000003</v>
      </c>
      <c r="CJ12" s="72">
        <f t="shared" si="6"/>
        <v>22.98977</v>
      </c>
      <c r="CK12" s="72">
        <f t="shared" si="6"/>
        <v>39.098300000000002</v>
      </c>
      <c r="CL12" s="72">
        <f t="shared" si="6"/>
        <v>15.9994</v>
      </c>
      <c r="CM12" s="72">
        <f t="shared" si="6"/>
        <v>1.0079400000000001</v>
      </c>
      <c r="CN12" s="72">
        <f t="shared" si="6"/>
        <v>30.973759999999999</v>
      </c>
      <c r="CO12" s="72">
        <f t="shared" si="6"/>
        <v>91.224000000000004</v>
      </c>
      <c r="CP12" s="72">
        <f t="shared" si="6"/>
        <v>232.0377</v>
      </c>
      <c r="CQ12" s="72">
        <f t="shared" si="6"/>
        <v>12.0107</v>
      </c>
      <c r="CR12" s="72">
        <v>137.327</v>
      </c>
      <c r="CS12" s="33"/>
      <c r="CT12" s="286">
        <v>60.084299999999999</v>
      </c>
      <c r="CU12" s="286">
        <v>79.865799999999993</v>
      </c>
      <c r="CV12" s="286">
        <f>101.96128/2</f>
        <v>50.980640000000001</v>
      </c>
      <c r="CW12" s="286">
        <f>(2*Y12+3*$AG12)/2</f>
        <v>75.995199999999997</v>
      </c>
      <c r="CX12" s="286">
        <f>159.6882/2</f>
        <v>79.844099999999997</v>
      </c>
      <c r="CY12" s="286">
        <v>71.844399999999993</v>
      </c>
      <c r="CZ12" s="286">
        <v>70.937449999999998</v>
      </c>
      <c r="DA12" s="286">
        <v>40.304400000000001</v>
      </c>
      <c r="DB12" s="286">
        <v>56.077399999999997</v>
      </c>
      <c r="DC12" s="286">
        <f>61.97894/2</f>
        <v>30.989470000000001</v>
      </c>
      <c r="DD12" s="286">
        <f>94.196/2</f>
        <v>47.097999999999999</v>
      </c>
      <c r="DE12" s="286">
        <v>0</v>
      </c>
      <c r="DF12" s="286">
        <f>18.01528/2</f>
        <v>9.0076400000000003</v>
      </c>
      <c r="DG12" s="286">
        <f>141.94452/2</f>
        <v>70.972260000000006</v>
      </c>
      <c r="DH12" s="286">
        <v>123.22280000000001</v>
      </c>
      <c r="DI12" s="286">
        <v>264.04000000000002</v>
      </c>
      <c r="DJ12" s="287">
        <v>44.009500000000003</v>
      </c>
      <c r="DK12" s="286">
        <v>153.32689999999999</v>
      </c>
      <c r="DL12" s="44"/>
    </row>
    <row r="13" spans="1:117" s="4" customFormat="1" ht="18">
      <c r="A13" s="19"/>
      <c r="B13" s="17" t="s">
        <v>44</v>
      </c>
      <c r="C13" s="19" t="s">
        <v>138</v>
      </c>
      <c r="D13" s="19" t="s">
        <v>61</v>
      </c>
      <c r="E13" s="19" t="s">
        <v>61</v>
      </c>
      <c r="F13" s="227" t="s">
        <v>61</v>
      </c>
      <c r="G13" s="19" t="s">
        <v>119</v>
      </c>
      <c r="H13" s="228" t="s">
        <v>45</v>
      </c>
      <c r="I13" s="17" t="s">
        <v>46</v>
      </c>
      <c r="J13" s="17" t="s">
        <v>101</v>
      </c>
      <c r="K13" s="19" t="s">
        <v>81</v>
      </c>
      <c r="L13" s="19" t="s">
        <v>81</v>
      </c>
      <c r="M13" s="19" t="s">
        <v>67</v>
      </c>
      <c r="N13" s="19" t="s">
        <v>67</v>
      </c>
      <c r="O13" s="19" t="s">
        <v>67</v>
      </c>
      <c r="P13" s="262" t="s">
        <v>71</v>
      </c>
      <c r="Q13" s="262" t="s">
        <v>45</v>
      </c>
      <c r="R13" s="92" t="s">
        <v>34</v>
      </c>
      <c r="S13" s="92" t="s">
        <v>58</v>
      </c>
      <c r="T13" s="91" t="s">
        <v>33</v>
      </c>
      <c r="U13" s="91" t="s">
        <v>36</v>
      </c>
      <c r="V13" s="30">
        <v>4</v>
      </c>
      <c r="W13" s="30">
        <v>4</v>
      </c>
      <c r="X13" s="30">
        <v>3</v>
      </c>
      <c r="Y13" s="30">
        <v>3</v>
      </c>
      <c r="Z13" s="30">
        <v>3</v>
      </c>
      <c r="AA13" s="30">
        <v>2</v>
      </c>
      <c r="AB13" s="30">
        <v>2</v>
      </c>
      <c r="AC13" s="30">
        <v>2</v>
      </c>
      <c r="AD13" s="30">
        <v>2</v>
      </c>
      <c r="AE13" s="30">
        <v>1</v>
      </c>
      <c r="AF13" s="30">
        <v>1</v>
      </c>
      <c r="AG13" s="30">
        <v>-2</v>
      </c>
      <c r="AH13" s="30">
        <v>1</v>
      </c>
      <c r="AI13" s="30">
        <v>5</v>
      </c>
      <c r="AJ13" s="30">
        <v>4</v>
      </c>
      <c r="AK13" s="30">
        <v>4</v>
      </c>
      <c r="AL13" s="30">
        <v>4</v>
      </c>
      <c r="AM13" s="30">
        <v>2</v>
      </c>
      <c r="AN13" s="30"/>
      <c r="AO13" s="144" t="s">
        <v>39</v>
      </c>
      <c r="AP13" s="160"/>
      <c r="AQ13" s="38"/>
      <c r="AR13" s="38"/>
      <c r="AS13" s="38"/>
      <c r="AT13" s="38"/>
      <c r="AU13" s="38"/>
      <c r="AV13" s="38"/>
      <c r="AW13" s="38"/>
      <c r="AX13" s="38"/>
      <c r="AY13" s="38"/>
      <c r="AZ13" s="38"/>
      <c r="BA13" s="38"/>
      <c r="BB13" s="38"/>
      <c r="BC13" s="38"/>
      <c r="BD13" s="38"/>
      <c r="BE13" s="38"/>
      <c r="BF13" s="38"/>
      <c r="BG13" s="38"/>
      <c r="BH13" s="173"/>
      <c r="BI13" s="183"/>
      <c r="BJ13" s="42"/>
      <c r="BK13" s="42"/>
      <c r="BL13" s="42"/>
      <c r="BM13" s="42"/>
      <c r="BN13" s="42"/>
      <c r="BO13" s="42"/>
      <c r="BP13" s="42"/>
      <c r="BQ13" s="42"/>
      <c r="BR13" s="42"/>
      <c r="BS13" s="42"/>
      <c r="BT13" s="42"/>
      <c r="BU13" s="42"/>
      <c r="BV13" s="42"/>
      <c r="BW13" s="42"/>
      <c r="BX13" s="42"/>
      <c r="BY13" s="42"/>
      <c r="BZ13" s="191"/>
      <c r="CA13" s="199"/>
      <c r="CB13" s="33"/>
      <c r="CC13" s="33"/>
      <c r="CD13" s="33"/>
      <c r="CE13" s="33"/>
      <c r="CF13" s="33"/>
      <c r="CG13" s="33"/>
      <c r="CH13" s="33"/>
      <c r="CI13" s="33"/>
      <c r="CJ13" s="33"/>
      <c r="CK13" s="33"/>
      <c r="CL13" s="33"/>
      <c r="CM13" s="33"/>
      <c r="CN13" s="33"/>
      <c r="CO13" s="33"/>
      <c r="CP13" s="33"/>
      <c r="CQ13" s="33"/>
      <c r="CR13" s="33"/>
      <c r="CS13" s="33"/>
      <c r="CT13" s="44"/>
      <c r="CU13" s="44"/>
      <c r="CV13" s="44"/>
      <c r="CW13" s="44"/>
      <c r="CX13" s="44"/>
      <c r="CY13" s="44"/>
      <c r="CZ13" s="44"/>
      <c r="DA13" s="44"/>
      <c r="DB13" s="44"/>
      <c r="DC13" s="44"/>
      <c r="DD13" s="44"/>
      <c r="DE13" s="44"/>
      <c r="DF13" s="44"/>
      <c r="DG13" s="44"/>
      <c r="DH13" s="44"/>
      <c r="DI13" s="44"/>
      <c r="DJ13" s="44"/>
      <c r="DK13" s="44"/>
      <c r="DL13" s="44"/>
    </row>
    <row r="14" spans="1:117" s="8" customFormat="1" ht="17" thickBot="1">
      <c r="A14" s="209"/>
      <c r="B14" s="120"/>
      <c r="C14" s="120"/>
      <c r="D14" s="120"/>
      <c r="E14" s="120"/>
      <c r="F14" s="120"/>
      <c r="G14" s="230"/>
      <c r="H14" s="16"/>
      <c r="I14" s="16"/>
      <c r="J14" s="16"/>
      <c r="K14" s="16"/>
      <c r="L14" s="16"/>
      <c r="M14" s="16"/>
      <c r="N14" s="16"/>
      <c r="O14" s="16"/>
      <c r="P14" s="12"/>
      <c r="Q14" s="12"/>
      <c r="R14" s="93"/>
      <c r="S14" s="93"/>
      <c r="T14" s="93"/>
      <c r="U14" s="93"/>
      <c r="V14" s="125"/>
      <c r="W14" s="125"/>
      <c r="X14" s="125"/>
      <c r="Y14" s="125"/>
      <c r="Z14" s="125"/>
      <c r="AA14" s="125"/>
      <c r="AB14" s="125"/>
      <c r="AC14" s="125"/>
      <c r="AD14" s="125"/>
      <c r="AE14" s="125"/>
      <c r="AF14" s="125"/>
      <c r="AG14" s="125"/>
      <c r="AH14" s="125"/>
      <c r="AI14" s="125"/>
      <c r="AJ14" s="125"/>
      <c r="AK14" s="125"/>
      <c r="AL14" s="125"/>
      <c r="AM14" s="125"/>
      <c r="AN14" s="78"/>
      <c r="AO14" s="147"/>
      <c r="AP14" s="161"/>
      <c r="AQ14" s="80"/>
      <c r="AR14" s="80"/>
      <c r="AS14" s="80"/>
      <c r="AT14" s="80"/>
      <c r="AU14" s="80"/>
      <c r="AV14" s="80"/>
      <c r="AW14" s="80"/>
      <c r="AX14" s="80"/>
      <c r="AY14" s="80"/>
      <c r="AZ14" s="80"/>
      <c r="BA14" s="80"/>
      <c r="BB14" s="80"/>
      <c r="BC14" s="80"/>
      <c r="BD14" s="80"/>
      <c r="BE14" s="80"/>
      <c r="BF14" s="80"/>
      <c r="BG14" s="80"/>
      <c r="BH14" s="174"/>
      <c r="BI14" s="184"/>
      <c r="BJ14" s="214"/>
      <c r="BK14" s="214"/>
      <c r="BL14" s="214"/>
      <c r="BM14" s="214"/>
      <c r="BN14" s="214"/>
      <c r="BO14" s="214"/>
      <c r="BP14" s="214"/>
      <c r="BQ14" s="214"/>
      <c r="BR14" s="214"/>
      <c r="BS14" s="214"/>
      <c r="BT14" s="214"/>
      <c r="BU14" s="214"/>
      <c r="BV14" s="214"/>
      <c r="BW14" s="214"/>
      <c r="BX14" s="214"/>
      <c r="BY14" s="81"/>
      <c r="BZ14" s="192"/>
      <c r="CA14" s="200"/>
      <c r="CB14" s="31"/>
      <c r="CC14" s="31"/>
      <c r="CD14" s="31"/>
      <c r="CE14" s="31"/>
      <c r="CF14" s="31"/>
      <c r="CG14" s="31"/>
      <c r="CH14" s="31"/>
      <c r="CI14" s="31"/>
      <c r="CJ14" s="31"/>
      <c r="CK14" s="31"/>
      <c r="CL14" s="31"/>
      <c r="CM14" s="31"/>
      <c r="CN14" s="31"/>
      <c r="CO14" s="31"/>
      <c r="CP14" s="31"/>
      <c r="CQ14" s="31"/>
      <c r="CR14" s="31"/>
      <c r="CS14" s="31"/>
      <c r="CT14" s="82"/>
      <c r="CU14" s="82"/>
      <c r="CV14" s="82"/>
      <c r="CW14" s="82"/>
      <c r="CX14" s="82"/>
      <c r="CY14" s="82"/>
      <c r="CZ14" s="82"/>
      <c r="DA14" s="82"/>
      <c r="DB14" s="82"/>
      <c r="DC14" s="82"/>
      <c r="DD14" s="82"/>
      <c r="DE14" s="82"/>
      <c r="DF14" s="82"/>
      <c r="DG14" s="82"/>
      <c r="DH14" s="82"/>
      <c r="DI14" s="82"/>
      <c r="DJ14" s="82"/>
      <c r="DK14" s="82"/>
      <c r="DL14" s="82"/>
    </row>
    <row r="15" spans="1:117" s="8" customFormat="1" ht="17" thickBot="1">
      <c r="A15" s="242" t="s">
        <v>129</v>
      </c>
      <c r="B15" s="243">
        <v>26.3</v>
      </c>
      <c r="C15" s="293">
        <v>2.65</v>
      </c>
      <c r="D15" s="244">
        <v>0.8</v>
      </c>
      <c r="E15" s="244">
        <v>0.4</v>
      </c>
      <c r="F15" s="245">
        <v>0.4</v>
      </c>
      <c r="G15" s="218" t="s">
        <v>14</v>
      </c>
      <c r="H15" s="119">
        <f>B15*C15/SUMPRODUCT(C$15:C$63,B$15:B$63)*100</f>
        <v>25.885127823208759</v>
      </c>
      <c r="I15" s="20">
        <f t="shared" ref="I15:I40" si="7">B15*S15/SUMPRODUCT(B$15:B$63,S$15:S$63)*100</f>
        <v>61.763794664790737</v>
      </c>
      <c r="J15" s="137">
        <f>D15*E15*F15</f>
        <v>0.12800000000000003</v>
      </c>
      <c r="K15" s="22">
        <f t="shared" ref="K15:K40" si="8">F15*E15*D15*C15</f>
        <v>0.33920000000000006</v>
      </c>
      <c r="L15" s="77">
        <f>L$6*H15/100</f>
        <v>161.78204889505474</v>
      </c>
      <c r="M15" s="88">
        <f>IF(K15&gt;0,L15/K15,0)</f>
        <v>476.95179509155281</v>
      </c>
      <c r="N15" s="88">
        <f t="shared" ref="N15:N40" si="9">IF(B15&gt;0,M15/(B15/100),0)</f>
        <v>1813.5049243024821</v>
      </c>
      <c r="O15" s="88">
        <f>IF(OR(B15=0,N15=0),0,IF(G15="H",SQRT((100-B15)/100*B15/100*N15*(G$9*N15-N15)/(G$9*N15-1)),IF(G15="B",SQRT((100-B15)/100*B15/100*N15),IF(G15="P",SQRT(M15),0))))</f>
        <v>18.73932104284378</v>
      </c>
      <c r="P15" s="263">
        <f>IF(AND(M15&gt;0,O15&gt;0),O15/M15*100,0)</f>
        <v>3.9289758914203672</v>
      </c>
      <c r="Q15" s="263">
        <f t="shared" ref="Q15:Q40" si="10">P15/100*H15</f>
        <v>1.0170204316372178</v>
      </c>
      <c r="R15" s="94">
        <f t="shared" ref="R15:R40" si="11">(T15/C15)</f>
        <v>22.673320754716983</v>
      </c>
      <c r="S15" s="95">
        <f>1/R15</f>
        <v>4.4104699563779555E-2</v>
      </c>
      <c r="T15" s="94">
        <f t="shared" ref="T15:T40" si="12">SUMPRODUCT(V15:AM15,V$12:AM$12)</f>
        <v>60.084299999999999</v>
      </c>
      <c r="U15" s="123">
        <f t="shared" ref="U15:U40" si="13">SUMPRODUCT(V$13:AM$13,V15:AM15)</f>
        <v>0</v>
      </c>
      <c r="V15" s="128">
        <v>1</v>
      </c>
      <c r="W15" s="129">
        <v>0</v>
      </c>
      <c r="X15" s="129">
        <v>0</v>
      </c>
      <c r="Y15" s="129">
        <v>0</v>
      </c>
      <c r="Z15" s="129">
        <v>0</v>
      </c>
      <c r="AA15" s="129">
        <v>0</v>
      </c>
      <c r="AB15" s="129">
        <v>0</v>
      </c>
      <c r="AC15" s="129">
        <v>0</v>
      </c>
      <c r="AD15" s="129">
        <v>0</v>
      </c>
      <c r="AE15" s="129">
        <v>0</v>
      </c>
      <c r="AF15" s="129">
        <v>0</v>
      </c>
      <c r="AG15" s="129">
        <v>2</v>
      </c>
      <c r="AH15" s="129">
        <v>0</v>
      </c>
      <c r="AI15" s="129">
        <v>0</v>
      </c>
      <c r="AJ15" s="129">
        <v>0</v>
      </c>
      <c r="AK15" s="129">
        <v>0</v>
      </c>
      <c r="AL15" s="129">
        <v>0</v>
      </c>
      <c r="AM15" s="130">
        <v>0</v>
      </c>
      <c r="AN15" s="124">
        <f t="shared" ref="AN15:AN40" si="14">SUM(V15:AM15)</f>
        <v>3</v>
      </c>
      <c r="AO15" s="148">
        <f>X15+Y15+Z15+AE15+AF15+AH15+AI15+AK15</f>
        <v>0</v>
      </c>
      <c r="AP15" s="162">
        <f t="shared" ref="AP15:AP40" si="15">V15/$AN15*100</f>
        <v>33.333333333333329</v>
      </c>
      <c r="AQ15" s="83">
        <f t="shared" ref="AQ15:AQ40" si="16">W15/$AN15*100</f>
        <v>0</v>
      </c>
      <c r="AR15" s="83">
        <f t="shared" ref="AR15:AR39" si="17">X15/$AN15*100</f>
        <v>0</v>
      </c>
      <c r="AS15" s="83">
        <f t="shared" ref="AS15:AS39" si="18">Y15/$AN15*100</f>
        <v>0</v>
      </c>
      <c r="AT15" s="83">
        <f t="shared" ref="AT15:BF15" si="19">Z15/$AN15*100</f>
        <v>0</v>
      </c>
      <c r="AU15" s="83">
        <f t="shared" si="19"/>
        <v>0</v>
      </c>
      <c r="AV15" s="83">
        <f t="shared" si="19"/>
        <v>0</v>
      </c>
      <c r="AW15" s="83">
        <f t="shared" si="19"/>
        <v>0</v>
      </c>
      <c r="AX15" s="83">
        <f t="shared" si="19"/>
        <v>0</v>
      </c>
      <c r="AY15" s="83">
        <f t="shared" si="19"/>
        <v>0</v>
      </c>
      <c r="AZ15" s="83">
        <f t="shared" si="19"/>
        <v>0</v>
      </c>
      <c r="BA15" s="83">
        <f t="shared" si="19"/>
        <v>66.666666666666657</v>
      </c>
      <c r="BB15" s="83">
        <f t="shared" si="19"/>
        <v>0</v>
      </c>
      <c r="BC15" s="83">
        <f t="shared" si="19"/>
        <v>0</v>
      </c>
      <c r="BD15" s="83">
        <f t="shared" si="19"/>
        <v>0</v>
      </c>
      <c r="BE15" s="83">
        <f t="shared" si="19"/>
        <v>0</v>
      </c>
      <c r="BF15" s="83">
        <f t="shared" si="19"/>
        <v>0</v>
      </c>
      <c r="BG15" s="83">
        <f t="shared" ref="BG15:BG40" si="20">AM15/$AN15*100</f>
        <v>0</v>
      </c>
      <c r="BH15" s="175">
        <f>SUM(AP15:BG15)</f>
        <v>99.999999999999986</v>
      </c>
      <c r="BI15" s="212">
        <f t="shared" ref="BI15:BS15" si="21">V15/(SUM($V15:$AF15,$AH15:$AM15)-$AO15/2)*100/BI$12</f>
        <v>100</v>
      </c>
      <c r="BJ15" s="85">
        <f t="shared" si="21"/>
        <v>0</v>
      </c>
      <c r="BK15" s="85">
        <f t="shared" si="21"/>
        <v>0</v>
      </c>
      <c r="BL15" s="85">
        <f t="shared" si="21"/>
        <v>0</v>
      </c>
      <c r="BM15" s="85">
        <f t="shared" si="21"/>
        <v>0</v>
      </c>
      <c r="BN15" s="85">
        <f t="shared" si="21"/>
        <v>0</v>
      </c>
      <c r="BO15" s="85">
        <f t="shared" si="21"/>
        <v>0</v>
      </c>
      <c r="BP15" s="85">
        <f t="shared" si="21"/>
        <v>0</v>
      </c>
      <c r="BQ15" s="85">
        <f t="shared" si="21"/>
        <v>0</v>
      </c>
      <c r="BR15" s="85">
        <f t="shared" si="21"/>
        <v>0</v>
      </c>
      <c r="BS15" s="85">
        <f t="shared" si="21"/>
        <v>0</v>
      </c>
      <c r="BT15" s="216">
        <f>AH15/(SUM($V15:$AF15,$AH15:$AM15)-$AO15/2)*100/BT$12</f>
        <v>0</v>
      </c>
      <c r="BU15" s="216">
        <f t="shared" ref="BU15:BY30" si="22">AI15/(SUM($V15:$AF15,$AH15:$AM15)-$AO15/2)*100/BU$12</f>
        <v>0</v>
      </c>
      <c r="BV15" s="216">
        <f t="shared" si="22"/>
        <v>0</v>
      </c>
      <c r="BW15" s="216">
        <f t="shared" si="22"/>
        <v>0</v>
      </c>
      <c r="BX15" s="216">
        <f t="shared" si="22"/>
        <v>0</v>
      </c>
      <c r="BY15" s="213">
        <f t="shared" si="22"/>
        <v>0</v>
      </c>
      <c r="BZ15" s="193">
        <f>SUM(BI15:BY15)</f>
        <v>100</v>
      </c>
      <c r="CA15" s="201">
        <f t="shared" ref="CA15:CR15" si="23">(V15*CA$12)/SUMPRODUCT($CA$12:$CR$12,$V15:$AM15)*100</f>
        <v>46.74349206032192</v>
      </c>
      <c r="CB15" s="108">
        <f t="shared" si="23"/>
        <v>0</v>
      </c>
      <c r="CC15" s="108">
        <f t="shared" si="23"/>
        <v>0</v>
      </c>
      <c r="CD15" s="108">
        <f t="shared" si="23"/>
        <v>0</v>
      </c>
      <c r="CE15" s="108">
        <f t="shared" si="23"/>
        <v>0</v>
      </c>
      <c r="CF15" s="108">
        <f t="shared" si="23"/>
        <v>0</v>
      </c>
      <c r="CG15" s="108">
        <f t="shared" si="23"/>
        <v>0</v>
      </c>
      <c r="CH15" s="108">
        <f t="shared" si="23"/>
        <v>0</v>
      </c>
      <c r="CI15" s="108">
        <f t="shared" si="23"/>
        <v>0</v>
      </c>
      <c r="CJ15" s="108">
        <f t="shared" si="23"/>
        <v>0</v>
      </c>
      <c r="CK15" s="108">
        <f t="shared" si="23"/>
        <v>0</v>
      </c>
      <c r="CL15" s="108">
        <f t="shared" si="23"/>
        <v>53.256507939678087</v>
      </c>
      <c r="CM15" s="108">
        <f t="shared" si="23"/>
        <v>0</v>
      </c>
      <c r="CN15" s="108">
        <f t="shared" si="23"/>
        <v>0</v>
      </c>
      <c r="CO15" s="108">
        <f t="shared" si="23"/>
        <v>0</v>
      </c>
      <c r="CP15" s="108">
        <f t="shared" si="23"/>
        <v>0</v>
      </c>
      <c r="CQ15" s="108">
        <f t="shared" si="23"/>
        <v>0</v>
      </c>
      <c r="CR15" s="108">
        <f t="shared" si="23"/>
        <v>0</v>
      </c>
      <c r="CS15" s="109">
        <f>SUM(CA15:CR15)</f>
        <v>100</v>
      </c>
      <c r="CT15" s="110">
        <f t="shared" ref="CT15:CT40" si="24">(V15*CT$12)/SUMPRODUCT($CT$12:$DK$12,$V15:$AM15)*100</f>
        <v>100</v>
      </c>
      <c r="CU15" s="110">
        <f t="shared" ref="CU15:CU40" si="25">(W15*CU$12)/SUMPRODUCT($CT$12:$DK$12,$V15:$AM15)*100</f>
        <v>0</v>
      </c>
      <c r="CV15" s="110">
        <f t="shared" ref="CV15:CV40" si="26">(X15*CV$12)/SUMPRODUCT($CT$12:$DK$12,$V15:$AM15)*100</f>
        <v>0</v>
      </c>
      <c r="CW15" s="110">
        <f t="shared" ref="CW15:CW40" si="27">(Y15*CW$12)/SUMPRODUCT($CT$12:$DK$12,$V15:$AM15)*100</f>
        <v>0</v>
      </c>
      <c r="CX15" s="110">
        <f t="shared" ref="CX15:DK15" si="28">(Z15*CX$12)/SUMPRODUCT($CT$12:$DK$12,$V15:$AM15)*100</f>
        <v>0</v>
      </c>
      <c r="CY15" s="110">
        <f t="shared" si="28"/>
        <v>0</v>
      </c>
      <c r="CZ15" s="110">
        <f t="shared" si="28"/>
        <v>0</v>
      </c>
      <c r="DA15" s="110">
        <f t="shared" si="28"/>
        <v>0</v>
      </c>
      <c r="DB15" s="110">
        <f t="shared" si="28"/>
        <v>0</v>
      </c>
      <c r="DC15" s="110">
        <f t="shared" si="28"/>
        <v>0</v>
      </c>
      <c r="DD15" s="110">
        <f t="shared" si="28"/>
        <v>0</v>
      </c>
      <c r="DE15" s="110">
        <f t="shared" si="28"/>
        <v>0</v>
      </c>
      <c r="DF15" s="110">
        <f t="shared" si="28"/>
        <v>0</v>
      </c>
      <c r="DG15" s="110">
        <f t="shared" si="28"/>
        <v>0</v>
      </c>
      <c r="DH15" s="110">
        <f t="shared" si="28"/>
        <v>0</v>
      </c>
      <c r="DI15" s="110">
        <f t="shared" si="28"/>
        <v>0</v>
      </c>
      <c r="DJ15" s="110">
        <f t="shared" si="28"/>
        <v>0</v>
      </c>
      <c r="DK15" s="110">
        <f t="shared" si="28"/>
        <v>0</v>
      </c>
      <c r="DL15" s="111">
        <f>SUM(CT15:DK15)</f>
        <v>100</v>
      </c>
    </row>
    <row r="16" spans="1:117" s="8" customFormat="1" ht="17" thickBot="1">
      <c r="A16" s="246" t="s">
        <v>72</v>
      </c>
      <c r="B16" s="247">
        <v>27.1</v>
      </c>
      <c r="C16" s="292">
        <v>2.64</v>
      </c>
      <c r="D16" s="248">
        <v>0.4</v>
      </c>
      <c r="E16" s="248">
        <v>0.2</v>
      </c>
      <c r="F16" s="249">
        <v>0.2</v>
      </c>
      <c r="G16" s="218" t="s">
        <v>14</v>
      </c>
      <c r="H16" s="119">
        <f t="shared" ref="H16:H40" si="29">B16*C16/SUMPRODUCT(C$15:C$63,B$15:B$63)*100</f>
        <v>26.57185716311999</v>
      </c>
      <c r="I16" s="20">
        <f t="shared" si="7"/>
        <v>14.252156480985793</v>
      </c>
      <c r="J16" s="137">
        <f t="shared" ref="J16:J40" si="30">D16*E16*F16</f>
        <v>1.6000000000000004E-2</v>
      </c>
      <c r="K16" s="22">
        <f t="shared" si="8"/>
        <v>4.2240000000000014E-2</v>
      </c>
      <c r="L16" s="77">
        <f t="shared" ref="L16:L40" si="31">L$6*H16/100</f>
        <v>166.07410726949993</v>
      </c>
      <c r="M16" s="88">
        <f t="shared" ref="M16:M40" si="32">IF(K16&gt;0,L16/K16,0)</f>
        <v>3931.6786758877811</v>
      </c>
      <c r="N16" s="88">
        <f t="shared" si="9"/>
        <v>14508.039394419855</v>
      </c>
      <c r="O16" s="88">
        <f t="shared" ref="O16:O40" si="33">IF(OR(B16=0,N16=0),0,IF(G16="H",SQRT((100-B16)/100*B16/100*N16*(G$9*N16-N16)/(G$9*N16-1)),IF(G16="B",SQRT((100-B16)/100*B16/100*N16),IF(G16="P",SQRT(M16),0))))</f>
        <v>53.510071559744013</v>
      </c>
      <c r="P16" s="263">
        <f t="shared" ref="P16:P40" si="34">IF(AND(M16&gt;0,O16&gt;0),O16/M16*100,0)</f>
        <v>1.3609980868454701</v>
      </c>
      <c r="Q16" s="263">
        <f t="shared" si="10"/>
        <v>0.36164246762937408</v>
      </c>
      <c r="R16" s="94">
        <f t="shared" si="11"/>
        <v>101.24697646969695</v>
      </c>
      <c r="S16" s="95">
        <f t="shared" ref="S16:S40" si="35">1/R16</f>
        <v>9.8768381522908819E-3</v>
      </c>
      <c r="T16" s="94">
        <f t="shared" si="12"/>
        <v>267.29201787999995</v>
      </c>
      <c r="U16" s="123">
        <f t="shared" si="13"/>
        <v>1.0000000000012221E-3</v>
      </c>
      <c r="V16" s="131">
        <v>2.694</v>
      </c>
      <c r="W16" s="127">
        <v>0</v>
      </c>
      <c r="X16" s="127">
        <v>1.3080000000000001</v>
      </c>
      <c r="Y16" s="127">
        <v>0</v>
      </c>
      <c r="Z16" s="127">
        <v>0</v>
      </c>
      <c r="AA16" s="127">
        <v>5.0000000000000001E-3</v>
      </c>
      <c r="AB16" s="127">
        <v>0</v>
      </c>
      <c r="AC16" s="127">
        <v>0</v>
      </c>
      <c r="AD16" s="127">
        <v>0.29299999999999998</v>
      </c>
      <c r="AE16" s="127">
        <v>0.69799999999999995</v>
      </c>
      <c r="AF16" s="127">
        <v>7.0000000000000001E-3</v>
      </c>
      <c r="AG16" s="127">
        <v>8</v>
      </c>
      <c r="AH16" s="127">
        <v>0</v>
      </c>
      <c r="AI16" s="127">
        <v>0</v>
      </c>
      <c r="AJ16" s="127">
        <v>0</v>
      </c>
      <c r="AK16" s="127">
        <v>0</v>
      </c>
      <c r="AL16" s="127">
        <v>0</v>
      </c>
      <c r="AM16" s="132">
        <v>0</v>
      </c>
      <c r="AN16" s="124">
        <f t="shared" si="14"/>
        <v>13.004999999999999</v>
      </c>
      <c r="AO16" s="148">
        <f t="shared" ref="AO16:AO40" si="36">X16+Y16+Z16+AE16+AF16+AH16+AI16+AK16</f>
        <v>2.0130000000000003</v>
      </c>
      <c r="AP16" s="162">
        <f t="shared" si="15"/>
        <v>20.715109573241062</v>
      </c>
      <c r="AQ16" s="83">
        <f t="shared" si="16"/>
        <v>0</v>
      </c>
      <c r="AR16" s="83">
        <f t="shared" si="17"/>
        <v>10.05767012687428</v>
      </c>
      <c r="AS16" s="83">
        <f t="shared" si="18"/>
        <v>0</v>
      </c>
      <c r="AT16" s="83">
        <f t="shared" ref="AT16:AT40" si="37">Z16/$AN16*100</f>
        <v>0</v>
      </c>
      <c r="AU16" s="83">
        <f t="shared" ref="AU16:AU40" si="38">AA16/$AN16*100</f>
        <v>3.844675124951942E-2</v>
      </c>
      <c r="AV16" s="83">
        <f t="shared" ref="AV16:AV40" si="39">AB16/$AN16*100</f>
        <v>0</v>
      </c>
      <c r="AW16" s="83">
        <f t="shared" ref="AW16:AW40" si="40">AC16/$AN16*100</f>
        <v>0</v>
      </c>
      <c r="AX16" s="83">
        <f t="shared" ref="AX16:AX40" si="41">AD16/$AN16*100</f>
        <v>2.252979623221838</v>
      </c>
      <c r="AY16" s="83">
        <f t="shared" ref="AY16:AY40" si="42">AE16/$AN16*100</f>
        <v>5.3671664744329108</v>
      </c>
      <c r="AZ16" s="83">
        <f t="shared" ref="AZ16:AZ40" si="43">AF16/$AN16*100</f>
        <v>5.3825451749327194E-2</v>
      </c>
      <c r="BA16" s="83">
        <f t="shared" ref="BA16:BA40" si="44">AG16/$AN16*100</f>
        <v>61.514801999231075</v>
      </c>
      <c r="BB16" s="83">
        <f t="shared" ref="BB16:BB40" si="45">AH16/$AN16*100</f>
        <v>0</v>
      </c>
      <c r="BC16" s="83">
        <f t="shared" ref="BC16:BC40" si="46">AI16/$AN16*100</f>
        <v>0</v>
      </c>
      <c r="BD16" s="83">
        <f t="shared" ref="BD16:BE40" si="47">AJ16/$AN16*100</f>
        <v>0</v>
      </c>
      <c r="BE16" s="83">
        <f t="shared" si="47"/>
        <v>0</v>
      </c>
      <c r="BF16" s="83">
        <f t="shared" ref="BF16:BF40" si="48">AL16/$AN16*100</f>
        <v>0</v>
      </c>
      <c r="BG16" s="83">
        <f t="shared" si="20"/>
        <v>0</v>
      </c>
      <c r="BH16" s="175">
        <f t="shared" ref="BH16:BH40" si="49">SUM(AP16:BG16)</f>
        <v>100.00000000000001</v>
      </c>
      <c r="BI16" s="212">
        <f t="shared" ref="BI16:BI40" si="50">V16/(SUM($V16:$AF16,$AH16:$AM16)-$AO16/2)*100/BI$12</f>
        <v>67.375265724646766</v>
      </c>
      <c r="BJ16" s="85">
        <f t="shared" ref="BJ16:BJ40" si="51">W16/(SUM($V16:$AF16,$AH16:$AM16)-$AO16/2)*100/BJ$12</f>
        <v>0</v>
      </c>
      <c r="BK16" s="85">
        <f t="shared" ref="BK16:BK40" si="52">X16/(SUM($V16:$AF16,$AH16:$AM16)-$AO16/2)*100/BK$12</f>
        <v>16.356133550081285</v>
      </c>
      <c r="BL16" s="85">
        <f t="shared" ref="BL16:BL40" si="53">Y16/(SUM($V16:$AF16,$AH16:$AM16)-$AO16/2)*100/BL$12</f>
        <v>0</v>
      </c>
      <c r="BM16" s="85">
        <f t="shared" ref="BM16:BM40" si="54">Z16/(SUM($V16:$AF16,$AH16:$AM16)-$AO16/2)*100/BM$12</f>
        <v>0</v>
      </c>
      <c r="BN16" s="85">
        <f t="shared" ref="BN16:BN40" si="55">AA16/(SUM($V16:$AF16,$AH16:$AM16)-$AO16/2)*100/BN$12</f>
        <v>0.12504689258471929</v>
      </c>
      <c r="BO16" s="85">
        <f t="shared" ref="BO16:BO40" si="56">AB16/(SUM($V16:$AF16,$AH16:$AM16)-$AO16/2)*100/BO$12</f>
        <v>0</v>
      </c>
      <c r="BP16" s="85">
        <f t="shared" ref="BP16:BP40" si="57">AC16/(SUM($V16:$AF16,$AH16:$AM16)-$AO16/2)*100/BP$12</f>
        <v>0</v>
      </c>
      <c r="BQ16" s="85">
        <f t="shared" ref="BQ16:BQ40" si="58">AD16/(SUM($V16:$AF16,$AH16:$AM16)-$AO16/2)*100/BQ$12</f>
        <v>7.32774790546455</v>
      </c>
      <c r="BR16" s="85">
        <f t="shared" ref="BR16:BR40" si="59">AE16/(SUM($V16:$AF16,$AH16:$AM16)-$AO16/2)*100/BR$12</f>
        <v>8.7282731024134073</v>
      </c>
      <c r="BS16" s="85">
        <f t="shared" ref="BS16:BS40" si="60">AF16/(SUM($V16:$AF16,$AH16:$AM16)-$AO16/2)*100/BS$12</f>
        <v>8.7532824809303508E-2</v>
      </c>
      <c r="BT16" s="216">
        <f t="shared" ref="BT16:BT40" si="61">AH16/(SUM($V16:$AF16,$AH16:$AM16)-$AO16/2)*100/BT$12</f>
        <v>0</v>
      </c>
      <c r="BU16" s="216">
        <f t="shared" si="22"/>
        <v>0</v>
      </c>
      <c r="BV16" s="216">
        <f t="shared" si="22"/>
        <v>0</v>
      </c>
      <c r="BW16" s="216">
        <f t="shared" si="22"/>
        <v>0</v>
      </c>
      <c r="BX16" s="216">
        <f t="shared" si="22"/>
        <v>0</v>
      </c>
      <c r="BY16" s="213">
        <f t="shared" si="22"/>
        <v>0</v>
      </c>
      <c r="BZ16" s="193">
        <f t="shared" ref="BZ16:BZ40" si="62">SUM(BI16:BY16)</f>
        <v>100.00000000000003</v>
      </c>
      <c r="CA16" s="201">
        <f t="shared" ref="CA16:CA40" si="63">(V16*CA$12)/SUMPRODUCT($CA$12:$CR$12,$V16:$AM16)*100</f>
        <v>28.306994574738255</v>
      </c>
      <c r="CB16" s="108">
        <f t="shared" ref="CB16:CB40" si="64">(W16*CB$12)/SUMPRODUCT($CA$12:$CR$12,$V16:$AM16)*100</f>
        <v>0</v>
      </c>
      <c r="CC16" s="108">
        <f t="shared" ref="CC16:CC40" si="65">(X16*CC$12)/SUMPRODUCT($CA$12:$CR$12,$V16:$AM16)*100</f>
        <v>13.203482318669232</v>
      </c>
      <c r="CD16" s="108">
        <f t="shared" ref="CD16:CD40" si="66">(Y16*CD$12)/SUMPRODUCT($CA$12:$CR$12,$V16:$AM16)*100</f>
        <v>0</v>
      </c>
      <c r="CE16" s="108">
        <f t="shared" ref="CE16:CE40" si="67">(Z16*CE$12)/SUMPRODUCT($CA$12:$CR$12,$V16:$AM16)*100</f>
        <v>0</v>
      </c>
      <c r="CF16" s="108">
        <f t="shared" ref="CF16:CF40" si="68">(AA16*CF$12)/SUMPRODUCT($CA$12:$CR$12,$V16:$AM16)*100</f>
        <v>0.10446439898005384</v>
      </c>
      <c r="CG16" s="108">
        <f t="shared" ref="CG16:CG40" si="69">(AB16*CG$12)/SUMPRODUCT($CA$12:$CR$12,$V16:$AM16)*100</f>
        <v>0</v>
      </c>
      <c r="CH16" s="108">
        <f t="shared" ref="CH16:CH40" si="70">(AC16*CH$12)/SUMPRODUCT($CA$12:$CR$12,$V16:$AM16)*100</f>
        <v>0</v>
      </c>
      <c r="CI16" s="108">
        <f t="shared" ref="CI16:CI40" si="71">(AD16*CI$12)/SUMPRODUCT($CA$12:$CR$12,$V16:$AM16)*100</f>
        <v>4.3932677425750599</v>
      </c>
      <c r="CJ16" s="108">
        <f t="shared" ref="CJ16:CJ40" si="72">(AE16*CJ$12)/SUMPRODUCT($CA$12:$CR$12,$V16:$AM16)*100</f>
        <v>6.0034937022340102</v>
      </c>
      <c r="CK16" s="108">
        <f t="shared" ref="CK16:CK40" si="73">(AF16*CK$12)/SUMPRODUCT($CA$12:$CR$12,$V16:$AM16)*100</f>
        <v>0.10239291923893948</v>
      </c>
      <c r="CL16" s="108">
        <f t="shared" ref="CL16:CL40" si="74">(AG16*CL$12)/SUMPRODUCT($CA$12:$CR$12,$V16:$AM16)*100</f>
        <v>47.885904343564462</v>
      </c>
      <c r="CM16" s="108">
        <f t="shared" ref="CM16:CM40" si="75">(AH16*CM$12)/SUMPRODUCT($CA$12:$CR$12,$V16:$AM16)*100</f>
        <v>0</v>
      </c>
      <c r="CN16" s="108">
        <f t="shared" ref="CN16:CN40" si="76">(AI16*CN$12)/SUMPRODUCT($CA$12:$CR$12,$V16:$AM16)*100</f>
        <v>0</v>
      </c>
      <c r="CO16" s="108">
        <f t="shared" ref="CO16:CP40" si="77">(AJ16*CO$12)/SUMPRODUCT($CA$12:$CR$12,$V16:$AM16)*100</f>
        <v>0</v>
      </c>
      <c r="CP16" s="108">
        <f t="shared" si="77"/>
        <v>0</v>
      </c>
      <c r="CQ16" s="108">
        <f t="shared" ref="CQ16:CQ40" si="78">(AL16*CQ$12)/SUMPRODUCT($CA$12:$CR$12,$V16:$AM16)*100</f>
        <v>0</v>
      </c>
      <c r="CR16" s="108">
        <f t="shared" ref="CR16:CR40" si="79">(AM16*CR$12)/SUMPRODUCT($CA$12:$CR$12,$V16:$AM16)*100</f>
        <v>0</v>
      </c>
      <c r="CS16" s="109">
        <f t="shared" ref="CS16:CS40" si="80">SUM(CA16:CR16)</f>
        <v>100.00000000000001</v>
      </c>
      <c r="CT16" s="110">
        <f t="shared" si="24"/>
        <v>60.556338778225083</v>
      </c>
      <c r="CU16" s="110">
        <f t="shared" si="25"/>
        <v>0</v>
      </c>
      <c r="CV16" s="110">
        <f t="shared" si="26"/>
        <v>24.946753735264014</v>
      </c>
      <c r="CW16" s="110">
        <f t="shared" si="27"/>
        <v>0</v>
      </c>
      <c r="CX16" s="110">
        <f t="shared" ref="CX16:CX40" si="81">(Z16*CX$12)/SUMPRODUCT($CT$12:$DK$12,$V16:$AM16)*100</f>
        <v>0</v>
      </c>
      <c r="CY16" s="110">
        <f t="shared" ref="CY16:CY40" si="82">(AA16*CY$12)/SUMPRODUCT($CT$12:$DK$12,$V16:$AM16)*100</f>
        <v>0.13438906710602394</v>
      </c>
      <c r="CZ16" s="110">
        <f t="shared" ref="CZ16:CZ40" si="83">(AB16*CZ$12)/SUMPRODUCT($CT$12:$DK$12,$V16:$AM16)*100</f>
        <v>0</v>
      </c>
      <c r="DA16" s="110">
        <f t="shared" ref="DA16:DA40" si="84">(AC16*DA$12)/SUMPRODUCT($CT$12:$DK$12,$V16:$AM16)*100</f>
        <v>0</v>
      </c>
      <c r="DB16" s="110">
        <f t="shared" ref="DB16:DB40" si="85">(AD16*DB$12)/SUMPRODUCT($CT$12:$DK$12,$V16:$AM16)*100</f>
        <v>6.1469050203419746</v>
      </c>
      <c r="DC16" s="110">
        <f t="shared" ref="DC16:DC40" si="86">(AE16*DC$12)/SUMPRODUCT($CT$12:$DK$12,$V16:$AM16)*100</f>
        <v>8.092274088057696</v>
      </c>
      <c r="DD16" s="110">
        <f t="shared" ref="DD16:DD40" si="87">(AF16*DD$12)/SUMPRODUCT($CT$12:$DK$12,$V16:$AM16)*100</f>
        <v>0.12333931100521854</v>
      </c>
      <c r="DE16" s="110">
        <f t="shared" ref="DE16:DE40" si="88">(AG16*DE$12)/SUMPRODUCT($CT$12:$DK$12,$V16:$AM16)*100</f>
        <v>0</v>
      </c>
      <c r="DF16" s="110">
        <f t="shared" ref="DF16:DF40" si="89">(AH16*DF$12)/SUMPRODUCT($CT$12:$DK$12,$V16:$AM16)*100</f>
        <v>0</v>
      </c>
      <c r="DG16" s="110">
        <f t="shared" ref="DG16:DG40" si="90">(AI16*DG$12)/SUMPRODUCT($CT$12:$DK$12,$V16:$AM16)*100</f>
        <v>0</v>
      </c>
      <c r="DH16" s="110">
        <f t="shared" ref="DH16:DI40" si="91">(AJ16*DH$12)/SUMPRODUCT($CT$12:$DK$12,$V16:$AM16)*100</f>
        <v>0</v>
      </c>
      <c r="DI16" s="110">
        <f t="shared" si="91"/>
        <v>0</v>
      </c>
      <c r="DJ16" s="110">
        <f t="shared" ref="DJ16:DJ40" si="92">(AL16*DJ$12)/SUMPRODUCT($CT$12:$DK$12,$V16:$AM16)*100</f>
        <v>0</v>
      </c>
      <c r="DK16" s="110">
        <f t="shared" ref="DK16:DK40" si="93">(AM16*DK$12)/SUMPRODUCT($CT$12:$DK$12,$V16:$AM16)*100</f>
        <v>0</v>
      </c>
      <c r="DL16" s="111">
        <f t="shared" ref="DL16:DL40" si="94">SUM(CT16:DK16)</f>
        <v>100.00000000000001</v>
      </c>
    </row>
    <row r="17" spans="1:116" s="8" customFormat="1" ht="17" thickBot="1">
      <c r="A17" s="246" t="s">
        <v>99</v>
      </c>
      <c r="B17" s="247">
        <v>38.200000000000003</v>
      </c>
      <c r="C17" s="292">
        <v>2.57</v>
      </c>
      <c r="D17" s="248">
        <v>2.4</v>
      </c>
      <c r="E17" s="248">
        <v>1.2</v>
      </c>
      <c r="F17" s="249">
        <v>1</v>
      </c>
      <c r="G17" s="218" t="s">
        <v>14</v>
      </c>
      <c r="H17" s="119">
        <f t="shared" si="29"/>
        <v>36.462393843399049</v>
      </c>
      <c r="I17" s="20">
        <f t="shared" si="7"/>
        <v>18.954129220728884</v>
      </c>
      <c r="J17" s="137">
        <f t="shared" si="30"/>
        <v>2.88</v>
      </c>
      <c r="K17" s="22">
        <f t="shared" si="8"/>
        <v>7.4015999999999993</v>
      </c>
      <c r="L17" s="77">
        <f t="shared" si="31"/>
        <v>227.88996152124403</v>
      </c>
      <c r="M17" s="88">
        <f t="shared" si="32"/>
        <v>30.789283603713258</v>
      </c>
      <c r="N17" s="88">
        <f t="shared" si="9"/>
        <v>80.600218857888109</v>
      </c>
      <c r="O17" s="88">
        <f t="shared" si="33"/>
        <v>4.3599295100583655</v>
      </c>
      <c r="P17" s="263">
        <f t="shared" si="34"/>
        <v>14.160542239873838</v>
      </c>
      <c r="Q17" s="263">
        <f t="shared" si="10"/>
        <v>5.1632726818636803</v>
      </c>
      <c r="R17" s="94">
        <f t="shared" si="11"/>
        <v>107.31313435019456</v>
      </c>
      <c r="S17" s="95">
        <f t="shared" si="35"/>
        <v>9.3185238326624932E-3</v>
      </c>
      <c r="T17" s="94">
        <f t="shared" si="12"/>
        <v>275.79475528</v>
      </c>
      <c r="U17" s="123">
        <f t="shared" si="13"/>
        <v>1.7999999999999999E-2</v>
      </c>
      <c r="V17" s="131">
        <v>2.944</v>
      </c>
      <c r="W17" s="127">
        <v>0</v>
      </c>
      <c r="X17" s="127">
        <v>1.0669999999999999</v>
      </c>
      <c r="Y17" s="127">
        <v>0</v>
      </c>
      <c r="Z17" s="127">
        <v>0</v>
      </c>
      <c r="AA17" s="127">
        <v>3.0000000000000001E-3</v>
      </c>
      <c r="AB17" s="127">
        <v>0</v>
      </c>
      <c r="AC17" s="127">
        <v>0</v>
      </c>
      <c r="AD17" s="127">
        <v>3.4000000000000002E-2</v>
      </c>
      <c r="AE17" s="127">
        <v>0.22</v>
      </c>
      <c r="AF17" s="127">
        <v>0.72899999999999998</v>
      </c>
      <c r="AG17" s="127">
        <v>8</v>
      </c>
      <c r="AH17" s="127">
        <v>0</v>
      </c>
      <c r="AI17" s="127">
        <v>0</v>
      </c>
      <c r="AJ17" s="127">
        <v>0</v>
      </c>
      <c r="AK17" s="127">
        <v>0</v>
      </c>
      <c r="AL17" s="127">
        <v>0</v>
      </c>
      <c r="AM17" s="132">
        <v>8.9999999999999993E-3</v>
      </c>
      <c r="AN17" s="124">
        <f t="shared" si="14"/>
        <v>13.006</v>
      </c>
      <c r="AO17" s="148">
        <f t="shared" si="36"/>
        <v>2.016</v>
      </c>
      <c r="AP17" s="162">
        <f t="shared" si="15"/>
        <v>22.635706596955252</v>
      </c>
      <c r="AQ17" s="83">
        <f t="shared" si="16"/>
        <v>0</v>
      </c>
      <c r="AR17" s="83">
        <f t="shared" si="17"/>
        <v>8.2039058895894197</v>
      </c>
      <c r="AS17" s="83">
        <f t="shared" si="18"/>
        <v>0</v>
      </c>
      <c r="AT17" s="83">
        <f t="shared" si="37"/>
        <v>0</v>
      </c>
      <c r="AU17" s="83">
        <f t="shared" si="38"/>
        <v>2.3066277102875597E-2</v>
      </c>
      <c r="AV17" s="83">
        <f t="shared" si="39"/>
        <v>0</v>
      </c>
      <c r="AW17" s="83">
        <f t="shared" si="40"/>
        <v>0</v>
      </c>
      <c r="AX17" s="83">
        <f t="shared" si="41"/>
        <v>0.26141780716592344</v>
      </c>
      <c r="AY17" s="83">
        <f t="shared" si="42"/>
        <v>1.6915269875442105</v>
      </c>
      <c r="AZ17" s="83">
        <f t="shared" si="43"/>
        <v>5.6051053359987693</v>
      </c>
      <c r="BA17" s="83">
        <f t="shared" si="44"/>
        <v>61.510072274334924</v>
      </c>
      <c r="BB17" s="83">
        <f t="shared" si="45"/>
        <v>0</v>
      </c>
      <c r="BC17" s="83">
        <f t="shared" si="46"/>
        <v>0</v>
      </c>
      <c r="BD17" s="83">
        <f t="shared" si="47"/>
        <v>0</v>
      </c>
      <c r="BE17" s="83">
        <f t="shared" si="47"/>
        <v>0</v>
      </c>
      <c r="BF17" s="83">
        <f t="shared" si="48"/>
        <v>0</v>
      </c>
      <c r="BG17" s="83">
        <f t="shared" si="20"/>
        <v>6.9198831308626779E-2</v>
      </c>
      <c r="BH17" s="175">
        <f t="shared" si="49"/>
        <v>100</v>
      </c>
      <c r="BI17" s="212">
        <f t="shared" si="50"/>
        <v>73.636818409204594</v>
      </c>
      <c r="BJ17" s="85">
        <f t="shared" si="51"/>
        <v>0</v>
      </c>
      <c r="BK17" s="85">
        <f t="shared" si="52"/>
        <v>13.344172086043022</v>
      </c>
      <c r="BL17" s="85">
        <f t="shared" si="53"/>
        <v>0</v>
      </c>
      <c r="BM17" s="85">
        <f t="shared" si="54"/>
        <v>0</v>
      </c>
      <c r="BN17" s="85">
        <f t="shared" si="55"/>
        <v>7.5037518759379696E-2</v>
      </c>
      <c r="BO17" s="85">
        <f t="shared" si="56"/>
        <v>0</v>
      </c>
      <c r="BP17" s="85">
        <f t="shared" si="57"/>
        <v>0</v>
      </c>
      <c r="BQ17" s="85">
        <f t="shared" si="58"/>
        <v>0.85042521260630322</v>
      </c>
      <c r="BR17" s="85">
        <f t="shared" si="59"/>
        <v>2.7513756878439217</v>
      </c>
      <c r="BS17" s="85">
        <f t="shared" si="60"/>
        <v>9.1170585292646322</v>
      </c>
      <c r="BT17" s="216">
        <f t="shared" si="61"/>
        <v>0</v>
      </c>
      <c r="BU17" s="216">
        <f t="shared" si="22"/>
        <v>0</v>
      </c>
      <c r="BV17" s="216">
        <f t="shared" si="22"/>
        <v>0</v>
      </c>
      <c r="BW17" s="216">
        <f t="shared" si="22"/>
        <v>0</v>
      </c>
      <c r="BX17" s="216">
        <f t="shared" si="22"/>
        <v>0</v>
      </c>
      <c r="BY17" s="213">
        <f t="shared" si="22"/>
        <v>0.22511255627813906</v>
      </c>
      <c r="BZ17" s="193">
        <f t="shared" si="62"/>
        <v>99.999999999999972</v>
      </c>
      <c r="CA17" s="201">
        <f t="shared" si="63"/>
        <v>29.980161122373612</v>
      </c>
      <c r="CB17" s="108">
        <f t="shared" si="64"/>
        <v>0</v>
      </c>
      <c r="CC17" s="108">
        <f t="shared" si="65"/>
        <v>10.438669564536033</v>
      </c>
      <c r="CD17" s="108">
        <f t="shared" si="66"/>
        <v>0</v>
      </c>
      <c r="CE17" s="108">
        <f t="shared" si="67"/>
        <v>0</v>
      </c>
      <c r="CF17" s="108">
        <f t="shared" si="68"/>
        <v>6.0746260323156054E-2</v>
      </c>
      <c r="CG17" s="108">
        <f t="shared" si="69"/>
        <v>0</v>
      </c>
      <c r="CH17" s="108">
        <f t="shared" si="70"/>
        <v>0</v>
      </c>
      <c r="CI17" s="108">
        <f t="shared" si="71"/>
        <v>0.49408191196985263</v>
      </c>
      <c r="CJ17" s="108">
        <f t="shared" si="72"/>
        <v>1.8338816468301333</v>
      </c>
      <c r="CK17" s="108">
        <f t="shared" si="73"/>
        <v>10.33473630456197</v>
      </c>
      <c r="CL17" s="108">
        <f t="shared" si="74"/>
        <v>46.409584500638225</v>
      </c>
      <c r="CM17" s="108">
        <f t="shared" si="75"/>
        <v>0</v>
      </c>
      <c r="CN17" s="108">
        <f t="shared" si="76"/>
        <v>0</v>
      </c>
      <c r="CO17" s="108">
        <f t="shared" si="77"/>
        <v>0</v>
      </c>
      <c r="CP17" s="108">
        <f t="shared" si="77"/>
        <v>0</v>
      </c>
      <c r="CQ17" s="108">
        <f t="shared" si="78"/>
        <v>0</v>
      </c>
      <c r="CR17" s="108">
        <f t="shared" si="79"/>
        <v>0.44813868876701862</v>
      </c>
      <c r="CS17" s="109">
        <f t="shared" si="80"/>
        <v>100</v>
      </c>
      <c r="CT17" s="110">
        <f t="shared" si="24"/>
        <v>64.104144993132877</v>
      </c>
      <c r="CU17" s="110">
        <f t="shared" si="25"/>
        <v>0</v>
      </c>
      <c r="CV17" s="110">
        <f t="shared" si="26"/>
        <v>19.713194329017615</v>
      </c>
      <c r="CW17" s="110">
        <f t="shared" si="27"/>
        <v>0</v>
      </c>
      <c r="CX17" s="110">
        <f t="shared" si="81"/>
        <v>0</v>
      </c>
      <c r="CY17" s="110">
        <f t="shared" si="82"/>
        <v>7.8109071878749423E-2</v>
      </c>
      <c r="CZ17" s="110">
        <f t="shared" si="83"/>
        <v>0</v>
      </c>
      <c r="DA17" s="110">
        <f t="shared" si="84"/>
        <v>0</v>
      </c>
      <c r="DB17" s="110">
        <f t="shared" si="85"/>
        <v>0.69096187821966648</v>
      </c>
      <c r="DC17" s="110">
        <f t="shared" si="86"/>
        <v>2.4707234093733899</v>
      </c>
      <c r="DD17" s="110">
        <f t="shared" si="87"/>
        <v>12.442776324458379</v>
      </c>
      <c r="DE17" s="110">
        <f t="shared" si="88"/>
        <v>0</v>
      </c>
      <c r="DF17" s="110">
        <f t="shared" si="89"/>
        <v>0</v>
      </c>
      <c r="DG17" s="110">
        <f t="shared" si="90"/>
        <v>0</v>
      </c>
      <c r="DH17" s="110">
        <f t="shared" si="91"/>
        <v>0</v>
      </c>
      <c r="DI17" s="110">
        <f t="shared" si="91"/>
        <v>0</v>
      </c>
      <c r="DJ17" s="110">
        <f t="shared" si="92"/>
        <v>0</v>
      </c>
      <c r="DK17" s="110">
        <f t="shared" si="93"/>
        <v>0.50008999391932385</v>
      </c>
      <c r="DL17" s="111">
        <f t="shared" si="94"/>
        <v>99.999999999999986</v>
      </c>
    </row>
    <row r="18" spans="1:116" s="8" customFormat="1" ht="17" thickBot="1">
      <c r="A18" s="246" t="s">
        <v>73</v>
      </c>
      <c r="B18" s="247">
        <v>0</v>
      </c>
      <c r="C18" s="292">
        <v>2.57</v>
      </c>
      <c r="D18" s="248">
        <v>0</v>
      </c>
      <c r="E18" s="248">
        <v>0</v>
      </c>
      <c r="F18" s="249">
        <v>0</v>
      </c>
      <c r="G18" s="218" t="s">
        <v>14</v>
      </c>
      <c r="H18" s="119">
        <f t="shared" si="29"/>
        <v>0</v>
      </c>
      <c r="I18" s="20">
        <f t="shared" si="7"/>
        <v>0</v>
      </c>
      <c r="J18" s="137">
        <f t="shared" si="30"/>
        <v>0</v>
      </c>
      <c r="K18" s="22">
        <f t="shared" si="8"/>
        <v>0</v>
      </c>
      <c r="L18" s="77">
        <f t="shared" si="31"/>
        <v>0</v>
      </c>
      <c r="M18" s="88">
        <f>IF(K18&gt;0,L18/K18,0)</f>
        <v>0</v>
      </c>
      <c r="N18" s="88">
        <f t="shared" si="9"/>
        <v>0</v>
      </c>
      <c r="O18" s="88">
        <f t="shared" si="33"/>
        <v>0</v>
      </c>
      <c r="P18" s="263">
        <f t="shared" si="34"/>
        <v>0</v>
      </c>
      <c r="Q18" s="263">
        <f t="shared" si="10"/>
        <v>0</v>
      </c>
      <c r="R18" s="94">
        <f t="shared" si="11"/>
        <v>107.36002354085603</v>
      </c>
      <c r="S18" s="95">
        <f t="shared" si="35"/>
        <v>9.3144539933846821E-3</v>
      </c>
      <c r="T18" s="94">
        <f>SUMPRODUCT(V18:AM18,V$12:AM$12)</f>
        <v>275.91526049999999</v>
      </c>
      <c r="U18" s="123">
        <f>SUMPRODUCT(V$13:AM$13,V18:AM18)</f>
        <v>0</v>
      </c>
      <c r="V18" s="131">
        <v>3</v>
      </c>
      <c r="W18" s="127">
        <v>0</v>
      </c>
      <c r="X18" s="127">
        <v>1</v>
      </c>
      <c r="Y18" s="127">
        <v>0</v>
      </c>
      <c r="Z18" s="127">
        <v>0</v>
      </c>
      <c r="AA18" s="127">
        <v>0</v>
      </c>
      <c r="AB18" s="127">
        <v>0</v>
      </c>
      <c r="AC18" s="127">
        <v>0</v>
      </c>
      <c r="AD18" s="127">
        <v>0</v>
      </c>
      <c r="AE18" s="127">
        <v>0.15</v>
      </c>
      <c r="AF18" s="127">
        <v>0.85</v>
      </c>
      <c r="AG18" s="127">
        <v>8</v>
      </c>
      <c r="AH18" s="127">
        <v>0</v>
      </c>
      <c r="AI18" s="127">
        <v>0</v>
      </c>
      <c r="AJ18" s="127">
        <v>0</v>
      </c>
      <c r="AK18" s="127">
        <v>0</v>
      </c>
      <c r="AL18" s="127">
        <v>0</v>
      </c>
      <c r="AM18" s="132">
        <v>0</v>
      </c>
      <c r="AN18" s="124">
        <f>SUM(V18:AM18)</f>
        <v>13</v>
      </c>
      <c r="AO18" s="148">
        <f t="shared" si="36"/>
        <v>2</v>
      </c>
      <c r="AP18" s="162">
        <f t="shared" ref="AP18:BG18" si="95">V18/$AN18*100</f>
        <v>23.076923076923077</v>
      </c>
      <c r="AQ18" s="83">
        <f t="shared" si="95"/>
        <v>0</v>
      </c>
      <c r="AR18" s="83">
        <f t="shared" si="95"/>
        <v>7.6923076923076925</v>
      </c>
      <c r="AS18" s="83">
        <f t="shared" si="95"/>
        <v>0</v>
      </c>
      <c r="AT18" s="83">
        <f t="shared" si="95"/>
        <v>0</v>
      </c>
      <c r="AU18" s="83">
        <f t="shared" si="95"/>
        <v>0</v>
      </c>
      <c r="AV18" s="83">
        <f t="shared" si="95"/>
        <v>0</v>
      </c>
      <c r="AW18" s="83">
        <f t="shared" si="95"/>
        <v>0</v>
      </c>
      <c r="AX18" s="83">
        <f t="shared" si="95"/>
        <v>0</v>
      </c>
      <c r="AY18" s="83">
        <f t="shared" si="95"/>
        <v>1.1538461538461537</v>
      </c>
      <c r="AZ18" s="83">
        <f t="shared" si="95"/>
        <v>6.5384615384615392</v>
      </c>
      <c r="BA18" s="83">
        <f t="shared" si="95"/>
        <v>61.53846153846154</v>
      </c>
      <c r="BB18" s="83">
        <f t="shared" si="95"/>
        <v>0</v>
      </c>
      <c r="BC18" s="83">
        <f t="shared" si="95"/>
        <v>0</v>
      </c>
      <c r="BD18" s="83">
        <f t="shared" si="95"/>
        <v>0</v>
      </c>
      <c r="BE18" s="83">
        <f t="shared" si="95"/>
        <v>0</v>
      </c>
      <c r="BF18" s="83">
        <f t="shared" si="95"/>
        <v>0</v>
      </c>
      <c r="BG18" s="83">
        <f t="shared" si="95"/>
        <v>0</v>
      </c>
      <c r="BH18" s="175">
        <f>SUM(AP18:BG18)</f>
        <v>100</v>
      </c>
      <c r="BI18" s="212">
        <f t="shared" si="50"/>
        <v>75</v>
      </c>
      <c r="BJ18" s="85">
        <f t="shared" si="51"/>
        <v>0</v>
      </c>
      <c r="BK18" s="85">
        <f t="shared" si="52"/>
        <v>12.5</v>
      </c>
      <c r="BL18" s="85">
        <f t="shared" si="53"/>
        <v>0</v>
      </c>
      <c r="BM18" s="85">
        <f t="shared" si="54"/>
        <v>0</v>
      </c>
      <c r="BN18" s="85">
        <f t="shared" si="55"/>
        <v>0</v>
      </c>
      <c r="BO18" s="85">
        <f t="shared" si="56"/>
        <v>0</v>
      </c>
      <c r="BP18" s="85">
        <f t="shared" si="57"/>
        <v>0</v>
      </c>
      <c r="BQ18" s="85">
        <f t="shared" si="58"/>
        <v>0</v>
      </c>
      <c r="BR18" s="85">
        <f t="shared" si="59"/>
        <v>1.875</v>
      </c>
      <c r="BS18" s="85">
        <f t="shared" si="60"/>
        <v>10.625</v>
      </c>
      <c r="BT18" s="216">
        <f t="shared" si="61"/>
        <v>0</v>
      </c>
      <c r="BU18" s="216">
        <f t="shared" si="22"/>
        <v>0</v>
      </c>
      <c r="BV18" s="216">
        <f t="shared" si="22"/>
        <v>0</v>
      </c>
      <c r="BW18" s="216">
        <f t="shared" si="22"/>
        <v>0</v>
      </c>
      <c r="BX18" s="216">
        <f t="shared" si="22"/>
        <v>0</v>
      </c>
      <c r="BY18" s="213">
        <f t="shared" si="22"/>
        <v>0</v>
      </c>
      <c r="BZ18" s="193">
        <f>SUM(BI18:BY18)</f>
        <v>100</v>
      </c>
      <c r="CA18" s="201">
        <f t="shared" ref="CA18:CR18" si="96">(V18*CA$12)/SUMPRODUCT($CA$12:$CR$12,$V18:$AM18)*100</f>
        <v>30.537093108701036</v>
      </c>
      <c r="CB18" s="108">
        <f t="shared" si="96"/>
        <v>0</v>
      </c>
      <c r="CC18" s="108">
        <f t="shared" si="96"/>
        <v>9.7789226848509152</v>
      </c>
      <c r="CD18" s="108">
        <f t="shared" si="96"/>
        <v>0</v>
      </c>
      <c r="CE18" s="108">
        <f t="shared" si="96"/>
        <v>0</v>
      </c>
      <c r="CF18" s="108">
        <f t="shared" si="96"/>
        <v>0</v>
      </c>
      <c r="CG18" s="108">
        <f t="shared" si="96"/>
        <v>0</v>
      </c>
      <c r="CH18" s="108">
        <f t="shared" si="96"/>
        <v>0</v>
      </c>
      <c r="CI18" s="108">
        <f t="shared" si="96"/>
        <v>0</v>
      </c>
      <c r="CJ18" s="108">
        <f t="shared" si="96"/>
        <v>1.2498277528219575</v>
      </c>
      <c r="CK18" s="108">
        <f t="shared" si="96"/>
        <v>12.044841209498815</v>
      </c>
      <c r="CL18" s="108">
        <f t="shared" si="96"/>
        <v>46.389315244127282</v>
      </c>
      <c r="CM18" s="108">
        <f t="shared" si="96"/>
        <v>0</v>
      </c>
      <c r="CN18" s="108">
        <f t="shared" si="96"/>
        <v>0</v>
      </c>
      <c r="CO18" s="108">
        <f t="shared" si="96"/>
        <v>0</v>
      </c>
      <c r="CP18" s="108">
        <f t="shared" si="96"/>
        <v>0</v>
      </c>
      <c r="CQ18" s="108">
        <f t="shared" si="96"/>
        <v>0</v>
      </c>
      <c r="CR18" s="108">
        <f t="shared" si="96"/>
        <v>0</v>
      </c>
      <c r="CS18" s="109">
        <f>SUM(CA18:CR18)</f>
        <v>100</v>
      </c>
      <c r="CT18" s="110">
        <f t="shared" ref="CT18:DK18" si="97">(V18*CT$12)/SUMPRODUCT($CT$12:$DK$12,$V18:$AM18)*100</f>
        <v>65.329079541796503</v>
      </c>
      <c r="CU18" s="110">
        <f t="shared" si="97"/>
        <v>0</v>
      </c>
      <c r="CV18" s="110">
        <f t="shared" si="97"/>
        <v>18.476919293124784</v>
      </c>
      <c r="CW18" s="110">
        <f t="shared" si="97"/>
        <v>0</v>
      </c>
      <c r="CX18" s="110">
        <f t="shared" si="97"/>
        <v>0</v>
      </c>
      <c r="CY18" s="110">
        <f t="shared" si="97"/>
        <v>0</v>
      </c>
      <c r="CZ18" s="110">
        <f t="shared" si="97"/>
        <v>0</v>
      </c>
      <c r="DA18" s="110">
        <f t="shared" si="97"/>
        <v>0</v>
      </c>
      <c r="DB18" s="110">
        <f t="shared" si="97"/>
        <v>0</v>
      </c>
      <c r="DC18" s="110">
        <f t="shared" si="97"/>
        <v>1.6847275832356507</v>
      </c>
      <c r="DD18" s="110">
        <f t="shared" si="97"/>
        <v>14.509273581843074</v>
      </c>
      <c r="DE18" s="110">
        <f t="shared" si="97"/>
        <v>0</v>
      </c>
      <c r="DF18" s="110">
        <f t="shared" si="97"/>
        <v>0</v>
      </c>
      <c r="DG18" s="110">
        <f t="shared" si="97"/>
        <v>0</v>
      </c>
      <c r="DH18" s="110">
        <f t="shared" si="97"/>
        <v>0</v>
      </c>
      <c r="DI18" s="110">
        <f t="shared" si="97"/>
        <v>0</v>
      </c>
      <c r="DJ18" s="110">
        <f t="shared" si="97"/>
        <v>0</v>
      </c>
      <c r="DK18" s="110">
        <f t="shared" si="97"/>
        <v>0</v>
      </c>
      <c r="DL18" s="111">
        <f>SUM(CT18:DK18)</f>
        <v>100.00000000000001</v>
      </c>
    </row>
    <row r="19" spans="1:116" s="8" customFormat="1" ht="17" thickBot="1">
      <c r="A19" s="246" t="s">
        <v>91</v>
      </c>
      <c r="B19" s="247">
        <v>0</v>
      </c>
      <c r="C19" s="292">
        <v>2.64</v>
      </c>
      <c r="D19" s="248">
        <v>0</v>
      </c>
      <c r="E19" s="248">
        <v>0</v>
      </c>
      <c r="F19" s="249">
        <v>0</v>
      </c>
      <c r="G19" s="218" t="s">
        <v>14</v>
      </c>
      <c r="H19" s="119">
        <f t="shared" si="29"/>
        <v>0</v>
      </c>
      <c r="I19" s="20">
        <f t="shared" si="7"/>
        <v>0</v>
      </c>
      <c r="J19" s="137">
        <f t="shared" si="30"/>
        <v>0</v>
      </c>
      <c r="K19" s="22">
        <f t="shared" si="8"/>
        <v>0</v>
      </c>
      <c r="L19" s="77">
        <f t="shared" si="31"/>
        <v>0</v>
      </c>
      <c r="M19" s="88">
        <f>IF(K19&gt;0,L19/K19,0)</f>
        <v>0</v>
      </c>
      <c r="N19" s="88">
        <f t="shared" si="9"/>
        <v>0</v>
      </c>
      <c r="O19" s="88">
        <f t="shared" si="33"/>
        <v>0</v>
      </c>
      <c r="P19" s="263">
        <f t="shared" si="34"/>
        <v>0</v>
      </c>
      <c r="Q19" s="263">
        <f t="shared" si="10"/>
        <v>0</v>
      </c>
      <c r="R19" s="94">
        <f t="shared" si="11"/>
        <v>54.418660227272731</v>
      </c>
      <c r="S19" s="95">
        <f t="shared" si="35"/>
        <v>1.8376049609152907E-2</v>
      </c>
      <c r="T19" s="94">
        <f t="shared" si="12"/>
        <v>143.66526300000001</v>
      </c>
      <c r="U19" s="123">
        <f t="shared" si="13"/>
        <v>0</v>
      </c>
      <c r="V19" s="131">
        <v>1</v>
      </c>
      <c r="W19" s="127">
        <v>0</v>
      </c>
      <c r="X19" s="127">
        <v>1</v>
      </c>
      <c r="Y19" s="127">
        <v>0</v>
      </c>
      <c r="Z19" s="127">
        <v>0</v>
      </c>
      <c r="AA19" s="127">
        <v>0</v>
      </c>
      <c r="AB19" s="127">
        <v>0</v>
      </c>
      <c r="AC19" s="127">
        <v>0</v>
      </c>
      <c r="AD19" s="127">
        <v>0</v>
      </c>
      <c r="AE19" s="127">
        <v>0.9</v>
      </c>
      <c r="AF19" s="127">
        <v>0.1</v>
      </c>
      <c r="AG19" s="127">
        <v>4</v>
      </c>
      <c r="AH19" s="127">
        <v>0</v>
      </c>
      <c r="AI19" s="127">
        <v>0</v>
      </c>
      <c r="AJ19" s="127">
        <v>0</v>
      </c>
      <c r="AK19" s="127">
        <v>0</v>
      </c>
      <c r="AL19" s="127">
        <v>0</v>
      </c>
      <c r="AM19" s="132">
        <v>0</v>
      </c>
      <c r="AN19" s="124">
        <f>SUM(V19:AM19)</f>
        <v>7</v>
      </c>
      <c r="AO19" s="148">
        <f t="shared" si="36"/>
        <v>2</v>
      </c>
      <c r="AP19" s="162">
        <f t="shared" si="15"/>
        <v>14.285714285714285</v>
      </c>
      <c r="AQ19" s="83">
        <f t="shared" si="16"/>
        <v>0</v>
      </c>
      <c r="AR19" s="83">
        <f t="shared" si="17"/>
        <v>14.285714285714285</v>
      </c>
      <c r="AS19" s="83">
        <f t="shared" si="18"/>
        <v>0</v>
      </c>
      <c r="AT19" s="83">
        <f t="shared" si="37"/>
        <v>0</v>
      </c>
      <c r="AU19" s="83">
        <f t="shared" si="38"/>
        <v>0</v>
      </c>
      <c r="AV19" s="83">
        <f t="shared" si="39"/>
        <v>0</v>
      </c>
      <c r="AW19" s="83">
        <f t="shared" si="40"/>
        <v>0</v>
      </c>
      <c r="AX19" s="83">
        <f t="shared" si="41"/>
        <v>0</v>
      </c>
      <c r="AY19" s="83">
        <f t="shared" si="42"/>
        <v>12.857142857142859</v>
      </c>
      <c r="AZ19" s="83">
        <f t="shared" si="43"/>
        <v>1.4285714285714286</v>
      </c>
      <c r="BA19" s="83">
        <f t="shared" si="44"/>
        <v>57.142857142857139</v>
      </c>
      <c r="BB19" s="83">
        <f t="shared" si="45"/>
        <v>0</v>
      </c>
      <c r="BC19" s="83">
        <f t="shared" si="46"/>
        <v>0</v>
      </c>
      <c r="BD19" s="83">
        <f t="shared" si="47"/>
        <v>0</v>
      </c>
      <c r="BE19" s="83">
        <f t="shared" si="47"/>
        <v>0</v>
      </c>
      <c r="BF19" s="83">
        <f t="shared" si="48"/>
        <v>0</v>
      </c>
      <c r="BG19" s="83">
        <f>AM19/$AN19*100</f>
        <v>0</v>
      </c>
      <c r="BH19" s="175">
        <f>SUM(AP19:BG19)</f>
        <v>100</v>
      </c>
      <c r="BI19" s="212">
        <f t="shared" si="50"/>
        <v>50</v>
      </c>
      <c r="BJ19" s="85">
        <f t="shared" si="51"/>
        <v>0</v>
      </c>
      <c r="BK19" s="85">
        <f t="shared" si="52"/>
        <v>25</v>
      </c>
      <c r="BL19" s="85">
        <f t="shared" si="53"/>
        <v>0</v>
      </c>
      <c r="BM19" s="85">
        <f t="shared" si="54"/>
        <v>0</v>
      </c>
      <c r="BN19" s="85">
        <f t="shared" si="55"/>
        <v>0</v>
      </c>
      <c r="BO19" s="85">
        <f t="shared" si="56"/>
        <v>0</v>
      </c>
      <c r="BP19" s="85">
        <f t="shared" si="57"/>
        <v>0</v>
      </c>
      <c r="BQ19" s="85">
        <f t="shared" si="58"/>
        <v>0</v>
      </c>
      <c r="BR19" s="85">
        <f t="shared" si="59"/>
        <v>22.5</v>
      </c>
      <c r="BS19" s="85">
        <f t="shared" si="60"/>
        <v>2.5</v>
      </c>
      <c r="BT19" s="216">
        <f t="shared" si="61"/>
        <v>0</v>
      </c>
      <c r="BU19" s="216">
        <f t="shared" si="22"/>
        <v>0</v>
      </c>
      <c r="BV19" s="216">
        <f t="shared" si="22"/>
        <v>0</v>
      </c>
      <c r="BW19" s="216">
        <f t="shared" si="22"/>
        <v>0</v>
      </c>
      <c r="BX19" s="216">
        <f t="shared" si="22"/>
        <v>0</v>
      </c>
      <c r="BY19" s="213">
        <f t="shared" si="22"/>
        <v>0</v>
      </c>
      <c r="BZ19" s="193">
        <f t="shared" si="62"/>
        <v>100</v>
      </c>
      <c r="CA19" s="201">
        <f t="shared" si="63"/>
        <v>19.549262927949393</v>
      </c>
      <c r="CB19" s="108">
        <f t="shared" si="64"/>
        <v>0</v>
      </c>
      <c r="CC19" s="108">
        <f t="shared" si="65"/>
        <v>18.780837786793317</v>
      </c>
      <c r="CD19" s="108">
        <f t="shared" si="66"/>
        <v>0</v>
      </c>
      <c r="CE19" s="108">
        <f t="shared" si="67"/>
        <v>0</v>
      </c>
      <c r="CF19" s="108">
        <f t="shared" si="68"/>
        <v>0</v>
      </c>
      <c r="CG19" s="108">
        <f t="shared" si="69"/>
        <v>0</v>
      </c>
      <c r="CH19" s="108">
        <f t="shared" si="70"/>
        <v>0</v>
      </c>
      <c r="CI19" s="108">
        <f t="shared" si="71"/>
        <v>0</v>
      </c>
      <c r="CJ19" s="108">
        <f t="shared" si="72"/>
        <v>14.402084796239157</v>
      </c>
      <c r="CK19" s="108">
        <f t="shared" si="73"/>
        <v>2.7214859864906944</v>
      </c>
      <c r="CL19" s="108">
        <f t="shared" si="74"/>
        <v>44.54632850252743</v>
      </c>
      <c r="CM19" s="108">
        <f t="shared" si="75"/>
        <v>0</v>
      </c>
      <c r="CN19" s="108">
        <f t="shared" si="76"/>
        <v>0</v>
      </c>
      <c r="CO19" s="108">
        <f t="shared" si="77"/>
        <v>0</v>
      </c>
      <c r="CP19" s="108">
        <f t="shared" si="77"/>
        <v>0</v>
      </c>
      <c r="CQ19" s="108">
        <f t="shared" si="78"/>
        <v>0</v>
      </c>
      <c r="CR19" s="108">
        <f t="shared" si="79"/>
        <v>0</v>
      </c>
      <c r="CS19" s="109">
        <f>SUM(CA19:CR19)</f>
        <v>100</v>
      </c>
      <c r="CT19" s="110">
        <f t="shared" si="24"/>
        <v>41.822427179213115</v>
      </c>
      <c r="CU19" s="110">
        <f t="shared" si="25"/>
        <v>0</v>
      </c>
      <c r="CV19" s="110">
        <f t="shared" si="26"/>
        <v>35.485710975241105</v>
      </c>
      <c r="CW19" s="110">
        <f t="shared" si="27"/>
        <v>0</v>
      </c>
      <c r="CX19" s="110">
        <f t="shared" si="81"/>
        <v>0</v>
      </c>
      <c r="CY19" s="110">
        <f t="shared" si="82"/>
        <v>0</v>
      </c>
      <c r="CZ19" s="110">
        <f t="shared" si="83"/>
        <v>0</v>
      </c>
      <c r="DA19" s="110">
        <f t="shared" si="84"/>
        <v>0</v>
      </c>
      <c r="DB19" s="110">
        <f t="shared" si="85"/>
        <v>0</v>
      </c>
      <c r="DC19" s="110">
        <f t="shared" si="86"/>
        <v>19.413546752773495</v>
      </c>
      <c r="DD19" s="110">
        <f t="shared" si="87"/>
        <v>3.2783150927722868</v>
      </c>
      <c r="DE19" s="110">
        <f t="shared" si="88"/>
        <v>0</v>
      </c>
      <c r="DF19" s="110">
        <f t="shared" si="89"/>
        <v>0</v>
      </c>
      <c r="DG19" s="110">
        <f t="shared" si="90"/>
        <v>0</v>
      </c>
      <c r="DH19" s="110">
        <f t="shared" si="91"/>
        <v>0</v>
      </c>
      <c r="DI19" s="110">
        <f t="shared" si="91"/>
        <v>0</v>
      </c>
      <c r="DJ19" s="110">
        <f t="shared" si="92"/>
        <v>0</v>
      </c>
      <c r="DK19" s="110">
        <f t="shared" si="93"/>
        <v>0</v>
      </c>
      <c r="DL19" s="111">
        <f>SUM(CT19:DK19)</f>
        <v>100</v>
      </c>
    </row>
    <row r="20" spans="1:116" s="8" customFormat="1" ht="17" thickBot="1">
      <c r="A20" s="246" t="s">
        <v>88</v>
      </c>
      <c r="B20" s="247">
        <v>0</v>
      </c>
      <c r="C20" s="292">
        <v>3.5</v>
      </c>
      <c r="D20" s="248">
        <v>0</v>
      </c>
      <c r="E20" s="248">
        <v>0</v>
      </c>
      <c r="F20" s="249">
        <v>0</v>
      </c>
      <c r="G20" s="218" t="s">
        <v>14</v>
      </c>
      <c r="H20" s="119">
        <f t="shared" si="29"/>
        <v>0</v>
      </c>
      <c r="I20" s="20">
        <f t="shared" si="7"/>
        <v>0</v>
      </c>
      <c r="J20" s="137">
        <f t="shared" si="30"/>
        <v>0</v>
      </c>
      <c r="K20" s="22">
        <f t="shared" si="8"/>
        <v>0</v>
      </c>
      <c r="L20" s="77">
        <f t="shared" si="31"/>
        <v>0</v>
      </c>
      <c r="M20" s="88">
        <f>IF(K20&gt;0,L20/K20,0)</f>
        <v>0</v>
      </c>
      <c r="N20" s="88">
        <f t="shared" si="9"/>
        <v>0</v>
      </c>
      <c r="O20" s="88">
        <f t="shared" si="33"/>
        <v>0</v>
      </c>
      <c r="P20" s="263">
        <f t="shared" si="34"/>
        <v>0</v>
      </c>
      <c r="Q20" s="263">
        <f t="shared" si="10"/>
        <v>0</v>
      </c>
      <c r="R20" s="94">
        <f t="shared" si="11"/>
        <v>42.000314285714289</v>
      </c>
      <c r="S20" s="95">
        <f>1/R20</f>
        <v>2.3809345644352321E-2</v>
      </c>
      <c r="T20" s="94">
        <f t="shared" si="12"/>
        <v>147.00110000000001</v>
      </c>
      <c r="U20" s="123">
        <f t="shared" si="13"/>
        <v>0</v>
      </c>
      <c r="V20" s="131">
        <v>1</v>
      </c>
      <c r="W20" s="127">
        <v>0</v>
      </c>
      <c r="X20" s="127">
        <v>0</v>
      </c>
      <c r="Y20" s="127">
        <v>0</v>
      </c>
      <c r="Z20" s="127">
        <v>0</v>
      </c>
      <c r="AA20" s="127">
        <v>0.2</v>
      </c>
      <c r="AB20" s="127">
        <v>0</v>
      </c>
      <c r="AC20" s="127">
        <v>1.8</v>
      </c>
      <c r="AD20" s="127">
        <v>0</v>
      </c>
      <c r="AE20" s="127">
        <v>0</v>
      </c>
      <c r="AF20" s="127">
        <v>0</v>
      </c>
      <c r="AG20" s="127">
        <v>4</v>
      </c>
      <c r="AH20" s="127">
        <v>0</v>
      </c>
      <c r="AI20" s="127">
        <v>0</v>
      </c>
      <c r="AJ20" s="127">
        <v>0</v>
      </c>
      <c r="AK20" s="127">
        <v>0</v>
      </c>
      <c r="AL20" s="127">
        <v>0</v>
      </c>
      <c r="AM20" s="132">
        <v>0</v>
      </c>
      <c r="AN20" s="124">
        <f>SUM(V20:AM20)</f>
        <v>7</v>
      </c>
      <c r="AO20" s="148">
        <f t="shared" si="36"/>
        <v>0</v>
      </c>
      <c r="AP20" s="162">
        <f t="shared" si="15"/>
        <v>14.285714285714285</v>
      </c>
      <c r="AQ20" s="83">
        <f t="shared" si="16"/>
        <v>0</v>
      </c>
      <c r="AR20" s="83">
        <f t="shared" si="17"/>
        <v>0</v>
      </c>
      <c r="AS20" s="83">
        <f t="shared" si="18"/>
        <v>0</v>
      </c>
      <c r="AT20" s="83">
        <f t="shared" si="37"/>
        <v>0</v>
      </c>
      <c r="AU20" s="83">
        <f t="shared" si="38"/>
        <v>2.8571428571428572</v>
      </c>
      <c r="AV20" s="83">
        <f t="shared" si="39"/>
        <v>0</v>
      </c>
      <c r="AW20" s="83">
        <f t="shared" si="40"/>
        <v>25.714285714285719</v>
      </c>
      <c r="AX20" s="83">
        <f t="shared" si="41"/>
        <v>0</v>
      </c>
      <c r="AY20" s="83">
        <f t="shared" si="42"/>
        <v>0</v>
      </c>
      <c r="AZ20" s="83">
        <f t="shared" si="43"/>
        <v>0</v>
      </c>
      <c r="BA20" s="83">
        <f t="shared" si="44"/>
        <v>57.142857142857139</v>
      </c>
      <c r="BB20" s="83">
        <f t="shared" si="45"/>
        <v>0</v>
      </c>
      <c r="BC20" s="83">
        <f t="shared" si="46"/>
        <v>0</v>
      </c>
      <c r="BD20" s="83">
        <f t="shared" si="47"/>
        <v>0</v>
      </c>
      <c r="BE20" s="83">
        <f t="shared" si="47"/>
        <v>0</v>
      </c>
      <c r="BF20" s="83">
        <f t="shared" si="48"/>
        <v>0</v>
      </c>
      <c r="BG20" s="83">
        <f>AM20/$AN20*100</f>
        <v>0</v>
      </c>
      <c r="BH20" s="175">
        <f>SUM(AP20:BG20)</f>
        <v>100</v>
      </c>
      <c r="BI20" s="212">
        <f t="shared" si="50"/>
        <v>33.333333333333329</v>
      </c>
      <c r="BJ20" s="85">
        <f t="shared" si="51"/>
        <v>0</v>
      </c>
      <c r="BK20" s="85">
        <f t="shared" si="52"/>
        <v>0</v>
      </c>
      <c r="BL20" s="85">
        <f t="shared" si="53"/>
        <v>0</v>
      </c>
      <c r="BM20" s="85">
        <f t="shared" si="54"/>
        <v>0</v>
      </c>
      <c r="BN20" s="85">
        <f t="shared" si="55"/>
        <v>6.666666666666667</v>
      </c>
      <c r="BO20" s="85">
        <f t="shared" si="56"/>
        <v>0</v>
      </c>
      <c r="BP20" s="85">
        <f t="shared" si="57"/>
        <v>60</v>
      </c>
      <c r="BQ20" s="85">
        <f t="shared" si="58"/>
        <v>0</v>
      </c>
      <c r="BR20" s="85">
        <f t="shared" si="59"/>
        <v>0</v>
      </c>
      <c r="BS20" s="85">
        <f t="shared" si="60"/>
        <v>0</v>
      </c>
      <c r="BT20" s="216">
        <f t="shared" si="61"/>
        <v>0</v>
      </c>
      <c r="BU20" s="216">
        <f t="shared" si="22"/>
        <v>0</v>
      </c>
      <c r="BV20" s="216">
        <f t="shared" si="22"/>
        <v>0</v>
      </c>
      <c r="BW20" s="216">
        <f t="shared" si="22"/>
        <v>0</v>
      </c>
      <c r="BX20" s="216">
        <f t="shared" si="22"/>
        <v>0</v>
      </c>
      <c r="BY20" s="213">
        <f t="shared" si="22"/>
        <v>0</v>
      </c>
      <c r="BZ20" s="193">
        <f t="shared" si="62"/>
        <v>100</v>
      </c>
      <c r="CA20" s="201">
        <f t="shared" si="63"/>
        <v>19.105639345555918</v>
      </c>
      <c r="CB20" s="108">
        <f t="shared" si="64"/>
        <v>0</v>
      </c>
      <c r="CC20" s="108">
        <f t="shared" si="65"/>
        <v>0</v>
      </c>
      <c r="CD20" s="108">
        <f t="shared" si="66"/>
        <v>0</v>
      </c>
      <c r="CE20" s="108">
        <f t="shared" si="67"/>
        <v>0</v>
      </c>
      <c r="CF20" s="108">
        <f t="shared" si="68"/>
        <v>7.5979023286220304</v>
      </c>
      <c r="CG20" s="108">
        <f t="shared" si="69"/>
        <v>0</v>
      </c>
      <c r="CH20" s="108">
        <f t="shared" si="70"/>
        <v>29.761001788421993</v>
      </c>
      <c r="CI20" s="108">
        <f t="shared" si="71"/>
        <v>0</v>
      </c>
      <c r="CJ20" s="108">
        <f t="shared" si="72"/>
        <v>0</v>
      </c>
      <c r="CK20" s="108">
        <f t="shared" si="73"/>
        <v>0</v>
      </c>
      <c r="CL20" s="108">
        <f t="shared" si="74"/>
        <v>43.535456537400059</v>
      </c>
      <c r="CM20" s="108">
        <f t="shared" si="75"/>
        <v>0</v>
      </c>
      <c r="CN20" s="108">
        <f t="shared" si="76"/>
        <v>0</v>
      </c>
      <c r="CO20" s="108">
        <f t="shared" si="77"/>
        <v>0</v>
      </c>
      <c r="CP20" s="108">
        <f t="shared" si="77"/>
        <v>0</v>
      </c>
      <c r="CQ20" s="108">
        <f t="shared" si="78"/>
        <v>0</v>
      </c>
      <c r="CR20" s="108">
        <f t="shared" si="79"/>
        <v>0</v>
      </c>
      <c r="CS20" s="109">
        <f>SUM(CA20:CR20)</f>
        <v>100</v>
      </c>
      <c r="CT20" s="110">
        <f t="shared" si="24"/>
        <v>40.873367614255947</v>
      </c>
      <c r="CU20" s="110">
        <f t="shared" si="25"/>
        <v>0</v>
      </c>
      <c r="CV20" s="110">
        <f t="shared" si="26"/>
        <v>0</v>
      </c>
      <c r="CW20" s="110">
        <f t="shared" si="27"/>
        <v>0</v>
      </c>
      <c r="CX20" s="110">
        <f t="shared" si="81"/>
        <v>0</v>
      </c>
      <c r="CY20" s="110">
        <f t="shared" si="82"/>
        <v>9.7746751554920319</v>
      </c>
      <c r="CZ20" s="110">
        <f t="shared" si="83"/>
        <v>0</v>
      </c>
      <c r="DA20" s="110">
        <f t="shared" si="84"/>
        <v>49.351957230252019</v>
      </c>
      <c r="DB20" s="110">
        <f t="shared" si="85"/>
        <v>0</v>
      </c>
      <c r="DC20" s="110">
        <f t="shared" si="86"/>
        <v>0</v>
      </c>
      <c r="DD20" s="110">
        <f t="shared" si="87"/>
        <v>0</v>
      </c>
      <c r="DE20" s="110">
        <f t="shared" si="88"/>
        <v>0</v>
      </c>
      <c r="DF20" s="110">
        <f t="shared" si="89"/>
        <v>0</v>
      </c>
      <c r="DG20" s="110">
        <f t="shared" si="90"/>
        <v>0</v>
      </c>
      <c r="DH20" s="110">
        <f t="shared" si="91"/>
        <v>0</v>
      </c>
      <c r="DI20" s="110">
        <f t="shared" si="91"/>
        <v>0</v>
      </c>
      <c r="DJ20" s="110">
        <f t="shared" si="92"/>
        <v>0</v>
      </c>
      <c r="DK20" s="110">
        <f t="shared" si="93"/>
        <v>0</v>
      </c>
      <c r="DL20" s="111">
        <f>SUM(CT20:DK20)</f>
        <v>100</v>
      </c>
    </row>
    <row r="21" spans="1:116" s="8" customFormat="1" ht="17" thickBot="1">
      <c r="A21" s="246" t="s">
        <v>75</v>
      </c>
      <c r="B21" s="247">
        <v>0</v>
      </c>
      <c r="C21" s="292">
        <v>3.31</v>
      </c>
      <c r="D21" s="248">
        <v>0</v>
      </c>
      <c r="E21" s="248">
        <v>0</v>
      </c>
      <c r="F21" s="249">
        <v>0</v>
      </c>
      <c r="G21" s="218" t="s">
        <v>14</v>
      </c>
      <c r="H21" s="119">
        <f t="shared" si="29"/>
        <v>0</v>
      </c>
      <c r="I21" s="20">
        <f t="shared" si="7"/>
        <v>0</v>
      </c>
      <c r="J21" s="137">
        <f t="shared" si="30"/>
        <v>0</v>
      </c>
      <c r="K21" s="22">
        <f t="shared" si="8"/>
        <v>0</v>
      </c>
      <c r="L21" s="77">
        <f t="shared" si="31"/>
        <v>0</v>
      </c>
      <c r="M21" s="88">
        <f t="shared" si="32"/>
        <v>0</v>
      </c>
      <c r="N21" s="88">
        <f t="shared" si="9"/>
        <v>0</v>
      </c>
      <c r="O21" s="88">
        <f t="shared" si="33"/>
        <v>0</v>
      </c>
      <c r="P21" s="263">
        <f t="shared" si="34"/>
        <v>0</v>
      </c>
      <c r="Q21" s="263">
        <f t="shared" si="10"/>
        <v>0</v>
      </c>
      <c r="R21" s="94">
        <f t="shared" si="11"/>
        <v>66.852296072507556</v>
      </c>
      <c r="S21" s="95">
        <f t="shared" si="35"/>
        <v>1.4958349357446252E-2</v>
      </c>
      <c r="T21" s="94">
        <f t="shared" si="12"/>
        <v>221.28110000000001</v>
      </c>
      <c r="U21" s="123">
        <f t="shared" si="13"/>
        <v>1.7763568394002505E-15</v>
      </c>
      <c r="V21" s="131">
        <v>2</v>
      </c>
      <c r="W21" s="127">
        <v>0</v>
      </c>
      <c r="X21" s="127">
        <v>0</v>
      </c>
      <c r="Y21" s="127">
        <v>0</v>
      </c>
      <c r="Z21" s="127">
        <v>0</v>
      </c>
      <c r="AA21" s="127">
        <v>0.2</v>
      </c>
      <c r="AB21" s="127">
        <v>0</v>
      </c>
      <c r="AC21" s="127">
        <v>0.9</v>
      </c>
      <c r="AD21" s="127">
        <v>0.9</v>
      </c>
      <c r="AE21" s="127">
        <v>0</v>
      </c>
      <c r="AF21" s="127">
        <v>0</v>
      </c>
      <c r="AG21" s="127">
        <v>6</v>
      </c>
      <c r="AH21" s="127">
        <v>0</v>
      </c>
      <c r="AI21" s="127">
        <v>0</v>
      </c>
      <c r="AJ21" s="127">
        <v>0</v>
      </c>
      <c r="AK21" s="127">
        <v>0</v>
      </c>
      <c r="AL21" s="127">
        <v>0</v>
      </c>
      <c r="AM21" s="132">
        <v>0</v>
      </c>
      <c r="AN21" s="124">
        <f t="shared" si="14"/>
        <v>10</v>
      </c>
      <c r="AO21" s="148">
        <f t="shared" si="36"/>
        <v>0</v>
      </c>
      <c r="AP21" s="162">
        <f t="shared" si="15"/>
        <v>20</v>
      </c>
      <c r="AQ21" s="83">
        <f t="shared" si="16"/>
        <v>0</v>
      </c>
      <c r="AR21" s="83">
        <f t="shared" si="17"/>
        <v>0</v>
      </c>
      <c r="AS21" s="83">
        <f t="shared" si="18"/>
        <v>0</v>
      </c>
      <c r="AT21" s="83">
        <f t="shared" si="37"/>
        <v>0</v>
      </c>
      <c r="AU21" s="83">
        <f t="shared" si="38"/>
        <v>2</v>
      </c>
      <c r="AV21" s="83">
        <f t="shared" si="39"/>
        <v>0</v>
      </c>
      <c r="AW21" s="83">
        <f t="shared" si="40"/>
        <v>9</v>
      </c>
      <c r="AX21" s="83">
        <f t="shared" si="41"/>
        <v>9</v>
      </c>
      <c r="AY21" s="83">
        <f t="shared" si="42"/>
        <v>0</v>
      </c>
      <c r="AZ21" s="83">
        <f t="shared" si="43"/>
        <v>0</v>
      </c>
      <c r="BA21" s="83">
        <f t="shared" si="44"/>
        <v>60</v>
      </c>
      <c r="BB21" s="83">
        <f t="shared" si="45"/>
        <v>0</v>
      </c>
      <c r="BC21" s="83">
        <f t="shared" si="46"/>
        <v>0</v>
      </c>
      <c r="BD21" s="83">
        <f t="shared" si="47"/>
        <v>0</v>
      </c>
      <c r="BE21" s="83">
        <f t="shared" si="47"/>
        <v>0</v>
      </c>
      <c r="BF21" s="83">
        <f t="shared" si="48"/>
        <v>0</v>
      </c>
      <c r="BG21" s="83">
        <f t="shared" si="20"/>
        <v>0</v>
      </c>
      <c r="BH21" s="175">
        <f t="shared" si="49"/>
        <v>100</v>
      </c>
      <c r="BI21" s="212">
        <f t="shared" si="50"/>
        <v>50</v>
      </c>
      <c r="BJ21" s="85">
        <f t="shared" si="51"/>
        <v>0</v>
      </c>
      <c r="BK21" s="85">
        <f t="shared" si="52"/>
        <v>0</v>
      </c>
      <c r="BL21" s="85">
        <f t="shared" si="53"/>
        <v>0</v>
      </c>
      <c r="BM21" s="85">
        <f t="shared" si="54"/>
        <v>0</v>
      </c>
      <c r="BN21" s="85">
        <f t="shared" si="55"/>
        <v>5</v>
      </c>
      <c r="BO21" s="85">
        <f t="shared" si="56"/>
        <v>0</v>
      </c>
      <c r="BP21" s="85">
        <f t="shared" si="57"/>
        <v>22.5</v>
      </c>
      <c r="BQ21" s="85">
        <f t="shared" si="58"/>
        <v>22.5</v>
      </c>
      <c r="BR21" s="85">
        <f t="shared" si="59"/>
        <v>0</v>
      </c>
      <c r="BS21" s="85">
        <f t="shared" si="60"/>
        <v>0</v>
      </c>
      <c r="BT21" s="216">
        <f t="shared" si="61"/>
        <v>0</v>
      </c>
      <c r="BU21" s="216">
        <f t="shared" si="22"/>
        <v>0</v>
      </c>
      <c r="BV21" s="216">
        <f t="shared" si="22"/>
        <v>0</v>
      </c>
      <c r="BW21" s="216">
        <f t="shared" si="22"/>
        <v>0</v>
      </c>
      <c r="BX21" s="216">
        <f t="shared" si="22"/>
        <v>0</v>
      </c>
      <c r="BY21" s="213">
        <f t="shared" si="22"/>
        <v>0</v>
      </c>
      <c r="BZ21" s="193">
        <f t="shared" si="62"/>
        <v>100</v>
      </c>
      <c r="CA21" s="201">
        <f t="shared" si="63"/>
        <v>25.384454433749649</v>
      </c>
      <c r="CB21" s="108">
        <f t="shared" si="64"/>
        <v>0</v>
      </c>
      <c r="CC21" s="108">
        <f t="shared" si="65"/>
        <v>0</v>
      </c>
      <c r="CD21" s="108">
        <f t="shared" si="66"/>
        <v>0</v>
      </c>
      <c r="CE21" s="108">
        <f t="shared" si="67"/>
        <v>0</v>
      </c>
      <c r="CF21" s="108">
        <f t="shared" si="68"/>
        <v>5.0474261019129063</v>
      </c>
      <c r="CG21" s="108">
        <f t="shared" si="69"/>
        <v>0</v>
      </c>
      <c r="CH21" s="108">
        <f t="shared" si="70"/>
        <v>9.8853901214337778</v>
      </c>
      <c r="CI21" s="108">
        <f t="shared" si="71"/>
        <v>16.300623957491176</v>
      </c>
      <c r="CJ21" s="108">
        <f t="shared" si="72"/>
        <v>0</v>
      </c>
      <c r="CK21" s="108">
        <f t="shared" si="73"/>
        <v>0</v>
      </c>
      <c r="CL21" s="108">
        <f t="shared" si="74"/>
        <v>43.382105385412487</v>
      </c>
      <c r="CM21" s="108">
        <f t="shared" si="75"/>
        <v>0</v>
      </c>
      <c r="CN21" s="108">
        <f t="shared" si="76"/>
        <v>0</v>
      </c>
      <c r="CO21" s="108">
        <f t="shared" si="77"/>
        <v>0</v>
      </c>
      <c r="CP21" s="108">
        <f t="shared" si="77"/>
        <v>0</v>
      </c>
      <c r="CQ21" s="108">
        <f t="shared" si="78"/>
        <v>0</v>
      </c>
      <c r="CR21" s="108">
        <f t="shared" si="79"/>
        <v>0</v>
      </c>
      <c r="CS21" s="109">
        <f t="shared" si="80"/>
        <v>100</v>
      </c>
      <c r="CT21" s="110">
        <f t="shared" si="24"/>
        <v>54.305858024024644</v>
      </c>
      <c r="CU21" s="110">
        <f t="shared" si="25"/>
        <v>0</v>
      </c>
      <c r="CV21" s="110">
        <f t="shared" si="26"/>
        <v>0</v>
      </c>
      <c r="CW21" s="110">
        <f t="shared" si="27"/>
        <v>0</v>
      </c>
      <c r="CX21" s="110">
        <f t="shared" si="81"/>
        <v>0</v>
      </c>
      <c r="CY21" s="110">
        <f t="shared" si="82"/>
        <v>6.4934962814266557</v>
      </c>
      <c r="CZ21" s="110">
        <f t="shared" si="83"/>
        <v>0</v>
      </c>
      <c r="DA21" s="110">
        <f t="shared" si="84"/>
        <v>16.392705929245651</v>
      </c>
      <c r="DB21" s="110">
        <f t="shared" si="85"/>
        <v>22.807939765303047</v>
      </c>
      <c r="DC21" s="110">
        <f t="shared" si="86"/>
        <v>0</v>
      </c>
      <c r="DD21" s="110">
        <f t="shared" si="87"/>
        <v>0</v>
      </c>
      <c r="DE21" s="110">
        <f t="shared" si="88"/>
        <v>0</v>
      </c>
      <c r="DF21" s="110">
        <f t="shared" si="89"/>
        <v>0</v>
      </c>
      <c r="DG21" s="110">
        <f t="shared" si="90"/>
        <v>0</v>
      </c>
      <c r="DH21" s="110">
        <f t="shared" si="91"/>
        <v>0</v>
      </c>
      <c r="DI21" s="110">
        <f t="shared" si="91"/>
        <v>0</v>
      </c>
      <c r="DJ21" s="110">
        <f t="shared" si="92"/>
        <v>0</v>
      </c>
      <c r="DK21" s="110">
        <f t="shared" si="93"/>
        <v>0</v>
      </c>
      <c r="DL21" s="111">
        <f t="shared" si="94"/>
        <v>100</v>
      </c>
    </row>
    <row r="22" spans="1:116" s="8" customFormat="1" ht="17" thickBot="1">
      <c r="A22" s="246" t="s">
        <v>87</v>
      </c>
      <c r="B22" s="247">
        <v>0</v>
      </c>
      <c r="C22" s="292">
        <v>3.34</v>
      </c>
      <c r="D22" s="248">
        <v>0</v>
      </c>
      <c r="E22" s="248">
        <v>0</v>
      </c>
      <c r="F22" s="249">
        <v>0</v>
      </c>
      <c r="G22" s="218" t="s">
        <v>14</v>
      </c>
      <c r="H22" s="119">
        <f t="shared" si="29"/>
        <v>0</v>
      </c>
      <c r="I22" s="20">
        <f t="shared" si="7"/>
        <v>0</v>
      </c>
      <c r="J22" s="137">
        <f t="shared" si="30"/>
        <v>0</v>
      </c>
      <c r="K22" s="22">
        <f t="shared" si="8"/>
        <v>0</v>
      </c>
      <c r="L22" s="77">
        <f t="shared" si="31"/>
        <v>0</v>
      </c>
      <c r="M22" s="88">
        <f>IF(K22&gt;0,L22/K22,0)</f>
        <v>0</v>
      </c>
      <c r="N22" s="88">
        <f t="shared" si="9"/>
        <v>0</v>
      </c>
      <c r="O22" s="88">
        <f t="shared" si="33"/>
        <v>0</v>
      </c>
      <c r="P22" s="263">
        <f t="shared" si="34"/>
        <v>0</v>
      </c>
      <c r="Q22" s="263">
        <f t="shared" si="10"/>
        <v>0</v>
      </c>
      <c r="R22" s="94">
        <f t="shared" si="11"/>
        <v>31.945119760479042</v>
      </c>
      <c r="S22" s="95">
        <f t="shared" si="35"/>
        <v>3.130368605589489E-2</v>
      </c>
      <c r="T22" s="94">
        <f t="shared" si="12"/>
        <v>106.69669999999999</v>
      </c>
      <c r="U22" s="123">
        <f t="shared" si="13"/>
        <v>0</v>
      </c>
      <c r="V22" s="131">
        <v>1</v>
      </c>
      <c r="W22" s="127">
        <v>0</v>
      </c>
      <c r="X22" s="127">
        <v>0</v>
      </c>
      <c r="Y22" s="127">
        <v>0</v>
      </c>
      <c r="Z22" s="127">
        <v>0</v>
      </c>
      <c r="AA22" s="127">
        <v>0.2</v>
      </c>
      <c r="AB22" s="127">
        <v>0</v>
      </c>
      <c r="AC22" s="127">
        <v>0.8</v>
      </c>
      <c r="AD22" s="127">
        <v>0</v>
      </c>
      <c r="AE22" s="127">
        <v>0</v>
      </c>
      <c r="AF22" s="127">
        <v>0</v>
      </c>
      <c r="AG22" s="127">
        <v>3</v>
      </c>
      <c r="AH22" s="127">
        <v>0</v>
      </c>
      <c r="AI22" s="127">
        <v>0</v>
      </c>
      <c r="AJ22" s="127">
        <v>0</v>
      </c>
      <c r="AK22" s="127">
        <v>0</v>
      </c>
      <c r="AL22" s="127">
        <v>0</v>
      </c>
      <c r="AM22" s="132">
        <v>0</v>
      </c>
      <c r="AN22" s="124">
        <f>SUM(V22:AM22)</f>
        <v>5</v>
      </c>
      <c r="AO22" s="148">
        <f t="shared" si="36"/>
        <v>0</v>
      </c>
      <c r="AP22" s="162">
        <f t="shared" si="15"/>
        <v>20</v>
      </c>
      <c r="AQ22" s="83">
        <f t="shared" si="16"/>
        <v>0</v>
      </c>
      <c r="AR22" s="83">
        <f t="shared" si="17"/>
        <v>0</v>
      </c>
      <c r="AS22" s="83">
        <f t="shared" si="18"/>
        <v>0</v>
      </c>
      <c r="AT22" s="83">
        <f t="shared" si="37"/>
        <v>0</v>
      </c>
      <c r="AU22" s="83">
        <f t="shared" si="38"/>
        <v>4</v>
      </c>
      <c r="AV22" s="83">
        <f t="shared" si="39"/>
        <v>0</v>
      </c>
      <c r="AW22" s="83">
        <f t="shared" si="40"/>
        <v>16</v>
      </c>
      <c r="AX22" s="83">
        <f t="shared" si="41"/>
        <v>0</v>
      </c>
      <c r="AY22" s="83">
        <f t="shared" si="42"/>
        <v>0</v>
      </c>
      <c r="AZ22" s="83">
        <f t="shared" si="43"/>
        <v>0</v>
      </c>
      <c r="BA22" s="83">
        <f t="shared" si="44"/>
        <v>60</v>
      </c>
      <c r="BB22" s="83">
        <f t="shared" si="45"/>
        <v>0</v>
      </c>
      <c r="BC22" s="83">
        <f t="shared" si="46"/>
        <v>0</v>
      </c>
      <c r="BD22" s="83">
        <f t="shared" si="47"/>
        <v>0</v>
      </c>
      <c r="BE22" s="83">
        <f t="shared" si="47"/>
        <v>0</v>
      </c>
      <c r="BF22" s="83">
        <f t="shared" si="48"/>
        <v>0</v>
      </c>
      <c r="BG22" s="83">
        <f>AM22/$AN22*100</f>
        <v>0</v>
      </c>
      <c r="BH22" s="175">
        <f>SUM(AP22:BG22)</f>
        <v>100</v>
      </c>
      <c r="BI22" s="212">
        <f t="shared" si="50"/>
        <v>50</v>
      </c>
      <c r="BJ22" s="85">
        <f t="shared" si="51"/>
        <v>0</v>
      </c>
      <c r="BK22" s="85">
        <f t="shared" si="52"/>
        <v>0</v>
      </c>
      <c r="BL22" s="85">
        <f t="shared" si="53"/>
        <v>0</v>
      </c>
      <c r="BM22" s="85">
        <f t="shared" si="54"/>
        <v>0</v>
      </c>
      <c r="BN22" s="85">
        <f t="shared" si="55"/>
        <v>10</v>
      </c>
      <c r="BO22" s="85">
        <f t="shared" si="56"/>
        <v>0</v>
      </c>
      <c r="BP22" s="85">
        <f t="shared" si="57"/>
        <v>40</v>
      </c>
      <c r="BQ22" s="85">
        <f t="shared" si="58"/>
        <v>0</v>
      </c>
      <c r="BR22" s="85">
        <f t="shared" si="59"/>
        <v>0</v>
      </c>
      <c r="BS22" s="85">
        <f t="shared" si="60"/>
        <v>0</v>
      </c>
      <c r="BT22" s="216">
        <f t="shared" si="61"/>
        <v>0</v>
      </c>
      <c r="BU22" s="216">
        <f t="shared" si="22"/>
        <v>0</v>
      </c>
      <c r="BV22" s="216">
        <f t="shared" si="22"/>
        <v>0</v>
      </c>
      <c r="BW22" s="216">
        <f t="shared" si="22"/>
        <v>0</v>
      </c>
      <c r="BX22" s="216">
        <f t="shared" si="22"/>
        <v>0</v>
      </c>
      <c r="BY22" s="213">
        <f t="shared" si="22"/>
        <v>0</v>
      </c>
      <c r="BZ22" s="193">
        <f t="shared" si="62"/>
        <v>100</v>
      </c>
      <c r="CA22" s="201">
        <f t="shared" si="63"/>
        <v>26.322744752180714</v>
      </c>
      <c r="CB22" s="108">
        <f t="shared" si="64"/>
        <v>0</v>
      </c>
      <c r="CC22" s="108">
        <f t="shared" si="65"/>
        <v>0</v>
      </c>
      <c r="CD22" s="108">
        <f t="shared" si="66"/>
        <v>0</v>
      </c>
      <c r="CE22" s="108">
        <f t="shared" si="67"/>
        <v>0</v>
      </c>
      <c r="CF22" s="108">
        <f t="shared" si="68"/>
        <v>10.46799010653563</v>
      </c>
      <c r="CG22" s="108">
        <f t="shared" si="69"/>
        <v>0</v>
      </c>
      <c r="CH22" s="108">
        <f t="shared" si="70"/>
        <v>18.223618912300012</v>
      </c>
      <c r="CI22" s="108">
        <f t="shared" si="71"/>
        <v>0</v>
      </c>
      <c r="CJ22" s="108">
        <f t="shared" si="72"/>
        <v>0</v>
      </c>
      <c r="CK22" s="108">
        <f t="shared" si="73"/>
        <v>0</v>
      </c>
      <c r="CL22" s="108">
        <f t="shared" si="74"/>
        <v>44.985646228983647</v>
      </c>
      <c r="CM22" s="108">
        <f t="shared" si="75"/>
        <v>0</v>
      </c>
      <c r="CN22" s="108">
        <f t="shared" si="76"/>
        <v>0</v>
      </c>
      <c r="CO22" s="108">
        <f t="shared" si="77"/>
        <v>0</v>
      </c>
      <c r="CP22" s="108">
        <f t="shared" si="77"/>
        <v>0</v>
      </c>
      <c r="CQ22" s="108">
        <f t="shared" si="78"/>
        <v>0</v>
      </c>
      <c r="CR22" s="108">
        <f t="shared" si="79"/>
        <v>0</v>
      </c>
      <c r="CS22" s="109">
        <f>SUM(CA22:CR22)</f>
        <v>100</v>
      </c>
      <c r="CT22" s="110">
        <f t="shared" si="24"/>
        <v>56.313175571503152</v>
      </c>
      <c r="CU22" s="110">
        <f t="shared" si="25"/>
        <v>0</v>
      </c>
      <c r="CV22" s="110">
        <f t="shared" si="26"/>
        <v>0</v>
      </c>
      <c r="CW22" s="110">
        <f t="shared" si="27"/>
        <v>0</v>
      </c>
      <c r="CX22" s="110">
        <f t="shared" si="81"/>
        <v>0</v>
      </c>
      <c r="CY22" s="110">
        <f t="shared" si="82"/>
        <v>13.46703318846787</v>
      </c>
      <c r="CZ22" s="110">
        <f t="shared" si="83"/>
        <v>0</v>
      </c>
      <c r="DA22" s="110">
        <f t="shared" si="84"/>
        <v>30.219791240028982</v>
      </c>
      <c r="DB22" s="110">
        <f t="shared" si="85"/>
        <v>0</v>
      </c>
      <c r="DC22" s="110">
        <f t="shared" si="86"/>
        <v>0</v>
      </c>
      <c r="DD22" s="110">
        <f t="shared" si="87"/>
        <v>0</v>
      </c>
      <c r="DE22" s="110">
        <f t="shared" si="88"/>
        <v>0</v>
      </c>
      <c r="DF22" s="110">
        <f t="shared" si="89"/>
        <v>0</v>
      </c>
      <c r="DG22" s="110">
        <f t="shared" si="90"/>
        <v>0</v>
      </c>
      <c r="DH22" s="110">
        <f t="shared" si="91"/>
        <v>0</v>
      </c>
      <c r="DI22" s="110">
        <f t="shared" si="91"/>
        <v>0</v>
      </c>
      <c r="DJ22" s="110">
        <f t="shared" si="92"/>
        <v>0</v>
      </c>
      <c r="DK22" s="110">
        <f t="shared" si="93"/>
        <v>0</v>
      </c>
      <c r="DL22" s="111">
        <f>SUM(CT22:DK22)</f>
        <v>100</v>
      </c>
    </row>
    <row r="23" spans="1:116" s="8" customFormat="1" ht="17" thickBot="1">
      <c r="A23" s="246" t="s">
        <v>76</v>
      </c>
      <c r="B23" s="247">
        <v>0</v>
      </c>
      <c r="C23" s="292">
        <v>3.28</v>
      </c>
      <c r="D23" s="248">
        <v>0</v>
      </c>
      <c r="E23" s="248">
        <v>0</v>
      </c>
      <c r="F23" s="249">
        <v>0</v>
      </c>
      <c r="G23" s="218" t="s">
        <v>14</v>
      </c>
      <c r="H23" s="119">
        <f t="shared" si="29"/>
        <v>0</v>
      </c>
      <c r="I23" s="20">
        <f t="shared" si="7"/>
        <v>0</v>
      </c>
      <c r="J23" s="137">
        <f t="shared" si="30"/>
        <v>0</v>
      </c>
      <c r="K23" s="22">
        <f t="shared" si="8"/>
        <v>0</v>
      </c>
      <c r="L23" s="77">
        <f t="shared" si="31"/>
        <v>0</v>
      </c>
      <c r="M23" s="88">
        <f t="shared" si="32"/>
        <v>0</v>
      </c>
      <c r="N23" s="88">
        <f t="shared" si="9"/>
        <v>0</v>
      </c>
      <c r="O23" s="88">
        <f t="shared" si="33"/>
        <v>0</v>
      </c>
      <c r="P23" s="263">
        <f t="shared" si="34"/>
        <v>0</v>
      </c>
      <c r="Q23" s="263">
        <f t="shared" si="10"/>
        <v>0</v>
      </c>
      <c r="R23" s="94">
        <f t="shared" si="11"/>
        <v>265.67246189024394</v>
      </c>
      <c r="S23" s="95">
        <f t="shared" si="35"/>
        <v>3.7640333246624766E-3</v>
      </c>
      <c r="T23" s="94">
        <f t="shared" si="12"/>
        <v>871.40567499999997</v>
      </c>
      <c r="U23" s="123">
        <f t="shared" si="13"/>
        <v>0</v>
      </c>
      <c r="V23" s="131">
        <v>7</v>
      </c>
      <c r="W23" s="127">
        <v>0</v>
      </c>
      <c r="X23" s="127">
        <v>1.5</v>
      </c>
      <c r="Y23" s="127">
        <v>0</v>
      </c>
      <c r="Z23" s="127">
        <v>0</v>
      </c>
      <c r="AA23" s="127">
        <v>1.5</v>
      </c>
      <c r="AB23" s="127">
        <v>0</v>
      </c>
      <c r="AC23" s="127">
        <v>3</v>
      </c>
      <c r="AD23" s="127">
        <v>2</v>
      </c>
      <c r="AE23" s="127">
        <v>0.5</v>
      </c>
      <c r="AF23" s="127">
        <v>0</v>
      </c>
      <c r="AG23" s="127">
        <v>24</v>
      </c>
      <c r="AH23" s="127">
        <v>2</v>
      </c>
      <c r="AI23" s="127">
        <v>0</v>
      </c>
      <c r="AJ23" s="127">
        <v>0</v>
      </c>
      <c r="AK23" s="127">
        <v>0</v>
      </c>
      <c r="AL23" s="127">
        <v>0</v>
      </c>
      <c r="AM23" s="132">
        <v>0</v>
      </c>
      <c r="AN23" s="124">
        <f t="shared" si="14"/>
        <v>41.5</v>
      </c>
      <c r="AO23" s="148">
        <f t="shared" si="36"/>
        <v>4</v>
      </c>
      <c r="AP23" s="162">
        <f t="shared" si="15"/>
        <v>16.867469879518072</v>
      </c>
      <c r="AQ23" s="83">
        <f t="shared" si="16"/>
        <v>0</v>
      </c>
      <c r="AR23" s="83">
        <f t="shared" si="17"/>
        <v>3.6144578313253009</v>
      </c>
      <c r="AS23" s="83">
        <f t="shared" si="18"/>
        <v>0</v>
      </c>
      <c r="AT23" s="83">
        <f t="shared" si="37"/>
        <v>0</v>
      </c>
      <c r="AU23" s="83">
        <f t="shared" si="38"/>
        <v>3.6144578313253009</v>
      </c>
      <c r="AV23" s="83">
        <f t="shared" si="39"/>
        <v>0</v>
      </c>
      <c r="AW23" s="83">
        <f t="shared" si="40"/>
        <v>7.2289156626506017</v>
      </c>
      <c r="AX23" s="83">
        <f t="shared" si="41"/>
        <v>4.8192771084337354</v>
      </c>
      <c r="AY23" s="83">
        <f t="shared" si="42"/>
        <v>1.2048192771084338</v>
      </c>
      <c r="AZ23" s="83">
        <f t="shared" si="43"/>
        <v>0</v>
      </c>
      <c r="BA23" s="83">
        <f t="shared" si="44"/>
        <v>57.831325301204814</v>
      </c>
      <c r="BB23" s="83">
        <f t="shared" si="45"/>
        <v>4.8192771084337354</v>
      </c>
      <c r="BC23" s="83">
        <f t="shared" si="46"/>
        <v>0</v>
      </c>
      <c r="BD23" s="83">
        <f t="shared" si="47"/>
        <v>0</v>
      </c>
      <c r="BE23" s="83">
        <f t="shared" si="47"/>
        <v>0</v>
      </c>
      <c r="BF23" s="83">
        <f t="shared" si="48"/>
        <v>0</v>
      </c>
      <c r="BG23" s="83">
        <f t="shared" si="20"/>
        <v>0</v>
      </c>
      <c r="BH23" s="175">
        <f t="shared" si="49"/>
        <v>100</v>
      </c>
      <c r="BI23" s="212">
        <f t="shared" si="50"/>
        <v>45.161290322580641</v>
      </c>
      <c r="BJ23" s="85">
        <f t="shared" si="51"/>
        <v>0</v>
      </c>
      <c r="BK23" s="85">
        <f t="shared" si="52"/>
        <v>4.838709677419355</v>
      </c>
      <c r="BL23" s="85">
        <f t="shared" si="53"/>
        <v>0</v>
      </c>
      <c r="BM23" s="85">
        <f t="shared" si="54"/>
        <v>0</v>
      </c>
      <c r="BN23" s="85">
        <f t="shared" si="55"/>
        <v>9.67741935483871</v>
      </c>
      <c r="BO23" s="85">
        <f t="shared" si="56"/>
        <v>0</v>
      </c>
      <c r="BP23" s="85">
        <f t="shared" si="57"/>
        <v>19.35483870967742</v>
      </c>
      <c r="BQ23" s="85">
        <f t="shared" si="58"/>
        <v>12.903225806451612</v>
      </c>
      <c r="BR23" s="85">
        <f t="shared" si="59"/>
        <v>1.6129032258064515</v>
      </c>
      <c r="BS23" s="85">
        <f t="shared" si="60"/>
        <v>0</v>
      </c>
      <c r="BT23" s="216">
        <f t="shared" si="61"/>
        <v>6.4516129032258061</v>
      </c>
      <c r="BU23" s="216">
        <f t="shared" si="22"/>
        <v>0</v>
      </c>
      <c r="BV23" s="216">
        <f t="shared" si="22"/>
        <v>0</v>
      </c>
      <c r="BW23" s="216">
        <f t="shared" si="22"/>
        <v>0</v>
      </c>
      <c r="BX23" s="216">
        <f t="shared" si="22"/>
        <v>0</v>
      </c>
      <c r="BY23" s="213">
        <f t="shared" si="22"/>
        <v>0</v>
      </c>
      <c r="BZ23" s="193">
        <f t="shared" si="62"/>
        <v>100</v>
      </c>
      <c r="CA23" s="201">
        <f t="shared" si="63"/>
        <v>22.561076389593172</v>
      </c>
      <c r="CB23" s="108">
        <f t="shared" si="64"/>
        <v>0</v>
      </c>
      <c r="CC23" s="108">
        <f t="shared" si="65"/>
        <v>4.6444854745753172</v>
      </c>
      <c r="CD23" s="108">
        <f t="shared" si="66"/>
        <v>0</v>
      </c>
      <c r="CE23" s="108">
        <f t="shared" si="67"/>
        <v>0</v>
      </c>
      <c r="CF23" s="108">
        <f t="shared" si="68"/>
        <v>9.6129165098678069</v>
      </c>
      <c r="CG23" s="108">
        <f t="shared" si="69"/>
        <v>0</v>
      </c>
      <c r="CH23" s="108">
        <f t="shared" si="70"/>
        <v>8.3675149349928208</v>
      </c>
      <c r="CI23" s="108">
        <f t="shared" si="71"/>
        <v>9.1984711942574862</v>
      </c>
      <c r="CJ23" s="108">
        <f t="shared" si="72"/>
        <v>1.3191198232671597</v>
      </c>
      <c r="CK23" s="108">
        <f t="shared" si="73"/>
        <v>0</v>
      </c>
      <c r="CL23" s="108">
        <f t="shared" si="74"/>
        <v>44.065079103369392</v>
      </c>
      <c r="CM23" s="108">
        <f t="shared" si="75"/>
        <v>0.23133657007684741</v>
      </c>
      <c r="CN23" s="108">
        <f t="shared" si="76"/>
        <v>0</v>
      </c>
      <c r="CO23" s="108">
        <f t="shared" si="77"/>
        <v>0</v>
      </c>
      <c r="CP23" s="108">
        <f t="shared" si="77"/>
        <v>0</v>
      </c>
      <c r="CQ23" s="108">
        <f t="shared" si="78"/>
        <v>0</v>
      </c>
      <c r="CR23" s="108">
        <f t="shared" si="79"/>
        <v>0</v>
      </c>
      <c r="CS23" s="109">
        <f t="shared" si="80"/>
        <v>100</v>
      </c>
      <c r="CT23" s="110">
        <f t="shared" si="24"/>
        <v>48.265705866558655</v>
      </c>
      <c r="CU23" s="110">
        <f t="shared" si="25"/>
        <v>0</v>
      </c>
      <c r="CV23" s="110">
        <f t="shared" si="26"/>
        <v>8.7755866405162006</v>
      </c>
      <c r="CW23" s="110">
        <f t="shared" si="27"/>
        <v>0</v>
      </c>
      <c r="CX23" s="110">
        <f t="shared" si="81"/>
        <v>0</v>
      </c>
      <c r="CY23" s="110">
        <f t="shared" si="82"/>
        <v>12.366983953828393</v>
      </c>
      <c r="CZ23" s="110">
        <f t="shared" si="83"/>
        <v>0</v>
      </c>
      <c r="DA23" s="110">
        <f t="shared" si="84"/>
        <v>13.875649822913996</v>
      </c>
      <c r="DB23" s="110">
        <f t="shared" si="85"/>
        <v>12.870561119538268</v>
      </c>
      <c r="DC23" s="110">
        <f t="shared" si="86"/>
        <v>1.7781310639272578</v>
      </c>
      <c r="DD23" s="110">
        <f t="shared" si="87"/>
        <v>0</v>
      </c>
      <c r="DE23" s="110">
        <f t="shared" si="88"/>
        <v>0</v>
      </c>
      <c r="DF23" s="110">
        <f t="shared" si="89"/>
        <v>2.0673815327172393</v>
      </c>
      <c r="DG23" s="110">
        <f t="shared" si="90"/>
        <v>0</v>
      </c>
      <c r="DH23" s="110">
        <f t="shared" si="91"/>
        <v>0</v>
      </c>
      <c r="DI23" s="110">
        <f t="shared" si="91"/>
        <v>0</v>
      </c>
      <c r="DJ23" s="110">
        <f t="shared" si="92"/>
        <v>0</v>
      </c>
      <c r="DK23" s="110">
        <f t="shared" si="93"/>
        <v>0</v>
      </c>
      <c r="DL23" s="111">
        <f t="shared" si="94"/>
        <v>100.00000000000001</v>
      </c>
    </row>
    <row r="24" spans="1:116" s="12" customFormat="1" ht="17" thickBot="1">
      <c r="A24" s="294" t="s">
        <v>74</v>
      </c>
      <c r="B24" s="295">
        <v>5.3</v>
      </c>
      <c r="C24" s="296">
        <v>3.07</v>
      </c>
      <c r="D24" s="297">
        <v>0.1</v>
      </c>
      <c r="E24" s="297">
        <v>0.05</v>
      </c>
      <c r="F24" s="298">
        <v>0.05</v>
      </c>
      <c r="G24" s="218" t="s">
        <v>14</v>
      </c>
      <c r="H24" s="313">
        <f t="shared" si="29"/>
        <v>6.0431439100571005</v>
      </c>
      <c r="I24" s="314">
        <f t="shared" si="7"/>
        <v>1.924162662450599</v>
      </c>
      <c r="J24" s="315">
        <f t="shared" si="30"/>
        <v>2.5000000000000006E-4</v>
      </c>
      <c r="K24" s="316">
        <f t="shared" si="8"/>
        <v>7.6750000000000017E-4</v>
      </c>
      <c r="L24" s="317">
        <f t="shared" si="31"/>
        <v>37.769649437856877</v>
      </c>
      <c r="M24" s="318">
        <f>IF(K24&gt;0,L24/K24,0)</f>
        <v>49211.269625872141</v>
      </c>
      <c r="N24" s="318">
        <f t="shared" si="9"/>
        <v>928514.5212428706</v>
      </c>
      <c r="O24" s="318">
        <f t="shared" si="33"/>
        <v>215.7694818863549</v>
      </c>
      <c r="P24" s="263">
        <f t="shared" si="34"/>
        <v>0.43845542601672094</v>
      </c>
      <c r="Q24" s="263">
        <f t="shared" si="10"/>
        <v>2.6496492375644387E-2</v>
      </c>
      <c r="R24" s="309">
        <f t="shared" si="11"/>
        <v>146.66532212703584</v>
      </c>
      <c r="S24" s="310">
        <f>1/R24</f>
        <v>6.8182443231798078E-3</v>
      </c>
      <c r="T24" s="309">
        <f t="shared" si="12"/>
        <v>450.26253893000001</v>
      </c>
      <c r="U24" s="311">
        <f t="shared" si="13"/>
        <v>4.0000000000011086E-3</v>
      </c>
      <c r="V24" s="301">
        <v>2.8650000000000002</v>
      </c>
      <c r="W24" s="302">
        <v>0.08</v>
      </c>
      <c r="X24" s="302">
        <v>1.3380000000000001</v>
      </c>
      <c r="Y24" s="302">
        <v>0</v>
      </c>
      <c r="Z24" s="302">
        <v>0</v>
      </c>
      <c r="AA24" s="302">
        <v>1.073</v>
      </c>
      <c r="AB24" s="302">
        <v>2.4E-2</v>
      </c>
      <c r="AC24" s="302">
        <v>1.5269999999999999</v>
      </c>
      <c r="AD24" s="302">
        <v>2E-3</v>
      </c>
      <c r="AE24" s="302">
        <v>1.2999999999999999E-2</v>
      </c>
      <c r="AF24" s="302">
        <v>0.93899999999999995</v>
      </c>
      <c r="AG24" s="302">
        <v>12</v>
      </c>
      <c r="AH24" s="302">
        <v>2</v>
      </c>
      <c r="AI24" s="302">
        <v>0</v>
      </c>
      <c r="AJ24" s="302">
        <v>0</v>
      </c>
      <c r="AK24" s="302">
        <v>0</v>
      </c>
      <c r="AL24" s="302">
        <v>0</v>
      </c>
      <c r="AM24" s="303">
        <v>3.0000000000000001E-3</v>
      </c>
      <c r="AN24" s="304">
        <f>SUM(V24:AM24)</f>
        <v>21.864000000000001</v>
      </c>
      <c r="AO24" s="305">
        <f t="shared" si="36"/>
        <v>4.29</v>
      </c>
      <c r="AP24" s="306">
        <f t="shared" si="15"/>
        <v>13.103732162458837</v>
      </c>
      <c r="AQ24" s="300">
        <f t="shared" si="16"/>
        <v>0.36589828027808269</v>
      </c>
      <c r="AR24" s="300">
        <f t="shared" si="17"/>
        <v>6.119648737650933</v>
      </c>
      <c r="AS24" s="300">
        <f t="shared" si="18"/>
        <v>0</v>
      </c>
      <c r="AT24" s="300">
        <f t="shared" si="37"/>
        <v>0</v>
      </c>
      <c r="AU24" s="300">
        <f t="shared" si="38"/>
        <v>4.907610684229784</v>
      </c>
      <c r="AV24" s="300">
        <f t="shared" si="39"/>
        <v>0.10976948408342481</v>
      </c>
      <c r="AW24" s="300">
        <f t="shared" si="40"/>
        <v>6.9840834248079036</v>
      </c>
      <c r="AX24" s="300">
        <f t="shared" si="41"/>
        <v>9.1474570069520669E-3</v>
      </c>
      <c r="AY24" s="300">
        <f t="shared" si="42"/>
        <v>5.9458470545188429E-2</v>
      </c>
      <c r="AZ24" s="300">
        <f t="shared" si="43"/>
        <v>4.2947310647639947</v>
      </c>
      <c r="BA24" s="300">
        <f t="shared" si="44"/>
        <v>54.8847420417124</v>
      </c>
      <c r="BB24" s="300">
        <f t="shared" si="45"/>
        <v>9.1474570069520666</v>
      </c>
      <c r="BC24" s="300">
        <f t="shared" si="46"/>
        <v>0</v>
      </c>
      <c r="BD24" s="300">
        <f t="shared" si="47"/>
        <v>0</v>
      </c>
      <c r="BE24" s="300">
        <f t="shared" si="47"/>
        <v>0</v>
      </c>
      <c r="BF24" s="300">
        <f t="shared" si="48"/>
        <v>0</v>
      </c>
      <c r="BG24" s="300">
        <f>AM24/$AN24*100</f>
        <v>1.3721185510428101E-2</v>
      </c>
      <c r="BH24" s="305">
        <f>SUM(AP24:BG24)</f>
        <v>100</v>
      </c>
      <c r="BI24" s="307">
        <f t="shared" si="50"/>
        <v>37.116206762534006</v>
      </c>
      <c r="BJ24" s="300">
        <f t="shared" si="51"/>
        <v>1.0364036792330611</v>
      </c>
      <c r="BK24" s="300">
        <f t="shared" si="52"/>
        <v>8.6669257675864735</v>
      </c>
      <c r="BL24" s="300">
        <f t="shared" si="53"/>
        <v>0</v>
      </c>
      <c r="BM24" s="300">
        <f t="shared" si="54"/>
        <v>0</v>
      </c>
      <c r="BN24" s="300">
        <f t="shared" si="55"/>
        <v>13.900764347713432</v>
      </c>
      <c r="BO24" s="300">
        <f t="shared" si="56"/>
        <v>0.31092110376991833</v>
      </c>
      <c r="BP24" s="300">
        <f t="shared" si="57"/>
        <v>19.782355227361055</v>
      </c>
      <c r="BQ24" s="300">
        <f t="shared" si="58"/>
        <v>2.5910091980826527E-2</v>
      </c>
      <c r="BR24" s="300">
        <f t="shared" si="59"/>
        <v>8.4207798937686207E-2</v>
      </c>
      <c r="BS24" s="300">
        <f t="shared" si="60"/>
        <v>6.082394092499027</v>
      </c>
      <c r="BT24" s="14">
        <f t="shared" si="61"/>
        <v>12.955045990413264</v>
      </c>
      <c r="BU24" s="14">
        <f t="shared" si="22"/>
        <v>0</v>
      </c>
      <c r="BV24" s="14">
        <f t="shared" si="22"/>
        <v>0</v>
      </c>
      <c r="BW24" s="14">
        <f t="shared" si="22"/>
        <v>0</v>
      </c>
      <c r="BX24" s="14">
        <f t="shared" si="22"/>
        <v>0</v>
      </c>
      <c r="BY24" s="299">
        <f t="shared" si="22"/>
        <v>3.8865137971239791E-2</v>
      </c>
      <c r="BZ24" s="305">
        <f t="shared" si="62"/>
        <v>100.00000000000001</v>
      </c>
      <c r="CA24" s="306">
        <f t="shared" si="63"/>
        <v>17.87067555991139</v>
      </c>
      <c r="CB24" s="300">
        <f t="shared" si="64"/>
        <v>0.85047270623491311</v>
      </c>
      <c r="CC24" s="300">
        <f t="shared" si="65"/>
        <v>8.0178334635146022</v>
      </c>
      <c r="CD24" s="300">
        <f t="shared" si="66"/>
        <v>0</v>
      </c>
      <c r="CE24" s="300">
        <f t="shared" si="67"/>
        <v>0</v>
      </c>
      <c r="CF24" s="300">
        <f t="shared" si="68"/>
        <v>13.308165752007122</v>
      </c>
      <c r="CG24" s="300">
        <f t="shared" si="69"/>
        <v>0.2928320892813564</v>
      </c>
      <c r="CH24" s="300">
        <f t="shared" si="70"/>
        <v>8.2426877190797967</v>
      </c>
      <c r="CI24" s="300">
        <f t="shared" si="71"/>
        <v>1.7802058370319243E-2</v>
      </c>
      <c r="CJ24" s="300">
        <f t="shared" si="72"/>
        <v>6.6376165938704337E-2</v>
      </c>
      <c r="CK24" s="300">
        <f t="shared" si="73"/>
        <v>8.153754870934895</v>
      </c>
      <c r="CL24" s="300">
        <f t="shared" si="74"/>
        <v>42.640189533921699</v>
      </c>
      <c r="CM24" s="300">
        <f t="shared" si="75"/>
        <v>0.44771212919256398</v>
      </c>
      <c r="CN24" s="300">
        <f t="shared" si="76"/>
        <v>0</v>
      </c>
      <c r="CO24" s="300">
        <f t="shared" si="77"/>
        <v>0</v>
      </c>
      <c r="CP24" s="300">
        <f t="shared" si="77"/>
        <v>0</v>
      </c>
      <c r="CQ24" s="300">
        <f t="shared" si="78"/>
        <v>0</v>
      </c>
      <c r="CR24" s="300">
        <f t="shared" si="79"/>
        <v>9.1497951612636491E-2</v>
      </c>
      <c r="CS24" s="308">
        <f>SUM(CA24:CR24)</f>
        <v>100.00000000000001</v>
      </c>
      <c r="CT24" s="300">
        <f t="shared" si="24"/>
        <v>38.228649140262867</v>
      </c>
      <c r="CU24" s="300">
        <f t="shared" si="25"/>
        <v>1.4189077244697637</v>
      </c>
      <c r="CV24" s="300">
        <f t="shared" si="26"/>
        <v>15.148328566596019</v>
      </c>
      <c r="CW24" s="300">
        <f t="shared" si="27"/>
        <v>0</v>
      </c>
      <c r="CX24" s="300">
        <f t="shared" si="81"/>
        <v>0</v>
      </c>
      <c r="CY24" s="300">
        <f t="shared" si="82"/>
        <v>17.119692664232979</v>
      </c>
      <c r="CZ24" s="300">
        <f t="shared" si="83"/>
        <v>0.37808559768707378</v>
      </c>
      <c r="DA24" s="300">
        <f t="shared" si="84"/>
        <v>13.66768047092935</v>
      </c>
      <c r="DB24" s="300">
        <f t="shared" si="85"/>
        <v>2.4906986478624368E-2</v>
      </c>
      <c r="DC24" s="300">
        <f t="shared" si="86"/>
        <v>8.9466576851874036E-2</v>
      </c>
      <c r="DD24" s="300">
        <f t="shared" si="87"/>
        <v>9.8213542797175446</v>
      </c>
      <c r="DE24" s="300">
        <f t="shared" si="88"/>
        <v>0</v>
      </c>
      <c r="DF24" s="300">
        <f t="shared" si="89"/>
        <v>4.0007769205476009</v>
      </c>
      <c r="DG24" s="300">
        <f t="shared" si="90"/>
        <v>0</v>
      </c>
      <c r="DH24" s="300">
        <f t="shared" si="91"/>
        <v>0</v>
      </c>
      <c r="DI24" s="300">
        <f t="shared" si="91"/>
        <v>0</v>
      </c>
      <c r="DJ24" s="300">
        <f t="shared" si="92"/>
        <v>0</v>
      </c>
      <c r="DK24" s="300">
        <f t="shared" si="93"/>
        <v>0.10215107222631734</v>
      </c>
      <c r="DL24" s="308">
        <f>SUM(CT24:DK24)</f>
        <v>100.00000000000003</v>
      </c>
    </row>
    <row r="25" spans="1:116" s="8" customFormat="1" ht="17" thickBot="1">
      <c r="A25" s="246" t="s">
        <v>4</v>
      </c>
      <c r="B25" s="247">
        <v>0</v>
      </c>
      <c r="C25" s="292">
        <v>2.83</v>
      </c>
      <c r="D25" s="297">
        <v>0</v>
      </c>
      <c r="E25" s="248">
        <v>0</v>
      </c>
      <c r="F25" s="249">
        <v>0</v>
      </c>
      <c r="G25" s="218" t="s">
        <v>14</v>
      </c>
      <c r="H25" s="119">
        <f t="shared" si="29"/>
        <v>0</v>
      </c>
      <c r="I25" s="20">
        <f t="shared" si="7"/>
        <v>0</v>
      </c>
      <c r="J25" s="137">
        <f t="shared" si="30"/>
        <v>0</v>
      </c>
      <c r="K25" s="22">
        <f t="shared" si="8"/>
        <v>0</v>
      </c>
      <c r="L25" s="77">
        <f t="shared" si="31"/>
        <v>0</v>
      </c>
      <c r="M25" s="88">
        <f t="shared" si="32"/>
        <v>0</v>
      </c>
      <c r="N25" s="88">
        <f t="shared" si="9"/>
        <v>0</v>
      </c>
      <c r="O25" s="88">
        <f t="shared" si="33"/>
        <v>0</v>
      </c>
      <c r="P25" s="263">
        <f t="shared" si="34"/>
        <v>0</v>
      </c>
      <c r="Q25" s="273">
        <f t="shared" si="10"/>
        <v>0</v>
      </c>
      <c r="R25" s="94">
        <f t="shared" si="11"/>
        <v>140.17570565371025</v>
      </c>
      <c r="S25" s="95">
        <f t="shared" si="35"/>
        <v>7.1339038054882191E-3</v>
      </c>
      <c r="T25" s="94">
        <f t="shared" si="12"/>
        <v>396.697247</v>
      </c>
      <c r="U25" s="123">
        <f t="shared" si="13"/>
        <v>0</v>
      </c>
      <c r="V25" s="131">
        <v>3</v>
      </c>
      <c r="W25" s="127">
        <v>0</v>
      </c>
      <c r="X25" s="127">
        <v>3</v>
      </c>
      <c r="Y25" s="127">
        <v>0</v>
      </c>
      <c r="Z25" s="127">
        <v>0</v>
      </c>
      <c r="AA25" s="127">
        <v>0</v>
      </c>
      <c r="AB25" s="127">
        <v>0</v>
      </c>
      <c r="AC25" s="127">
        <v>0</v>
      </c>
      <c r="AD25" s="127">
        <v>0</v>
      </c>
      <c r="AE25" s="127">
        <v>0.1</v>
      </c>
      <c r="AF25" s="127">
        <v>0.9</v>
      </c>
      <c r="AG25" s="127">
        <v>12</v>
      </c>
      <c r="AH25" s="127">
        <v>2</v>
      </c>
      <c r="AI25" s="127">
        <v>0</v>
      </c>
      <c r="AJ25" s="127">
        <v>0</v>
      </c>
      <c r="AK25" s="127">
        <v>0</v>
      </c>
      <c r="AL25" s="127">
        <v>0</v>
      </c>
      <c r="AM25" s="132">
        <v>0</v>
      </c>
      <c r="AN25" s="124">
        <f t="shared" si="14"/>
        <v>21</v>
      </c>
      <c r="AO25" s="148">
        <f t="shared" si="36"/>
        <v>6</v>
      </c>
      <c r="AP25" s="162">
        <f t="shared" si="15"/>
        <v>14.285714285714285</v>
      </c>
      <c r="AQ25" s="83">
        <f t="shared" si="16"/>
        <v>0</v>
      </c>
      <c r="AR25" s="83">
        <f t="shared" si="17"/>
        <v>14.285714285714285</v>
      </c>
      <c r="AS25" s="83">
        <f t="shared" si="18"/>
        <v>0</v>
      </c>
      <c r="AT25" s="83">
        <f t="shared" si="37"/>
        <v>0</v>
      </c>
      <c r="AU25" s="83">
        <f t="shared" si="38"/>
        <v>0</v>
      </c>
      <c r="AV25" s="83">
        <f t="shared" si="39"/>
        <v>0</v>
      </c>
      <c r="AW25" s="83">
        <f t="shared" si="40"/>
        <v>0</v>
      </c>
      <c r="AX25" s="83">
        <f t="shared" si="41"/>
        <v>0</v>
      </c>
      <c r="AY25" s="83">
        <f t="shared" si="42"/>
        <v>0.47619047619047622</v>
      </c>
      <c r="AZ25" s="83">
        <f t="shared" si="43"/>
        <v>4.2857142857142856</v>
      </c>
      <c r="BA25" s="83">
        <f t="shared" si="44"/>
        <v>57.142857142857139</v>
      </c>
      <c r="BB25" s="83">
        <f t="shared" si="45"/>
        <v>9.5238095238095237</v>
      </c>
      <c r="BC25" s="83">
        <f t="shared" si="46"/>
        <v>0</v>
      </c>
      <c r="BD25" s="83">
        <f t="shared" si="47"/>
        <v>0</v>
      </c>
      <c r="BE25" s="83">
        <f t="shared" si="47"/>
        <v>0</v>
      </c>
      <c r="BF25" s="83">
        <f t="shared" si="48"/>
        <v>0</v>
      </c>
      <c r="BG25" s="83">
        <f t="shared" si="20"/>
        <v>0</v>
      </c>
      <c r="BH25" s="175">
        <f t="shared" si="49"/>
        <v>99.999999999999986</v>
      </c>
      <c r="BI25" s="212">
        <f t="shared" si="50"/>
        <v>50</v>
      </c>
      <c r="BJ25" s="85">
        <f t="shared" si="51"/>
        <v>0</v>
      </c>
      <c r="BK25" s="85">
        <f t="shared" si="52"/>
        <v>25</v>
      </c>
      <c r="BL25" s="85">
        <f t="shared" si="53"/>
        <v>0</v>
      </c>
      <c r="BM25" s="85">
        <f t="shared" si="54"/>
        <v>0</v>
      </c>
      <c r="BN25" s="85">
        <f t="shared" si="55"/>
        <v>0</v>
      </c>
      <c r="BO25" s="85">
        <f t="shared" si="56"/>
        <v>0</v>
      </c>
      <c r="BP25" s="85">
        <f t="shared" si="57"/>
        <v>0</v>
      </c>
      <c r="BQ25" s="85">
        <f t="shared" si="58"/>
        <v>0</v>
      </c>
      <c r="BR25" s="85">
        <f t="shared" si="59"/>
        <v>0.83333333333333337</v>
      </c>
      <c r="BS25" s="85">
        <f t="shared" si="60"/>
        <v>7.5</v>
      </c>
      <c r="BT25" s="216">
        <f t="shared" si="61"/>
        <v>16.666666666666664</v>
      </c>
      <c r="BU25" s="216">
        <f t="shared" si="22"/>
        <v>0</v>
      </c>
      <c r="BV25" s="216">
        <f t="shared" si="22"/>
        <v>0</v>
      </c>
      <c r="BW25" s="216">
        <f t="shared" si="22"/>
        <v>0</v>
      </c>
      <c r="BX25" s="216">
        <f t="shared" si="22"/>
        <v>0</v>
      </c>
      <c r="BY25" s="213">
        <f t="shared" si="22"/>
        <v>0</v>
      </c>
      <c r="BZ25" s="193">
        <f t="shared" si="62"/>
        <v>100</v>
      </c>
      <c r="CA25" s="201">
        <f t="shared" si="63"/>
        <v>21.239497031346932</v>
      </c>
      <c r="CB25" s="108">
        <f t="shared" si="64"/>
        <v>0</v>
      </c>
      <c r="CC25" s="108">
        <f t="shared" si="65"/>
        <v>20.404633662607697</v>
      </c>
      <c r="CD25" s="108">
        <f t="shared" si="66"/>
        <v>0</v>
      </c>
      <c r="CE25" s="108">
        <f t="shared" si="67"/>
        <v>0</v>
      </c>
      <c r="CF25" s="108">
        <f t="shared" si="68"/>
        <v>0</v>
      </c>
      <c r="CG25" s="108">
        <f t="shared" si="69"/>
        <v>0</v>
      </c>
      <c r="CH25" s="108">
        <f t="shared" si="70"/>
        <v>0</v>
      </c>
      <c r="CI25" s="108">
        <f t="shared" si="71"/>
        <v>0</v>
      </c>
      <c r="CJ25" s="108">
        <f t="shared" si="72"/>
        <v>0.5795293557961092</v>
      </c>
      <c r="CK25" s="108">
        <f t="shared" si="73"/>
        <v>8.8703590120956903</v>
      </c>
      <c r="CL25" s="108">
        <f t="shared" si="74"/>
        <v>48.397815072308781</v>
      </c>
      <c r="CM25" s="108">
        <f t="shared" si="75"/>
        <v>0.50816586584479129</v>
      </c>
      <c r="CN25" s="108">
        <f t="shared" si="76"/>
        <v>0</v>
      </c>
      <c r="CO25" s="108">
        <f t="shared" si="77"/>
        <v>0</v>
      </c>
      <c r="CP25" s="108">
        <f t="shared" si="77"/>
        <v>0</v>
      </c>
      <c r="CQ25" s="108">
        <f t="shared" si="78"/>
        <v>0</v>
      </c>
      <c r="CR25" s="108">
        <f t="shared" si="79"/>
        <v>0</v>
      </c>
      <c r="CS25" s="109">
        <f t="shared" si="80"/>
        <v>100</v>
      </c>
      <c r="CT25" s="110">
        <f t="shared" si="24"/>
        <v>45.438404567501316</v>
      </c>
      <c r="CU25" s="110">
        <f t="shared" si="25"/>
        <v>0</v>
      </c>
      <c r="CV25" s="110">
        <f t="shared" si="26"/>
        <v>38.553814314723489</v>
      </c>
      <c r="CW25" s="110">
        <f t="shared" si="27"/>
        <v>0</v>
      </c>
      <c r="CX25" s="110">
        <f t="shared" si="81"/>
        <v>0</v>
      </c>
      <c r="CY25" s="110">
        <f t="shared" si="82"/>
        <v>0</v>
      </c>
      <c r="CZ25" s="110">
        <f t="shared" si="83"/>
        <v>0</v>
      </c>
      <c r="DA25" s="110">
        <f t="shared" si="84"/>
        <v>0</v>
      </c>
      <c r="DB25" s="110">
        <f t="shared" si="85"/>
        <v>0</v>
      </c>
      <c r="DC25" s="110">
        <f t="shared" si="86"/>
        <v>0.78118691859739575</v>
      </c>
      <c r="DD25" s="110">
        <f t="shared" si="87"/>
        <v>10.685277077307267</v>
      </c>
      <c r="DE25" s="110">
        <f t="shared" si="88"/>
        <v>0</v>
      </c>
      <c r="DF25" s="110">
        <f t="shared" si="89"/>
        <v>4.5413171218705219</v>
      </c>
      <c r="DG25" s="110">
        <f t="shared" si="90"/>
        <v>0</v>
      </c>
      <c r="DH25" s="110">
        <f t="shared" si="91"/>
        <v>0</v>
      </c>
      <c r="DI25" s="110">
        <f t="shared" si="91"/>
        <v>0</v>
      </c>
      <c r="DJ25" s="110">
        <f t="shared" si="92"/>
        <v>0</v>
      </c>
      <c r="DK25" s="110">
        <f t="shared" si="93"/>
        <v>0</v>
      </c>
      <c r="DL25" s="111">
        <f t="shared" si="94"/>
        <v>99.999999999999986</v>
      </c>
    </row>
    <row r="26" spans="1:116" s="8" customFormat="1" ht="17" thickBot="1">
      <c r="A26" s="246" t="s">
        <v>77</v>
      </c>
      <c r="B26" s="247">
        <v>0</v>
      </c>
      <c r="C26" s="292">
        <v>2.78</v>
      </c>
      <c r="D26" s="297">
        <v>0</v>
      </c>
      <c r="E26" s="248">
        <v>0</v>
      </c>
      <c r="F26" s="249">
        <v>0.03</v>
      </c>
      <c r="G26" s="218" t="s">
        <v>14</v>
      </c>
      <c r="H26" s="119">
        <f t="shared" si="29"/>
        <v>0</v>
      </c>
      <c r="I26" s="20">
        <f t="shared" si="7"/>
        <v>0</v>
      </c>
      <c r="J26" s="137">
        <f t="shared" si="30"/>
        <v>0</v>
      </c>
      <c r="K26" s="22">
        <f t="shared" si="8"/>
        <v>0</v>
      </c>
      <c r="L26" s="77">
        <f t="shared" si="31"/>
        <v>0</v>
      </c>
      <c r="M26" s="88">
        <f t="shared" si="32"/>
        <v>0</v>
      </c>
      <c r="N26" s="88">
        <f t="shared" si="9"/>
        <v>0</v>
      </c>
      <c r="O26" s="88">
        <f t="shared" si="33"/>
        <v>0</v>
      </c>
      <c r="P26" s="263">
        <f t="shared" si="34"/>
        <v>0</v>
      </c>
      <c r="Q26" s="272">
        <f t="shared" si="10"/>
        <v>0</v>
      </c>
      <c r="R26" s="94">
        <f t="shared" si="11"/>
        <v>433.8901438848921</v>
      </c>
      <c r="S26" s="95">
        <f t="shared" si="35"/>
        <v>2.3047308497177866E-3</v>
      </c>
      <c r="T26" s="94">
        <f t="shared" si="12"/>
        <v>1206.2146</v>
      </c>
      <c r="U26" s="123">
        <f t="shared" si="13"/>
        <v>0</v>
      </c>
      <c r="V26" s="131">
        <v>6</v>
      </c>
      <c r="W26" s="127">
        <v>0</v>
      </c>
      <c r="X26" s="127">
        <v>4</v>
      </c>
      <c r="Y26" s="127">
        <v>0</v>
      </c>
      <c r="Z26" s="127">
        <v>0</v>
      </c>
      <c r="AA26" s="127">
        <v>3</v>
      </c>
      <c r="AB26" s="127">
        <v>0</v>
      </c>
      <c r="AC26" s="127">
        <v>7</v>
      </c>
      <c r="AD26" s="127">
        <v>0</v>
      </c>
      <c r="AE26" s="127">
        <v>0</v>
      </c>
      <c r="AF26" s="127">
        <v>0</v>
      </c>
      <c r="AG26" s="127">
        <v>36</v>
      </c>
      <c r="AH26" s="127">
        <v>16</v>
      </c>
      <c r="AI26" s="127">
        <v>0</v>
      </c>
      <c r="AJ26" s="127">
        <v>0</v>
      </c>
      <c r="AK26" s="127">
        <v>0</v>
      </c>
      <c r="AL26" s="127">
        <v>0</v>
      </c>
      <c r="AM26" s="132">
        <v>0</v>
      </c>
      <c r="AN26" s="124">
        <f t="shared" si="14"/>
        <v>72</v>
      </c>
      <c r="AO26" s="148">
        <f t="shared" si="36"/>
        <v>20</v>
      </c>
      <c r="AP26" s="162">
        <f t="shared" si="15"/>
        <v>8.3333333333333321</v>
      </c>
      <c r="AQ26" s="83">
        <f t="shared" si="16"/>
        <v>0</v>
      </c>
      <c r="AR26" s="83">
        <f t="shared" si="17"/>
        <v>5.5555555555555554</v>
      </c>
      <c r="AS26" s="83">
        <f t="shared" si="18"/>
        <v>0</v>
      </c>
      <c r="AT26" s="83">
        <f t="shared" si="37"/>
        <v>0</v>
      </c>
      <c r="AU26" s="83">
        <f t="shared" si="38"/>
        <v>4.1666666666666661</v>
      </c>
      <c r="AV26" s="83">
        <f t="shared" si="39"/>
        <v>0</v>
      </c>
      <c r="AW26" s="83">
        <f t="shared" si="40"/>
        <v>9.7222222222222232</v>
      </c>
      <c r="AX26" s="83">
        <f t="shared" si="41"/>
        <v>0</v>
      </c>
      <c r="AY26" s="83">
        <f t="shared" si="42"/>
        <v>0</v>
      </c>
      <c r="AZ26" s="83">
        <f t="shared" si="43"/>
        <v>0</v>
      </c>
      <c r="BA26" s="83">
        <f t="shared" si="44"/>
        <v>50</v>
      </c>
      <c r="BB26" s="83">
        <f t="shared" si="45"/>
        <v>22.222222222222221</v>
      </c>
      <c r="BC26" s="83">
        <f t="shared" si="46"/>
        <v>0</v>
      </c>
      <c r="BD26" s="83">
        <f t="shared" si="47"/>
        <v>0</v>
      </c>
      <c r="BE26" s="83">
        <f t="shared" si="47"/>
        <v>0</v>
      </c>
      <c r="BF26" s="83">
        <f t="shared" si="48"/>
        <v>0</v>
      </c>
      <c r="BG26" s="83">
        <f t="shared" si="20"/>
        <v>0</v>
      </c>
      <c r="BH26" s="175">
        <f t="shared" si="49"/>
        <v>100</v>
      </c>
      <c r="BI26" s="212">
        <f t="shared" si="50"/>
        <v>23.076923076923077</v>
      </c>
      <c r="BJ26" s="85">
        <f t="shared" si="51"/>
        <v>0</v>
      </c>
      <c r="BK26" s="85">
        <f t="shared" si="52"/>
        <v>7.6923076923076925</v>
      </c>
      <c r="BL26" s="85">
        <f t="shared" si="53"/>
        <v>0</v>
      </c>
      <c r="BM26" s="85">
        <f t="shared" si="54"/>
        <v>0</v>
      </c>
      <c r="BN26" s="85">
        <f t="shared" si="55"/>
        <v>11.538461538461538</v>
      </c>
      <c r="BO26" s="85">
        <f t="shared" si="56"/>
        <v>0</v>
      </c>
      <c r="BP26" s="85">
        <f t="shared" si="57"/>
        <v>26.923076923076923</v>
      </c>
      <c r="BQ26" s="85">
        <f t="shared" si="58"/>
        <v>0</v>
      </c>
      <c r="BR26" s="85">
        <f t="shared" si="59"/>
        <v>0</v>
      </c>
      <c r="BS26" s="85">
        <f t="shared" si="60"/>
        <v>0</v>
      </c>
      <c r="BT26" s="216">
        <f t="shared" si="61"/>
        <v>30.76923076923077</v>
      </c>
      <c r="BU26" s="216">
        <f t="shared" si="22"/>
        <v>0</v>
      </c>
      <c r="BV26" s="216">
        <f t="shared" si="22"/>
        <v>0</v>
      </c>
      <c r="BW26" s="216">
        <f t="shared" si="22"/>
        <v>0</v>
      </c>
      <c r="BX26" s="216">
        <f t="shared" si="22"/>
        <v>0</v>
      </c>
      <c r="BY26" s="213">
        <f t="shared" si="22"/>
        <v>0</v>
      </c>
      <c r="BZ26" s="193">
        <f t="shared" si="62"/>
        <v>100</v>
      </c>
      <c r="CA26" s="201">
        <f t="shared" si="63"/>
        <v>13.970399628722783</v>
      </c>
      <c r="CB26" s="108">
        <f t="shared" si="64"/>
        <v>0</v>
      </c>
      <c r="CC26" s="108">
        <f t="shared" si="65"/>
        <v>8.9475090087617914</v>
      </c>
      <c r="CD26" s="108">
        <f t="shared" si="66"/>
        <v>0</v>
      </c>
      <c r="CE26" s="108">
        <f t="shared" si="67"/>
        <v>0</v>
      </c>
      <c r="CF26" s="108">
        <f t="shared" si="68"/>
        <v>13.889319529045659</v>
      </c>
      <c r="CG26" s="108">
        <f t="shared" si="69"/>
        <v>0</v>
      </c>
      <c r="CH26" s="108">
        <f t="shared" si="70"/>
        <v>14.104869896285452</v>
      </c>
      <c r="CI26" s="108">
        <f t="shared" si="71"/>
        <v>0</v>
      </c>
      <c r="CJ26" s="108">
        <f t="shared" si="72"/>
        <v>0</v>
      </c>
      <c r="CK26" s="108">
        <f t="shared" si="73"/>
        <v>0</v>
      </c>
      <c r="CL26" s="108">
        <f t="shared" si="74"/>
        <v>47.750906016226295</v>
      </c>
      <c r="CM26" s="108">
        <f t="shared" si="75"/>
        <v>1.336995920958012</v>
      </c>
      <c r="CN26" s="108">
        <f t="shared" si="76"/>
        <v>0</v>
      </c>
      <c r="CO26" s="108">
        <f t="shared" si="77"/>
        <v>0</v>
      </c>
      <c r="CP26" s="108">
        <f t="shared" si="77"/>
        <v>0</v>
      </c>
      <c r="CQ26" s="108">
        <f t="shared" si="78"/>
        <v>0</v>
      </c>
      <c r="CR26" s="108">
        <f t="shared" si="79"/>
        <v>0</v>
      </c>
      <c r="CS26" s="109">
        <f t="shared" si="80"/>
        <v>99.999999999999986</v>
      </c>
      <c r="CT26" s="110">
        <f t="shared" si="24"/>
        <v>29.887368300798219</v>
      </c>
      <c r="CU26" s="110">
        <f t="shared" si="25"/>
        <v>0</v>
      </c>
      <c r="CV26" s="110">
        <f t="shared" si="26"/>
        <v>16.905993344799509</v>
      </c>
      <c r="CW26" s="110">
        <f t="shared" si="27"/>
        <v>0</v>
      </c>
      <c r="CX26" s="110">
        <f t="shared" si="81"/>
        <v>0</v>
      </c>
      <c r="CY26" s="110">
        <f t="shared" si="82"/>
        <v>17.868561697064518</v>
      </c>
      <c r="CZ26" s="110">
        <f t="shared" si="83"/>
        <v>0</v>
      </c>
      <c r="DA26" s="110">
        <f t="shared" si="84"/>
        <v>23.389768288329456</v>
      </c>
      <c r="DB26" s="110">
        <f t="shared" si="85"/>
        <v>0</v>
      </c>
      <c r="DC26" s="110">
        <f t="shared" si="86"/>
        <v>0</v>
      </c>
      <c r="DD26" s="110">
        <f t="shared" si="87"/>
        <v>0</v>
      </c>
      <c r="DE26" s="110">
        <f t="shared" si="88"/>
        <v>0</v>
      </c>
      <c r="DF26" s="110">
        <f t="shared" si="89"/>
        <v>11.9483083690083</v>
      </c>
      <c r="DG26" s="110">
        <f t="shared" si="90"/>
        <v>0</v>
      </c>
      <c r="DH26" s="110">
        <f t="shared" si="91"/>
        <v>0</v>
      </c>
      <c r="DI26" s="110">
        <f t="shared" si="91"/>
        <v>0</v>
      </c>
      <c r="DJ26" s="110">
        <f t="shared" si="92"/>
        <v>0</v>
      </c>
      <c r="DK26" s="110">
        <f t="shared" si="93"/>
        <v>0</v>
      </c>
      <c r="DL26" s="111">
        <f t="shared" si="94"/>
        <v>100.00000000000001</v>
      </c>
    </row>
    <row r="27" spans="1:116" s="8" customFormat="1" ht="17" thickBot="1">
      <c r="A27" s="246" t="s">
        <v>51</v>
      </c>
      <c r="B27" s="247">
        <v>0</v>
      </c>
      <c r="C27" s="292">
        <v>2.64</v>
      </c>
      <c r="D27" s="297">
        <v>0</v>
      </c>
      <c r="E27" s="248">
        <v>0</v>
      </c>
      <c r="F27" s="249">
        <v>0.03</v>
      </c>
      <c r="G27" s="218" t="s">
        <v>14</v>
      </c>
      <c r="H27" s="119">
        <f t="shared" si="29"/>
        <v>0</v>
      </c>
      <c r="I27" s="20">
        <f t="shared" si="7"/>
        <v>0</v>
      </c>
      <c r="J27" s="137">
        <f t="shared" si="30"/>
        <v>0</v>
      </c>
      <c r="K27" s="22">
        <f t="shared" si="8"/>
        <v>0</v>
      </c>
      <c r="L27" s="77">
        <f t="shared" si="31"/>
        <v>0</v>
      </c>
      <c r="M27" s="88">
        <f t="shared" si="32"/>
        <v>0</v>
      </c>
      <c r="N27" s="88">
        <f t="shared" si="9"/>
        <v>0</v>
      </c>
      <c r="O27" s="88">
        <f t="shared" si="33"/>
        <v>0</v>
      </c>
      <c r="P27" s="263">
        <f t="shared" si="34"/>
        <v>0</v>
      </c>
      <c r="Q27" s="272">
        <f t="shared" si="10"/>
        <v>0</v>
      </c>
      <c r="R27" s="94">
        <f t="shared" si="11"/>
        <v>233.52002272727273</v>
      </c>
      <c r="S27" s="95">
        <f t="shared" si="35"/>
        <v>4.282288038177766E-3</v>
      </c>
      <c r="T27" s="94">
        <f t="shared" si="12"/>
        <v>616.49286000000006</v>
      </c>
      <c r="U27" s="123">
        <f t="shared" si="13"/>
        <v>0</v>
      </c>
      <c r="V27" s="131">
        <v>5</v>
      </c>
      <c r="W27" s="127">
        <v>0</v>
      </c>
      <c r="X27" s="127">
        <v>4</v>
      </c>
      <c r="Y27" s="127">
        <v>0</v>
      </c>
      <c r="Z27" s="127">
        <v>0</v>
      </c>
      <c r="AA27" s="127">
        <v>1</v>
      </c>
      <c r="AB27" s="127">
        <v>0</v>
      </c>
      <c r="AC27" s="127">
        <v>1</v>
      </c>
      <c r="AD27" s="127">
        <v>0</v>
      </c>
      <c r="AE27" s="127">
        <v>0</v>
      </c>
      <c r="AF27" s="127">
        <v>0</v>
      </c>
      <c r="AG27" s="127">
        <v>18</v>
      </c>
      <c r="AH27" s="127">
        <v>0</v>
      </c>
      <c r="AI27" s="127">
        <v>0</v>
      </c>
      <c r="AJ27" s="127">
        <v>0</v>
      </c>
      <c r="AK27" s="127">
        <v>0</v>
      </c>
      <c r="AL27" s="127">
        <v>0</v>
      </c>
      <c r="AM27" s="132">
        <v>0</v>
      </c>
      <c r="AN27" s="124">
        <f t="shared" si="14"/>
        <v>29</v>
      </c>
      <c r="AO27" s="148">
        <f t="shared" si="36"/>
        <v>4</v>
      </c>
      <c r="AP27" s="162">
        <f t="shared" si="15"/>
        <v>17.241379310344829</v>
      </c>
      <c r="AQ27" s="83">
        <f t="shared" si="16"/>
        <v>0</v>
      </c>
      <c r="AR27" s="83">
        <f t="shared" si="17"/>
        <v>13.793103448275861</v>
      </c>
      <c r="AS27" s="83">
        <f t="shared" si="18"/>
        <v>0</v>
      </c>
      <c r="AT27" s="83">
        <f t="shared" si="37"/>
        <v>0</v>
      </c>
      <c r="AU27" s="83">
        <f t="shared" si="38"/>
        <v>3.4482758620689653</v>
      </c>
      <c r="AV27" s="83">
        <f t="shared" si="39"/>
        <v>0</v>
      </c>
      <c r="AW27" s="83">
        <f t="shared" si="40"/>
        <v>3.4482758620689653</v>
      </c>
      <c r="AX27" s="83">
        <f t="shared" si="41"/>
        <v>0</v>
      </c>
      <c r="AY27" s="83">
        <f t="shared" si="42"/>
        <v>0</v>
      </c>
      <c r="AZ27" s="83">
        <f t="shared" si="43"/>
        <v>0</v>
      </c>
      <c r="BA27" s="83">
        <f t="shared" si="44"/>
        <v>62.068965517241381</v>
      </c>
      <c r="BB27" s="83">
        <f t="shared" si="45"/>
        <v>0</v>
      </c>
      <c r="BC27" s="83">
        <f t="shared" si="46"/>
        <v>0</v>
      </c>
      <c r="BD27" s="83">
        <f t="shared" si="47"/>
        <v>0</v>
      </c>
      <c r="BE27" s="83">
        <f t="shared" si="47"/>
        <v>0</v>
      </c>
      <c r="BF27" s="83">
        <f t="shared" si="48"/>
        <v>0</v>
      </c>
      <c r="BG27" s="83">
        <f t="shared" si="20"/>
        <v>0</v>
      </c>
      <c r="BH27" s="175">
        <f t="shared" si="49"/>
        <v>100</v>
      </c>
      <c r="BI27" s="212">
        <f t="shared" si="50"/>
        <v>55.555555555555557</v>
      </c>
      <c r="BJ27" s="85">
        <f t="shared" si="51"/>
        <v>0</v>
      </c>
      <c r="BK27" s="85">
        <f t="shared" si="52"/>
        <v>22.222222222222221</v>
      </c>
      <c r="BL27" s="85">
        <f t="shared" si="53"/>
        <v>0</v>
      </c>
      <c r="BM27" s="85">
        <f t="shared" si="54"/>
        <v>0</v>
      </c>
      <c r="BN27" s="85">
        <f t="shared" si="55"/>
        <v>11.111111111111111</v>
      </c>
      <c r="BO27" s="85">
        <f t="shared" si="56"/>
        <v>0</v>
      </c>
      <c r="BP27" s="85">
        <f t="shared" si="57"/>
        <v>11.111111111111111</v>
      </c>
      <c r="BQ27" s="85">
        <f t="shared" si="58"/>
        <v>0</v>
      </c>
      <c r="BR27" s="85">
        <f t="shared" si="59"/>
        <v>0</v>
      </c>
      <c r="BS27" s="85">
        <f t="shared" si="60"/>
        <v>0</v>
      </c>
      <c r="BT27" s="216">
        <f t="shared" si="61"/>
        <v>0</v>
      </c>
      <c r="BU27" s="216">
        <f t="shared" si="22"/>
        <v>0</v>
      </c>
      <c r="BV27" s="216">
        <f t="shared" si="22"/>
        <v>0</v>
      </c>
      <c r="BW27" s="216">
        <f t="shared" si="22"/>
        <v>0</v>
      </c>
      <c r="BX27" s="216">
        <f t="shared" si="22"/>
        <v>0</v>
      </c>
      <c r="BY27" s="213">
        <f t="shared" si="22"/>
        <v>0</v>
      </c>
      <c r="BZ27" s="193">
        <f t="shared" si="62"/>
        <v>100</v>
      </c>
      <c r="CA27" s="201">
        <f t="shared" si="63"/>
        <v>22.778447101560918</v>
      </c>
      <c r="CB27" s="108">
        <f t="shared" si="64"/>
        <v>0</v>
      </c>
      <c r="CC27" s="108">
        <f t="shared" si="65"/>
        <v>17.506473635396198</v>
      </c>
      <c r="CD27" s="108">
        <f t="shared" si="66"/>
        <v>0</v>
      </c>
      <c r="CE27" s="108">
        <f t="shared" si="67"/>
        <v>0</v>
      </c>
      <c r="CF27" s="108">
        <f t="shared" si="68"/>
        <v>9.0584990716680789</v>
      </c>
      <c r="CG27" s="108">
        <f t="shared" si="69"/>
        <v>0</v>
      </c>
      <c r="CH27" s="108">
        <f t="shared" si="70"/>
        <v>3.9424625290875226</v>
      </c>
      <c r="CI27" s="108">
        <f t="shared" si="71"/>
        <v>0</v>
      </c>
      <c r="CJ27" s="108">
        <f t="shared" si="72"/>
        <v>0</v>
      </c>
      <c r="CK27" s="108">
        <f t="shared" si="73"/>
        <v>0</v>
      </c>
      <c r="CL27" s="108">
        <f t="shared" si="74"/>
        <v>46.714117662287272</v>
      </c>
      <c r="CM27" s="108">
        <f t="shared" si="75"/>
        <v>0</v>
      </c>
      <c r="CN27" s="108">
        <f t="shared" si="76"/>
        <v>0</v>
      </c>
      <c r="CO27" s="108">
        <f t="shared" si="77"/>
        <v>0</v>
      </c>
      <c r="CP27" s="108">
        <f t="shared" si="77"/>
        <v>0</v>
      </c>
      <c r="CQ27" s="108">
        <f t="shared" si="78"/>
        <v>0</v>
      </c>
      <c r="CR27" s="108">
        <f t="shared" si="79"/>
        <v>0</v>
      </c>
      <c r="CS27" s="109">
        <f t="shared" si="80"/>
        <v>100</v>
      </c>
      <c r="CT27" s="110">
        <f t="shared" si="24"/>
        <v>48.730734691720521</v>
      </c>
      <c r="CU27" s="110">
        <f t="shared" si="25"/>
        <v>0</v>
      </c>
      <c r="CV27" s="110">
        <f t="shared" si="26"/>
        <v>33.077846189491957</v>
      </c>
      <c r="CW27" s="110">
        <f t="shared" si="27"/>
        <v>0</v>
      </c>
      <c r="CX27" s="110">
        <f t="shared" si="81"/>
        <v>0</v>
      </c>
      <c r="CY27" s="110">
        <f t="shared" si="82"/>
        <v>11.653727830684041</v>
      </c>
      <c r="CZ27" s="110">
        <f t="shared" si="83"/>
        <v>0</v>
      </c>
      <c r="DA27" s="110">
        <f t="shared" si="84"/>
        <v>6.5376912881034839</v>
      </c>
      <c r="DB27" s="110">
        <f t="shared" si="85"/>
        <v>0</v>
      </c>
      <c r="DC27" s="110">
        <f t="shared" si="86"/>
        <v>0</v>
      </c>
      <c r="DD27" s="110">
        <f t="shared" si="87"/>
        <v>0</v>
      </c>
      <c r="DE27" s="110">
        <f t="shared" si="88"/>
        <v>0</v>
      </c>
      <c r="DF27" s="110">
        <f t="shared" si="89"/>
        <v>0</v>
      </c>
      <c r="DG27" s="110">
        <f t="shared" si="90"/>
        <v>0</v>
      </c>
      <c r="DH27" s="110">
        <f t="shared" si="91"/>
        <v>0</v>
      </c>
      <c r="DI27" s="110">
        <f t="shared" si="91"/>
        <v>0</v>
      </c>
      <c r="DJ27" s="110">
        <f t="shared" si="92"/>
        <v>0</v>
      </c>
      <c r="DK27" s="110">
        <f t="shared" si="93"/>
        <v>0</v>
      </c>
      <c r="DL27" s="111">
        <f t="shared" si="94"/>
        <v>100.00000000000001</v>
      </c>
    </row>
    <row r="28" spans="1:116" s="8" customFormat="1" ht="17" thickBot="1">
      <c r="A28" s="246" t="s">
        <v>50</v>
      </c>
      <c r="B28" s="247">
        <v>0</v>
      </c>
      <c r="C28" s="292">
        <v>3.15</v>
      </c>
      <c r="D28" s="297">
        <v>0</v>
      </c>
      <c r="E28" s="248">
        <v>0</v>
      </c>
      <c r="F28" s="249">
        <v>0.03</v>
      </c>
      <c r="G28" s="218" t="s">
        <v>14</v>
      </c>
      <c r="H28" s="119">
        <f t="shared" si="29"/>
        <v>0</v>
      </c>
      <c r="I28" s="20">
        <f t="shared" si="7"/>
        <v>0</v>
      </c>
      <c r="J28" s="137">
        <f t="shared" si="30"/>
        <v>0</v>
      </c>
      <c r="K28" s="22">
        <f t="shared" si="8"/>
        <v>0</v>
      </c>
      <c r="L28" s="77">
        <f t="shared" si="31"/>
        <v>0</v>
      </c>
      <c r="M28" s="88">
        <f t="shared" si="32"/>
        <v>0</v>
      </c>
      <c r="N28" s="88">
        <f t="shared" si="9"/>
        <v>0</v>
      </c>
      <c r="O28" s="88">
        <f t="shared" si="33"/>
        <v>0</v>
      </c>
      <c r="P28" s="263">
        <f t="shared" si="34"/>
        <v>0</v>
      </c>
      <c r="Q28" s="272">
        <f t="shared" si="10"/>
        <v>0</v>
      </c>
      <c r="R28" s="94">
        <f t="shared" si="11"/>
        <v>51.443041269841274</v>
      </c>
      <c r="S28" s="95">
        <f t="shared" si="35"/>
        <v>1.9438975132799054E-2</v>
      </c>
      <c r="T28" s="94">
        <f t="shared" si="12"/>
        <v>162.04558</v>
      </c>
      <c r="U28" s="123">
        <f t="shared" si="13"/>
        <v>0</v>
      </c>
      <c r="V28" s="131">
        <v>1</v>
      </c>
      <c r="W28" s="127">
        <v>0</v>
      </c>
      <c r="X28" s="127">
        <v>2</v>
      </c>
      <c r="Y28" s="127">
        <v>0</v>
      </c>
      <c r="Z28" s="127">
        <v>0</v>
      </c>
      <c r="AA28" s="127">
        <v>0</v>
      </c>
      <c r="AB28" s="127">
        <v>0</v>
      </c>
      <c r="AC28" s="127">
        <v>0</v>
      </c>
      <c r="AD28" s="127">
        <v>0</v>
      </c>
      <c r="AE28" s="127">
        <v>0</v>
      </c>
      <c r="AF28" s="127">
        <v>0</v>
      </c>
      <c r="AG28" s="127">
        <v>5</v>
      </c>
      <c r="AH28" s="127">
        <v>0</v>
      </c>
      <c r="AI28" s="127">
        <v>0</v>
      </c>
      <c r="AJ28" s="127">
        <v>0</v>
      </c>
      <c r="AK28" s="127">
        <v>0</v>
      </c>
      <c r="AL28" s="127">
        <v>0</v>
      </c>
      <c r="AM28" s="132">
        <v>0</v>
      </c>
      <c r="AN28" s="124">
        <f t="shared" si="14"/>
        <v>8</v>
      </c>
      <c r="AO28" s="148">
        <f t="shared" si="36"/>
        <v>2</v>
      </c>
      <c r="AP28" s="162">
        <f t="shared" si="15"/>
        <v>12.5</v>
      </c>
      <c r="AQ28" s="83">
        <f t="shared" si="16"/>
        <v>0</v>
      </c>
      <c r="AR28" s="83">
        <f t="shared" si="17"/>
        <v>25</v>
      </c>
      <c r="AS28" s="83">
        <f t="shared" si="18"/>
        <v>0</v>
      </c>
      <c r="AT28" s="83">
        <f t="shared" si="37"/>
        <v>0</v>
      </c>
      <c r="AU28" s="83">
        <f t="shared" si="38"/>
        <v>0</v>
      </c>
      <c r="AV28" s="83">
        <f t="shared" si="39"/>
        <v>0</v>
      </c>
      <c r="AW28" s="83">
        <f t="shared" si="40"/>
        <v>0</v>
      </c>
      <c r="AX28" s="83">
        <f t="shared" si="41"/>
        <v>0</v>
      </c>
      <c r="AY28" s="83">
        <f t="shared" si="42"/>
        <v>0</v>
      </c>
      <c r="AZ28" s="83">
        <f t="shared" si="43"/>
        <v>0</v>
      </c>
      <c r="BA28" s="83">
        <f t="shared" si="44"/>
        <v>62.5</v>
      </c>
      <c r="BB28" s="83">
        <f t="shared" si="45"/>
        <v>0</v>
      </c>
      <c r="BC28" s="83">
        <f t="shared" si="46"/>
        <v>0</v>
      </c>
      <c r="BD28" s="83">
        <f t="shared" si="47"/>
        <v>0</v>
      </c>
      <c r="BE28" s="83">
        <f t="shared" si="47"/>
        <v>0</v>
      </c>
      <c r="BF28" s="83">
        <f t="shared" si="48"/>
        <v>0</v>
      </c>
      <c r="BG28" s="83">
        <f t="shared" si="20"/>
        <v>0</v>
      </c>
      <c r="BH28" s="175">
        <f t="shared" si="49"/>
        <v>100</v>
      </c>
      <c r="BI28" s="212">
        <f t="shared" si="50"/>
        <v>50</v>
      </c>
      <c r="BJ28" s="85">
        <f t="shared" si="51"/>
        <v>0</v>
      </c>
      <c r="BK28" s="85">
        <f t="shared" si="52"/>
        <v>50</v>
      </c>
      <c r="BL28" s="85">
        <f t="shared" si="53"/>
        <v>0</v>
      </c>
      <c r="BM28" s="85">
        <f t="shared" si="54"/>
        <v>0</v>
      </c>
      <c r="BN28" s="85">
        <f t="shared" si="55"/>
        <v>0</v>
      </c>
      <c r="BO28" s="85">
        <f t="shared" si="56"/>
        <v>0</v>
      </c>
      <c r="BP28" s="85">
        <f t="shared" si="57"/>
        <v>0</v>
      </c>
      <c r="BQ28" s="85">
        <f t="shared" si="58"/>
        <v>0</v>
      </c>
      <c r="BR28" s="85">
        <f t="shared" si="59"/>
        <v>0</v>
      </c>
      <c r="BS28" s="85">
        <f t="shared" si="60"/>
        <v>0</v>
      </c>
      <c r="BT28" s="216">
        <f t="shared" si="61"/>
        <v>0</v>
      </c>
      <c r="BU28" s="216">
        <f t="shared" si="22"/>
        <v>0</v>
      </c>
      <c r="BV28" s="216">
        <f t="shared" si="22"/>
        <v>0</v>
      </c>
      <c r="BW28" s="216">
        <f t="shared" si="22"/>
        <v>0</v>
      </c>
      <c r="BX28" s="216">
        <f t="shared" si="22"/>
        <v>0</v>
      </c>
      <c r="BY28" s="213">
        <f t="shared" si="22"/>
        <v>0</v>
      </c>
      <c r="BZ28" s="193">
        <f t="shared" si="62"/>
        <v>100</v>
      </c>
      <c r="CA28" s="201">
        <f t="shared" si="63"/>
        <v>17.331851939435804</v>
      </c>
      <c r="CB28" s="108">
        <f t="shared" si="64"/>
        <v>0</v>
      </c>
      <c r="CC28" s="108">
        <f t="shared" si="65"/>
        <v>33.301173657436387</v>
      </c>
      <c r="CD28" s="108">
        <f t="shared" si="66"/>
        <v>0</v>
      </c>
      <c r="CE28" s="108">
        <f t="shared" si="67"/>
        <v>0</v>
      </c>
      <c r="CF28" s="108">
        <f t="shared" si="68"/>
        <v>0</v>
      </c>
      <c r="CG28" s="108">
        <f t="shared" si="69"/>
        <v>0</v>
      </c>
      <c r="CH28" s="108">
        <f t="shared" si="70"/>
        <v>0</v>
      </c>
      <c r="CI28" s="108">
        <f t="shared" si="71"/>
        <v>0</v>
      </c>
      <c r="CJ28" s="108">
        <f t="shared" si="72"/>
        <v>0</v>
      </c>
      <c r="CK28" s="108">
        <f t="shared" si="73"/>
        <v>0</v>
      </c>
      <c r="CL28" s="108">
        <f t="shared" si="74"/>
        <v>49.366974403127813</v>
      </c>
      <c r="CM28" s="108">
        <f t="shared" si="75"/>
        <v>0</v>
      </c>
      <c r="CN28" s="108">
        <f t="shared" si="76"/>
        <v>0</v>
      </c>
      <c r="CO28" s="108">
        <f t="shared" si="77"/>
        <v>0</v>
      </c>
      <c r="CP28" s="108">
        <f t="shared" si="77"/>
        <v>0</v>
      </c>
      <c r="CQ28" s="108">
        <f t="shared" si="78"/>
        <v>0</v>
      </c>
      <c r="CR28" s="108">
        <f t="shared" si="79"/>
        <v>0</v>
      </c>
      <c r="CS28" s="109">
        <f t="shared" si="80"/>
        <v>100</v>
      </c>
      <c r="CT28" s="110">
        <f t="shared" si="24"/>
        <v>37.07864170068693</v>
      </c>
      <c r="CU28" s="110">
        <f t="shared" si="25"/>
        <v>0</v>
      </c>
      <c r="CV28" s="110">
        <f t="shared" si="26"/>
        <v>62.92135829931307</v>
      </c>
      <c r="CW28" s="110">
        <f t="shared" si="27"/>
        <v>0</v>
      </c>
      <c r="CX28" s="110">
        <f t="shared" si="81"/>
        <v>0</v>
      </c>
      <c r="CY28" s="110">
        <f t="shared" si="82"/>
        <v>0</v>
      </c>
      <c r="CZ28" s="110">
        <f t="shared" si="83"/>
        <v>0</v>
      </c>
      <c r="DA28" s="110">
        <f t="shared" si="84"/>
        <v>0</v>
      </c>
      <c r="DB28" s="110">
        <f t="shared" si="85"/>
        <v>0</v>
      </c>
      <c r="DC28" s="110">
        <f t="shared" si="86"/>
        <v>0</v>
      </c>
      <c r="DD28" s="110">
        <f t="shared" si="87"/>
        <v>0</v>
      </c>
      <c r="DE28" s="110">
        <f t="shared" si="88"/>
        <v>0</v>
      </c>
      <c r="DF28" s="110">
        <f t="shared" si="89"/>
        <v>0</v>
      </c>
      <c r="DG28" s="110">
        <f t="shared" si="90"/>
        <v>0</v>
      </c>
      <c r="DH28" s="110">
        <f t="shared" si="91"/>
        <v>0</v>
      </c>
      <c r="DI28" s="110">
        <f t="shared" si="91"/>
        <v>0</v>
      </c>
      <c r="DJ28" s="110">
        <f t="shared" si="92"/>
        <v>0</v>
      </c>
      <c r="DK28" s="110">
        <f t="shared" si="93"/>
        <v>0</v>
      </c>
      <c r="DL28" s="111">
        <f t="shared" si="94"/>
        <v>100</v>
      </c>
    </row>
    <row r="29" spans="1:116" s="8" customFormat="1" ht="17" thickBot="1">
      <c r="A29" s="246" t="s">
        <v>78</v>
      </c>
      <c r="B29" s="247">
        <v>0</v>
      </c>
      <c r="C29" s="292">
        <v>4.0599999999999996</v>
      </c>
      <c r="D29" s="297">
        <v>0</v>
      </c>
      <c r="E29" s="248">
        <v>0</v>
      </c>
      <c r="F29" s="249">
        <v>0.03</v>
      </c>
      <c r="G29" s="218" t="s">
        <v>14</v>
      </c>
      <c r="H29" s="119">
        <f t="shared" si="29"/>
        <v>0</v>
      </c>
      <c r="I29" s="20">
        <f t="shared" si="7"/>
        <v>0</v>
      </c>
      <c r="J29" s="137">
        <f t="shared" si="30"/>
        <v>0</v>
      </c>
      <c r="K29" s="22">
        <f t="shared" si="8"/>
        <v>0</v>
      </c>
      <c r="L29" s="77">
        <f t="shared" si="31"/>
        <v>0</v>
      </c>
      <c r="M29" s="88">
        <f t="shared" si="32"/>
        <v>0</v>
      </c>
      <c r="N29" s="88">
        <f t="shared" si="9"/>
        <v>0</v>
      </c>
      <c r="O29" s="88">
        <f t="shared" si="33"/>
        <v>0</v>
      </c>
      <c r="P29" s="263">
        <f t="shared" si="34"/>
        <v>0</v>
      </c>
      <c r="Q29" s="272">
        <f t="shared" si="10"/>
        <v>0</v>
      </c>
      <c r="R29" s="94">
        <f t="shared" si="11"/>
        <v>114.82940394088671</v>
      </c>
      <c r="S29" s="95">
        <f t="shared" si="35"/>
        <v>8.7085708510234224E-3</v>
      </c>
      <c r="T29" s="94">
        <f t="shared" si="12"/>
        <v>466.20738</v>
      </c>
      <c r="U29" s="123">
        <f t="shared" si="13"/>
        <v>0</v>
      </c>
      <c r="V29" s="131">
        <v>3</v>
      </c>
      <c r="W29" s="127">
        <v>0</v>
      </c>
      <c r="X29" s="127">
        <v>2</v>
      </c>
      <c r="Y29" s="127">
        <v>0</v>
      </c>
      <c r="Z29" s="127">
        <v>0</v>
      </c>
      <c r="AA29" s="127">
        <v>2</v>
      </c>
      <c r="AB29" s="127">
        <v>0</v>
      </c>
      <c r="AC29" s="127">
        <v>1</v>
      </c>
      <c r="AD29" s="127">
        <v>0</v>
      </c>
      <c r="AE29" s="127">
        <v>0</v>
      </c>
      <c r="AF29" s="127">
        <v>0</v>
      </c>
      <c r="AG29" s="127">
        <v>12</v>
      </c>
      <c r="AH29" s="127">
        <v>0</v>
      </c>
      <c r="AI29" s="127">
        <v>0</v>
      </c>
      <c r="AJ29" s="127">
        <v>0</v>
      </c>
      <c r="AK29" s="127">
        <v>0</v>
      </c>
      <c r="AL29" s="127">
        <v>0</v>
      </c>
      <c r="AM29" s="132">
        <v>0</v>
      </c>
      <c r="AN29" s="124">
        <f t="shared" si="14"/>
        <v>20</v>
      </c>
      <c r="AO29" s="148">
        <f t="shared" si="36"/>
        <v>2</v>
      </c>
      <c r="AP29" s="162">
        <f t="shared" si="15"/>
        <v>15</v>
      </c>
      <c r="AQ29" s="83">
        <f t="shared" si="16"/>
        <v>0</v>
      </c>
      <c r="AR29" s="83">
        <f t="shared" si="17"/>
        <v>10</v>
      </c>
      <c r="AS29" s="83">
        <f t="shared" si="18"/>
        <v>0</v>
      </c>
      <c r="AT29" s="83">
        <f t="shared" si="37"/>
        <v>0</v>
      </c>
      <c r="AU29" s="83">
        <f t="shared" si="38"/>
        <v>10</v>
      </c>
      <c r="AV29" s="83">
        <f t="shared" si="39"/>
        <v>0</v>
      </c>
      <c r="AW29" s="83">
        <f t="shared" si="40"/>
        <v>5</v>
      </c>
      <c r="AX29" s="83">
        <f t="shared" si="41"/>
        <v>0</v>
      </c>
      <c r="AY29" s="83">
        <f t="shared" si="42"/>
        <v>0</v>
      </c>
      <c r="AZ29" s="83">
        <f t="shared" si="43"/>
        <v>0</v>
      </c>
      <c r="BA29" s="83">
        <f t="shared" si="44"/>
        <v>60</v>
      </c>
      <c r="BB29" s="83">
        <f t="shared" si="45"/>
        <v>0</v>
      </c>
      <c r="BC29" s="83">
        <f t="shared" si="46"/>
        <v>0</v>
      </c>
      <c r="BD29" s="83">
        <f t="shared" si="47"/>
        <v>0</v>
      </c>
      <c r="BE29" s="83">
        <f t="shared" si="47"/>
        <v>0</v>
      </c>
      <c r="BF29" s="83">
        <f t="shared" si="48"/>
        <v>0</v>
      </c>
      <c r="BG29" s="83">
        <f t="shared" si="20"/>
        <v>0</v>
      </c>
      <c r="BH29" s="175">
        <f t="shared" si="49"/>
        <v>100</v>
      </c>
      <c r="BI29" s="212">
        <f t="shared" si="50"/>
        <v>42.857142857142854</v>
      </c>
      <c r="BJ29" s="85">
        <f t="shared" si="51"/>
        <v>0</v>
      </c>
      <c r="BK29" s="85">
        <f t="shared" si="52"/>
        <v>14.285714285714285</v>
      </c>
      <c r="BL29" s="85">
        <f t="shared" si="53"/>
        <v>0</v>
      </c>
      <c r="BM29" s="85">
        <f t="shared" si="54"/>
        <v>0</v>
      </c>
      <c r="BN29" s="85">
        <f t="shared" si="55"/>
        <v>28.571428571428569</v>
      </c>
      <c r="BO29" s="85">
        <f t="shared" si="56"/>
        <v>0</v>
      </c>
      <c r="BP29" s="85">
        <f t="shared" si="57"/>
        <v>14.285714285714285</v>
      </c>
      <c r="BQ29" s="85">
        <f t="shared" si="58"/>
        <v>0</v>
      </c>
      <c r="BR29" s="85">
        <f t="shared" si="59"/>
        <v>0</v>
      </c>
      <c r="BS29" s="85">
        <f t="shared" si="60"/>
        <v>0</v>
      </c>
      <c r="BT29" s="216">
        <f t="shared" si="61"/>
        <v>0</v>
      </c>
      <c r="BU29" s="216">
        <f t="shared" si="22"/>
        <v>0</v>
      </c>
      <c r="BV29" s="216">
        <f t="shared" si="22"/>
        <v>0</v>
      </c>
      <c r="BW29" s="216">
        <f t="shared" si="22"/>
        <v>0</v>
      </c>
      <c r="BX29" s="216">
        <f t="shared" si="22"/>
        <v>0</v>
      </c>
      <c r="BY29" s="213">
        <f t="shared" si="22"/>
        <v>0</v>
      </c>
      <c r="BZ29" s="193">
        <f t="shared" si="62"/>
        <v>100</v>
      </c>
      <c r="CA29" s="201">
        <f t="shared" si="63"/>
        <v>18.072751229291995</v>
      </c>
      <c r="CB29" s="108">
        <f t="shared" si="64"/>
        <v>0</v>
      </c>
      <c r="CC29" s="108">
        <f t="shared" si="65"/>
        <v>11.574909002941995</v>
      </c>
      <c r="CD29" s="108">
        <f t="shared" si="66"/>
        <v>0</v>
      </c>
      <c r="CE29" s="108">
        <f t="shared" si="67"/>
        <v>0</v>
      </c>
      <c r="CF29" s="108">
        <f t="shared" si="68"/>
        <v>23.957149713074038</v>
      </c>
      <c r="CG29" s="108">
        <f t="shared" si="69"/>
        <v>0</v>
      </c>
      <c r="CH29" s="108">
        <f t="shared" si="70"/>
        <v>5.2133451855695636</v>
      </c>
      <c r="CI29" s="108">
        <f t="shared" si="71"/>
        <v>0</v>
      </c>
      <c r="CJ29" s="108">
        <f t="shared" si="72"/>
        <v>0</v>
      </c>
      <c r="CK29" s="108">
        <f t="shared" si="73"/>
        <v>0</v>
      </c>
      <c r="CL29" s="108">
        <f t="shared" si="74"/>
        <v>41.181844869122401</v>
      </c>
      <c r="CM29" s="108">
        <f t="shared" si="75"/>
        <v>0</v>
      </c>
      <c r="CN29" s="108">
        <f t="shared" si="76"/>
        <v>0</v>
      </c>
      <c r="CO29" s="108">
        <f t="shared" si="77"/>
        <v>0</v>
      </c>
      <c r="CP29" s="108">
        <f t="shared" si="77"/>
        <v>0</v>
      </c>
      <c r="CQ29" s="108">
        <f t="shared" si="78"/>
        <v>0</v>
      </c>
      <c r="CR29" s="108">
        <f t="shared" si="79"/>
        <v>0</v>
      </c>
      <c r="CS29" s="109">
        <f t="shared" si="80"/>
        <v>100</v>
      </c>
      <c r="CT29" s="110">
        <f t="shared" si="24"/>
        <v>38.663673663853203</v>
      </c>
      <c r="CU29" s="110">
        <f t="shared" si="25"/>
        <v>0</v>
      </c>
      <c r="CV29" s="110">
        <f t="shared" si="26"/>
        <v>21.8703702202226</v>
      </c>
      <c r="CW29" s="110">
        <f t="shared" si="27"/>
        <v>0</v>
      </c>
      <c r="CX29" s="110">
        <f t="shared" si="81"/>
        <v>0</v>
      </c>
      <c r="CY29" s="110">
        <f t="shared" si="82"/>
        <v>30.820790524594443</v>
      </c>
      <c r="CZ29" s="110">
        <f t="shared" si="83"/>
        <v>0</v>
      </c>
      <c r="DA29" s="110">
        <f t="shared" si="84"/>
        <v>8.6451655913297643</v>
      </c>
      <c r="DB29" s="110">
        <f t="shared" si="85"/>
        <v>0</v>
      </c>
      <c r="DC29" s="110">
        <f t="shared" si="86"/>
        <v>0</v>
      </c>
      <c r="DD29" s="110">
        <f t="shared" si="87"/>
        <v>0</v>
      </c>
      <c r="DE29" s="110">
        <f t="shared" si="88"/>
        <v>0</v>
      </c>
      <c r="DF29" s="110">
        <f t="shared" si="89"/>
        <v>0</v>
      </c>
      <c r="DG29" s="110">
        <f t="shared" si="90"/>
        <v>0</v>
      </c>
      <c r="DH29" s="110">
        <f t="shared" si="91"/>
        <v>0</v>
      </c>
      <c r="DI29" s="110">
        <f t="shared" si="91"/>
        <v>0</v>
      </c>
      <c r="DJ29" s="110">
        <f t="shared" si="92"/>
        <v>0</v>
      </c>
      <c r="DK29" s="110">
        <f t="shared" si="93"/>
        <v>0</v>
      </c>
      <c r="DL29" s="111">
        <f t="shared" si="94"/>
        <v>100</v>
      </c>
    </row>
    <row r="30" spans="1:116" s="8" customFormat="1" ht="17" thickBot="1">
      <c r="A30" s="246" t="s">
        <v>89</v>
      </c>
      <c r="B30" s="247">
        <v>0.06</v>
      </c>
      <c r="C30" s="292">
        <v>4.79</v>
      </c>
      <c r="D30" s="248">
        <v>0.05</v>
      </c>
      <c r="E30" s="248">
        <v>0.05</v>
      </c>
      <c r="F30" s="248">
        <v>0.05</v>
      </c>
      <c r="G30" s="218" t="s">
        <v>14</v>
      </c>
      <c r="H30" s="119">
        <f t="shared" si="29"/>
        <v>0.10674202936208045</v>
      </c>
      <c r="I30" s="20">
        <f t="shared" si="7"/>
        <v>0.10102996195721098</v>
      </c>
      <c r="J30" s="137">
        <f t="shared" si="30"/>
        <v>1.2500000000000003E-4</v>
      </c>
      <c r="K30" s="22">
        <f t="shared" si="8"/>
        <v>5.9875000000000011E-4</v>
      </c>
      <c r="L30" s="77">
        <f t="shared" si="31"/>
        <v>0.66713768351300284</v>
      </c>
      <c r="M30" s="88">
        <f>IF(K30&gt;0,L30/K30,0)</f>
        <v>1114.2174254914451</v>
      </c>
      <c r="N30" s="88">
        <f t="shared" si="9"/>
        <v>1857029.0424857419</v>
      </c>
      <c r="O30" s="88">
        <f t="shared" si="33"/>
        <v>33.353190952893165</v>
      </c>
      <c r="P30" s="263">
        <f t="shared" si="34"/>
        <v>2.9934185366183947</v>
      </c>
      <c r="Q30" s="272">
        <f t="shared" si="10"/>
        <v>3.1952356932871658E-3</v>
      </c>
      <c r="R30" s="94">
        <f t="shared" si="11"/>
        <v>31.622369926931103</v>
      </c>
      <c r="S30" s="95">
        <f t="shared" si="35"/>
        <v>3.162318328166646E-2</v>
      </c>
      <c r="T30" s="94">
        <f t="shared" si="12"/>
        <v>151.47115194999998</v>
      </c>
      <c r="U30" s="123">
        <f t="shared" si="13"/>
        <v>-2.0000000000006679E-3</v>
      </c>
      <c r="V30" s="131">
        <v>2E-3</v>
      </c>
      <c r="W30" s="127">
        <v>0.95799999999999996</v>
      </c>
      <c r="X30" s="127">
        <v>0</v>
      </c>
      <c r="Y30" s="127">
        <v>0</v>
      </c>
      <c r="Z30" s="127">
        <v>0.08</v>
      </c>
      <c r="AA30" s="127">
        <v>0.63</v>
      </c>
      <c r="AB30" s="127">
        <v>0.31900000000000001</v>
      </c>
      <c r="AC30" s="127">
        <v>1E-3</v>
      </c>
      <c r="AD30" s="127">
        <v>8.9999999999999993E-3</v>
      </c>
      <c r="AE30" s="127">
        <v>0</v>
      </c>
      <c r="AF30" s="127">
        <v>0</v>
      </c>
      <c r="AG30" s="127">
        <v>3</v>
      </c>
      <c r="AH30" s="127">
        <v>0</v>
      </c>
      <c r="AI30" s="127">
        <v>0</v>
      </c>
      <c r="AJ30" s="127">
        <v>0</v>
      </c>
      <c r="AK30" s="127">
        <v>0</v>
      </c>
      <c r="AL30" s="127">
        <v>0</v>
      </c>
      <c r="AM30" s="132">
        <v>0</v>
      </c>
      <c r="AN30" s="124">
        <f>SUM(V30:AM30)</f>
        <v>4.9989999999999997</v>
      </c>
      <c r="AO30" s="148">
        <f t="shared" si="36"/>
        <v>0.08</v>
      </c>
      <c r="AP30" s="162">
        <f t="shared" si="15"/>
        <v>4.0008001600320073E-2</v>
      </c>
      <c r="AQ30" s="83">
        <f t="shared" si="16"/>
        <v>19.163832766553313</v>
      </c>
      <c r="AR30" s="83">
        <f t="shared" si="17"/>
        <v>0</v>
      </c>
      <c r="AS30" s="83">
        <f t="shared" si="18"/>
        <v>0</v>
      </c>
      <c r="AT30" s="83">
        <f t="shared" si="37"/>
        <v>1.6003200640128026</v>
      </c>
      <c r="AU30" s="83">
        <f t="shared" si="38"/>
        <v>12.60252050410082</v>
      </c>
      <c r="AV30" s="83">
        <f t="shared" si="39"/>
        <v>6.3812762552510502</v>
      </c>
      <c r="AW30" s="83">
        <f t="shared" si="40"/>
        <v>2.0004000800160036E-2</v>
      </c>
      <c r="AX30" s="83">
        <f t="shared" si="41"/>
        <v>0.18003600720144028</v>
      </c>
      <c r="AY30" s="83">
        <f t="shared" si="42"/>
        <v>0</v>
      </c>
      <c r="AZ30" s="83">
        <f t="shared" si="43"/>
        <v>0</v>
      </c>
      <c r="BA30" s="83">
        <f t="shared" si="44"/>
        <v>60.0120024004801</v>
      </c>
      <c r="BB30" s="83">
        <f t="shared" si="45"/>
        <v>0</v>
      </c>
      <c r="BC30" s="83">
        <f t="shared" si="46"/>
        <v>0</v>
      </c>
      <c r="BD30" s="83">
        <f t="shared" si="47"/>
        <v>0</v>
      </c>
      <c r="BE30" s="83">
        <f t="shared" si="47"/>
        <v>0</v>
      </c>
      <c r="BF30" s="83">
        <f t="shared" si="48"/>
        <v>0</v>
      </c>
      <c r="BG30" s="83">
        <f>AM30/$AN30*100</f>
        <v>0</v>
      </c>
      <c r="BH30" s="175">
        <f>SUM(AP30:BG30)</f>
        <v>100</v>
      </c>
      <c r="BI30" s="212">
        <f t="shared" si="50"/>
        <v>0.10209290454313427</v>
      </c>
      <c r="BJ30" s="85">
        <f t="shared" si="51"/>
        <v>48.902501276161317</v>
      </c>
      <c r="BK30" s="85">
        <f t="shared" si="52"/>
        <v>0</v>
      </c>
      <c r="BL30" s="85">
        <f t="shared" si="53"/>
        <v>0</v>
      </c>
      <c r="BM30" s="85">
        <f t="shared" si="54"/>
        <v>2.0418580908626853</v>
      </c>
      <c r="BN30" s="85">
        <f t="shared" si="55"/>
        <v>32.159264931087293</v>
      </c>
      <c r="BO30" s="85">
        <f t="shared" si="56"/>
        <v>16.283818274629915</v>
      </c>
      <c r="BP30" s="85">
        <f t="shared" si="57"/>
        <v>5.1046452271567136E-2</v>
      </c>
      <c r="BQ30" s="85">
        <f t="shared" si="58"/>
        <v>0.45941807044410415</v>
      </c>
      <c r="BR30" s="85">
        <f t="shared" si="59"/>
        <v>0</v>
      </c>
      <c r="BS30" s="85">
        <f t="shared" si="60"/>
        <v>0</v>
      </c>
      <c r="BT30" s="216">
        <f t="shared" si="61"/>
        <v>0</v>
      </c>
      <c r="BU30" s="216">
        <f t="shared" si="22"/>
        <v>0</v>
      </c>
      <c r="BV30" s="216">
        <f t="shared" si="22"/>
        <v>0</v>
      </c>
      <c r="BW30" s="216">
        <f t="shared" si="22"/>
        <v>0</v>
      </c>
      <c r="BX30" s="216">
        <f t="shared" si="22"/>
        <v>0</v>
      </c>
      <c r="BY30" s="213">
        <f t="shared" si="22"/>
        <v>0</v>
      </c>
      <c r="BZ30" s="193">
        <f t="shared" si="62"/>
        <v>100</v>
      </c>
      <c r="CA30" s="201">
        <f t="shared" si="63"/>
        <v>3.708362897942561E-2</v>
      </c>
      <c r="CB30" s="108">
        <f t="shared" si="64"/>
        <v>30.274138282870567</v>
      </c>
      <c r="CC30" s="108">
        <f t="shared" si="65"/>
        <v>0</v>
      </c>
      <c r="CD30" s="108">
        <f t="shared" si="66"/>
        <v>0</v>
      </c>
      <c r="CE30" s="108">
        <f t="shared" si="67"/>
        <v>2.9494725183543444</v>
      </c>
      <c r="CF30" s="108">
        <f t="shared" si="68"/>
        <v>23.227096082040465</v>
      </c>
      <c r="CG30" s="108">
        <f t="shared" si="69"/>
        <v>11.570016946715379</v>
      </c>
      <c r="CH30" s="108">
        <f t="shared" si="70"/>
        <v>1.6045959700645165E-2</v>
      </c>
      <c r="CI30" s="108">
        <f t="shared" si="71"/>
        <v>0.23813247298671517</v>
      </c>
      <c r="CJ30" s="108">
        <f t="shared" si="72"/>
        <v>0</v>
      </c>
      <c r="CK30" s="108">
        <f t="shared" si="73"/>
        <v>0</v>
      </c>
      <c r="CL30" s="108">
        <f t="shared" si="74"/>
        <v>31.688014108352469</v>
      </c>
      <c r="CM30" s="108">
        <f t="shared" si="75"/>
        <v>0</v>
      </c>
      <c r="CN30" s="108">
        <f t="shared" si="76"/>
        <v>0</v>
      </c>
      <c r="CO30" s="108">
        <f t="shared" si="77"/>
        <v>0</v>
      </c>
      <c r="CP30" s="108">
        <f t="shared" si="77"/>
        <v>0</v>
      </c>
      <c r="CQ30" s="108">
        <f t="shared" si="78"/>
        <v>0</v>
      </c>
      <c r="CR30" s="108">
        <f t="shared" si="79"/>
        <v>0</v>
      </c>
      <c r="CS30" s="109">
        <f>SUM(CA30:CR30)</f>
        <v>100.00000000000003</v>
      </c>
      <c r="CT30" s="110">
        <f t="shared" si="24"/>
        <v>7.9342695165374899E-2</v>
      </c>
      <c r="CU30" s="110">
        <f t="shared" si="25"/>
        <v>50.517552629806517</v>
      </c>
      <c r="CV30" s="110">
        <f t="shared" si="26"/>
        <v>0</v>
      </c>
      <c r="CW30" s="110">
        <f>(Y30*CW$12)/SUMPRODUCT($CT$12:$DK$12,$V30:$AM30)*100</f>
        <v>0</v>
      </c>
      <c r="CX30" s="110">
        <f t="shared" si="81"/>
        <v>4.2174385568634127</v>
      </c>
      <c r="CY30" s="110">
        <f t="shared" si="82"/>
        <v>29.884735671213054</v>
      </c>
      <c r="CZ30" s="110">
        <f t="shared" si="83"/>
        <v>14.941087291519818</v>
      </c>
      <c r="DA30" s="110">
        <f t="shared" si="84"/>
        <v>2.6611441949255764E-2</v>
      </c>
      <c r="DB30" s="110">
        <f t="shared" si="85"/>
        <v>0.33323171348256647</v>
      </c>
      <c r="DC30" s="110">
        <f t="shared" si="86"/>
        <v>0</v>
      </c>
      <c r="DD30" s="110">
        <f t="shared" si="87"/>
        <v>0</v>
      </c>
      <c r="DE30" s="110">
        <f t="shared" si="88"/>
        <v>0</v>
      </c>
      <c r="DF30" s="110">
        <f t="shared" si="89"/>
        <v>0</v>
      </c>
      <c r="DG30" s="110">
        <f t="shared" si="90"/>
        <v>0</v>
      </c>
      <c r="DH30" s="110">
        <f t="shared" si="91"/>
        <v>0</v>
      </c>
      <c r="DI30" s="110">
        <f t="shared" si="91"/>
        <v>0</v>
      </c>
      <c r="DJ30" s="110">
        <f t="shared" si="92"/>
        <v>0</v>
      </c>
      <c r="DK30" s="110">
        <f t="shared" si="93"/>
        <v>0</v>
      </c>
      <c r="DL30" s="111">
        <f>SUM(CT30:DK30)</f>
        <v>100</v>
      </c>
    </row>
    <row r="31" spans="1:116" s="8" customFormat="1" ht="17" thickBot="1">
      <c r="A31" s="246" t="s">
        <v>86</v>
      </c>
      <c r="B31" s="247">
        <v>1.4</v>
      </c>
      <c r="C31" s="292">
        <v>5.2</v>
      </c>
      <c r="D31" s="248">
        <v>0.1</v>
      </c>
      <c r="E31" s="248">
        <v>0.1</v>
      </c>
      <c r="F31" s="249">
        <v>0.1</v>
      </c>
      <c r="G31" s="218" t="s">
        <v>14</v>
      </c>
      <c r="H31" s="119">
        <f t="shared" si="29"/>
        <v>2.7038342858592403</v>
      </c>
      <c r="I31" s="20">
        <f t="shared" si="7"/>
        <v>1.6755150666704639</v>
      </c>
      <c r="J31" s="137">
        <f t="shared" si="30"/>
        <v>1.0000000000000002E-3</v>
      </c>
      <c r="K31" s="22">
        <f t="shared" si="8"/>
        <v>5.2000000000000015E-3</v>
      </c>
      <c r="L31" s="77">
        <f t="shared" si="31"/>
        <v>16.898964286620252</v>
      </c>
      <c r="M31" s="88">
        <f>IF(K31&gt;0,L31/K31,0)</f>
        <v>3249.8008243500476</v>
      </c>
      <c r="N31" s="88">
        <f t="shared" si="9"/>
        <v>232128.63031071771</v>
      </c>
      <c r="O31" s="88">
        <f t="shared" si="33"/>
        <v>56.578258394780356</v>
      </c>
      <c r="P31" s="263">
        <f t="shared" si="34"/>
        <v>1.740976184474194</v>
      </c>
      <c r="Q31" s="273">
        <f t="shared" si="10"/>
        <v>4.7073110984457274E-2</v>
      </c>
      <c r="R31" s="94">
        <f t="shared" si="11"/>
        <v>44.491090649999997</v>
      </c>
      <c r="S31" s="95">
        <f t="shared" si="35"/>
        <v>2.2476410116954507E-2</v>
      </c>
      <c r="T31" s="94">
        <f t="shared" si="12"/>
        <v>231.35367138000001</v>
      </c>
      <c r="U31" s="123">
        <f t="shared" si="13"/>
        <v>-5.0000000000007816E-3</v>
      </c>
      <c r="V31" s="131">
        <v>0</v>
      </c>
      <c r="W31" s="127">
        <v>0</v>
      </c>
      <c r="X31" s="127">
        <v>2E-3</v>
      </c>
      <c r="Y31" s="127">
        <v>2E-3</v>
      </c>
      <c r="Z31" s="127">
        <v>1.9950000000000001</v>
      </c>
      <c r="AA31" s="127">
        <v>0.997</v>
      </c>
      <c r="AB31" s="127">
        <v>2E-3</v>
      </c>
      <c r="AC31" s="127">
        <v>0</v>
      </c>
      <c r="AD31" s="127">
        <v>0</v>
      </c>
      <c r="AE31" s="127">
        <v>0</v>
      </c>
      <c r="AF31" s="127">
        <v>0</v>
      </c>
      <c r="AG31" s="127">
        <v>4</v>
      </c>
      <c r="AH31" s="127">
        <v>0</v>
      </c>
      <c r="AI31" s="127">
        <v>0</v>
      </c>
      <c r="AJ31" s="127">
        <v>0</v>
      </c>
      <c r="AK31" s="127">
        <v>0</v>
      </c>
      <c r="AL31" s="127">
        <v>0</v>
      </c>
      <c r="AM31" s="132">
        <v>0</v>
      </c>
      <c r="AN31" s="124">
        <f>SUM(V31:AM31)</f>
        <v>6.9979999999999993</v>
      </c>
      <c r="AO31" s="148">
        <f t="shared" si="36"/>
        <v>1.9990000000000001</v>
      </c>
      <c r="AP31" s="162">
        <f t="shared" si="15"/>
        <v>0</v>
      </c>
      <c r="AQ31" s="83">
        <f t="shared" si="16"/>
        <v>0</v>
      </c>
      <c r="AR31" s="83">
        <f t="shared" si="17"/>
        <v>2.857959416976279E-2</v>
      </c>
      <c r="AS31" s="83">
        <f t="shared" si="18"/>
        <v>2.857959416976279E-2</v>
      </c>
      <c r="AT31" s="83">
        <f t="shared" si="37"/>
        <v>28.508145184338385</v>
      </c>
      <c r="AU31" s="83">
        <f t="shared" si="38"/>
        <v>14.246927693626752</v>
      </c>
      <c r="AV31" s="83">
        <f t="shared" si="39"/>
        <v>2.857959416976279E-2</v>
      </c>
      <c r="AW31" s="83">
        <f t="shared" si="40"/>
        <v>0</v>
      </c>
      <c r="AX31" s="83">
        <f t="shared" si="41"/>
        <v>0</v>
      </c>
      <c r="AY31" s="83">
        <f t="shared" si="42"/>
        <v>0</v>
      </c>
      <c r="AZ31" s="83">
        <f t="shared" si="43"/>
        <v>0</v>
      </c>
      <c r="BA31" s="83">
        <f t="shared" si="44"/>
        <v>57.159188339525578</v>
      </c>
      <c r="BB31" s="83">
        <f t="shared" si="45"/>
        <v>0</v>
      </c>
      <c r="BC31" s="83">
        <f t="shared" si="46"/>
        <v>0</v>
      </c>
      <c r="BD31" s="83">
        <f t="shared" si="47"/>
        <v>0</v>
      </c>
      <c r="BE31" s="83">
        <f t="shared" si="47"/>
        <v>0</v>
      </c>
      <c r="BF31" s="83">
        <f t="shared" si="48"/>
        <v>0</v>
      </c>
      <c r="BG31" s="83">
        <f>AM31/$AN31*100</f>
        <v>0</v>
      </c>
      <c r="BH31" s="175">
        <f>SUM(AP31:BG31)</f>
        <v>100</v>
      </c>
      <c r="BI31" s="212">
        <f t="shared" si="50"/>
        <v>0</v>
      </c>
      <c r="BJ31" s="85">
        <f t="shared" si="51"/>
        <v>0</v>
      </c>
      <c r="BK31" s="85">
        <f t="shared" si="52"/>
        <v>5.0037528146109594E-2</v>
      </c>
      <c r="BL31" s="85">
        <f t="shared" si="53"/>
        <v>5.0037528146109594E-2</v>
      </c>
      <c r="BM31" s="85">
        <f t="shared" si="54"/>
        <v>49.912434325744321</v>
      </c>
      <c r="BN31" s="85">
        <f t="shared" si="55"/>
        <v>49.887415561671261</v>
      </c>
      <c r="BO31" s="85">
        <f t="shared" si="56"/>
        <v>0.10007505629221919</v>
      </c>
      <c r="BP31" s="85">
        <f t="shared" si="57"/>
        <v>0</v>
      </c>
      <c r="BQ31" s="85">
        <f t="shared" si="58"/>
        <v>0</v>
      </c>
      <c r="BR31" s="85">
        <f t="shared" si="59"/>
        <v>0</v>
      </c>
      <c r="BS31" s="85">
        <f t="shared" si="60"/>
        <v>0</v>
      </c>
      <c r="BT31" s="216">
        <f t="shared" si="61"/>
        <v>0</v>
      </c>
      <c r="BU31" s="216">
        <f t="shared" ref="BU31:BU40" si="98">AI31/(SUM($V31:$AF31,$AH31:$AM31)-$AO31/2)*100/BU$12</f>
        <v>0</v>
      </c>
      <c r="BV31" s="216">
        <f t="shared" ref="BV31:BV40" si="99">AJ31/(SUM($V31:$AF31,$AH31:$AM31)-$AO31/2)*100/BV$12</f>
        <v>0</v>
      </c>
      <c r="BW31" s="216">
        <f t="shared" ref="BW31:BW40" si="100">AK31/(SUM($V31:$AF31,$AH31:$AM31)-$AO31/2)*100/BW$12</f>
        <v>0</v>
      </c>
      <c r="BX31" s="216">
        <f t="shared" ref="BX31:BX40" si="101">AL31/(SUM($V31:$AF31,$AH31:$AM31)-$AO31/2)*100/BX$12</f>
        <v>0</v>
      </c>
      <c r="BY31" s="213">
        <f t="shared" ref="BY31:BY40" si="102">AM31/(SUM($V31:$AF31,$AH31:$AM31)-$AO31/2)*100/BY$12</f>
        <v>0</v>
      </c>
      <c r="BZ31" s="193">
        <f t="shared" si="62"/>
        <v>100.00000000000001</v>
      </c>
      <c r="CA31" s="201">
        <f t="shared" si="63"/>
        <v>0</v>
      </c>
      <c r="CB31" s="108">
        <f t="shared" si="64"/>
        <v>0</v>
      </c>
      <c r="CC31" s="108">
        <f t="shared" si="65"/>
        <v>2.3324929177962021E-2</v>
      </c>
      <c r="CD31" s="108">
        <f t="shared" si="66"/>
        <v>4.4949448772391466E-2</v>
      </c>
      <c r="CE31" s="108">
        <f t="shared" si="67"/>
        <v>48.156043660533498</v>
      </c>
      <c r="CF31" s="108">
        <f t="shared" si="68"/>
        <v>24.065952646391928</v>
      </c>
      <c r="CG31" s="108">
        <f t="shared" si="69"/>
        <v>4.7492697800990476E-2</v>
      </c>
      <c r="CH31" s="108">
        <f t="shared" si="70"/>
        <v>0</v>
      </c>
      <c r="CI31" s="108">
        <f t="shared" si="71"/>
        <v>0</v>
      </c>
      <c r="CJ31" s="108">
        <f t="shared" si="72"/>
        <v>0</v>
      </c>
      <c r="CK31" s="108">
        <f t="shared" si="73"/>
        <v>0</v>
      </c>
      <c r="CL31" s="108">
        <f t="shared" si="74"/>
        <v>27.66223661732322</v>
      </c>
      <c r="CM31" s="108">
        <f t="shared" si="75"/>
        <v>0</v>
      </c>
      <c r="CN31" s="108">
        <f t="shared" si="76"/>
        <v>0</v>
      </c>
      <c r="CO31" s="108">
        <f t="shared" si="77"/>
        <v>0</v>
      </c>
      <c r="CP31" s="108">
        <f t="shared" si="77"/>
        <v>0</v>
      </c>
      <c r="CQ31" s="108">
        <f t="shared" si="78"/>
        <v>0</v>
      </c>
      <c r="CR31" s="108">
        <f t="shared" si="79"/>
        <v>0</v>
      </c>
      <c r="CS31" s="109">
        <f>SUM(CA31:CR31)</f>
        <v>99.999999999999986</v>
      </c>
      <c r="CT31" s="110">
        <f t="shared" si="24"/>
        <v>0</v>
      </c>
      <c r="CU31" s="110">
        <f t="shared" si="25"/>
        <v>0</v>
      </c>
      <c r="CV31" s="110">
        <f t="shared" si="26"/>
        <v>4.4079227453577757E-2</v>
      </c>
      <c r="CW31" s="110">
        <f t="shared" si="27"/>
        <v>6.5707486335599793E-2</v>
      </c>
      <c r="CX31" s="110">
        <f t="shared" si="81"/>
        <v>68.862760042133488</v>
      </c>
      <c r="CY31" s="110">
        <f t="shared" si="82"/>
        <v>30.966118823922411</v>
      </c>
      <c r="CZ31" s="110">
        <f t="shared" si="83"/>
        <v>6.1334420154921541E-2</v>
      </c>
      <c r="DA31" s="110">
        <f t="shared" si="84"/>
        <v>0</v>
      </c>
      <c r="DB31" s="110">
        <f t="shared" si="85"/>
        <v>0</v>
      </c>
      <c r="DC31" s="110">
        <f t="shared" si="86"/>
        <v>0</v>
      </c>
      <c r="DD31" s="110">
        <f t="shared" si="87"/>
        <v>0</v>
      </c>
      <c r="DE31" s="110">
        <f t="shared" si="88"/>
        <v>0</v>
      </c>
      <c r="DF31" s="110">
        <f t="shared" si="89"/>
        <v>0</v>
      </c>
      <c r="DG31" s="110">
        <f t="shared" si="90"/>
        <v>0</v>
      </c>
      <c r="DH31" s="110">
        <f t="shared" si="91"/>
        <v>0</v>
      </c>
      <c r="DI31" s="110">
        <f t="shared" si="91"/>
        <v>0</v>
      </c>
      <c r="DJ31" s="110">
        <f t="shared" si="92"/>
        <v>0</v>
      </c>
      <c r="DK31" s="110">
        <f t="shared" si="93"/>
        <v>0</v>
      </c>
      <c r="DL31" s="111">
        <f>SUM(CT31:DK31)</f>
        <v>100</v>
      </c>
    </row>
    <row r="32" spans="1:116" s="8" customFormat="1" ht="17" thickBot="1">
      <c r="A32" s="246" t="s">
        <v>140</v>
      </c>
      <c r="B32" s="247">
        <v>0.08</v>
      </c>
      <c r="C32" s="292">
        <v>3.45</v>
      </c>
      <c r="D32" s="248">
        <v>0.05</v>
      </c>
      <c r="E32" s="248">
        <v>0.02</v>
      </c>
      <c r="F32" s="249">
        <v>0.02</v>
      </c>
      <c r="G32" s="218" t="s">
        <v>14</v>
      </c>
      <c r="H32" s="119">
        <f t="shared" si="29"/>
        <v>0.10250800314521298</v>
      </c>
      <c r="I32" s="20">
        <f t="shared" si="7"/>
        <v>3.0715374344346999E-2</v>
      </c>
      <c r="J32" s="137">
        <f t="shared" si="30"/>
        <v>2.0000000000000002E-5</v>
      </c>
      <c r="K32" s="22">
        <f t="shared" si="8"/>
        <v>6.900000000000001E-5</v>
      </c>
      <c r="L32" s="77">
        <f t="shared" si="31"/>
        <v>0.64067501965758111</v>
      </c>
      <c r="M32" s="88">
        <f>IF(K32&gt;0,L32/K32,0)</f>
        <v>9285.1452124287098</v>
      </c>
      <c r="N32" s="88">
        <f t="shared" si="9"/>
        <v>11606431.515535887</v>
      </c>
      <c r="O32" s="88">
        <f t="shared" si="33"/>
        <v>96.272734353819345</v>
      </c>
      <c r="P32" s="263">
        <f t="shared" si="34"/>
        <v>1.0368468360080427</v>
      </c>
      <c r="Q32" s="273">
        <f t="shared" si="10"/>
        <v>1.0628509872661657E-3</v>
      </c>
      <c r="R32" s="94">
        <f t="shared" si="11"/>
        <v>138.68437327826086</v>
      </c>
      <c r="S32" s="95">
        <f t="shared" si="35"/>
        <v>7.2106177239851478E-3</v>
      </c>
      <c r="T32" s="94">
        <f t="shared" si="12"/>
        <v>478.46108780999998</v>
      </c>
      <c r="U32" s="123">
        <f t="shared" si="13"/>
        <v>-8.0000000000062244E-3</v>
      </c>
      <c r="V32" s="131">
        <v>2.9809999999999999</v>
      </c>
      <c r="W32" s="127">
        <v>2E-3</v>
      </c>
      <c r="X32" s="127">
        <v>2.1789999999999998</v>
      </c>
      <c r="Y32" s="127">
        <v>0</v>
      </c>
      <c r="Z32" s="127">
        <v>0.83699999999999997</v>
      </c>
      <c r="AA32" s="127">
        <v>0</v>
      </c>
      <c r="AB32" s="127">
        <v>1.2999999999999999E-2</v>
      </c>
      <c r="AC32" s="127">
        <v>1E-3</v>
      </c>
      <c r="AD32" s="127">
        <v>1.982</v>
      </c>
      <c r="AE32" s="127">
        <v>0</v>
      </c>
      <c r="AF32" s="127">
        <v>2E-3</v>
      </c>
      <c r="AG32" s="127">
        <v>12.991</v>
      </c>
      <c r="AH32" s="127">
        <v>1</v>
      </c>
      <c r="AI32" s="127">
        <v>0</v>
      </c>
      <c r="AJ32" s="127">
        <v>0</v>
      </c>
      <c r="AK32" s="127">
        <v>0</v>
      </c>
      <c r="AL32" s="127">
        <v>0</v>
      </c>
      <c r="AM32" s="132">
        <v>0</v>
      </c>
      <c r="AN32" s="124">
        <f>SUM(V32:AM32)</f>
        <v>21.988</v>
      </c>
      <c r="AO32" s="148">
        <f t="shared" si="36"/>
        <v>4.0179999999999998</v>
      </c>
      <c r="AP32" s="162">
        <f t="shared" si="15"/>
        <v>13.557394942696016</v>
      </c>
      <c r="AQ32" s="83">
        <f t="shared" si="16"/>
        <v>9.0958704748044395E-3</v>
      </c>
      <c r="AR32" s="83">
        <f t="shared" si="17"/>
        <v>9.9099508822994355</v>
      </c>
      <c r="AS32" s="83">
        <f t="shared" si="18"/>
        <v>0</v>
      </c>
      <c r="AT32" s="83">
        <f t="shared" si="37"/>
        <v>3.8066217937056579</v>
      </c>
      <c r="AU32" s="83">
        <f t="shared" si="38"/>
        <v>0</v>
      </c>
      <c r="AV32" s="83">
        <f t="shared" si="39"/>
        <v>5.9123158086228852E-2</v>
      </c>
      <c r="AW32" s="83">
        <f t="shared" si="40"/>
        <v>4.5479352374022198E-3</v>
      </c>
      <c r="AX32" s="83">
        <f t="shared" si="41"/>
        <v>9.0140076405311991</v>
      </c>
      <c r="AY32" s="83">
        <f t="shared" si="42"/>
        <v>0</v>
      </c>
      <c r="AZ32" s="83">
        <f t="shared" si="43"/>
        <v>9.0958704748044395E-3</v>
      </c>
      <c r="BA32" s="83">
        <f t="shared" si="44"/>
        <v>59.082226669092229</v>
      </c>
      <c r="BB32" s="83">
        <f t="shared" si="45"/>
        <v>4.5479352374022195</v>
      </c>
      <c r="BC32" s="83">
        <f t="shared" ref="BC32:BE34" si="103">AI32/$AN32*100</f>
        <v>0</v>
      </c>
      <c r="BD32" s="83">
        <f t="shared" si="103"/>
        <v>0</v>
      </c>
      <c r="BE32" s="83">
        <f t="shared" si="103"/>
        <v>0</v>
      </c>
      <c r="BF32" s="83">
        <f t="shared" si="48"/>
        <v>0</v>
      </c>
      <c r="BG32" s="83">
        <f>AM32/$AN32*100</f>
        <v>0</v>
      </c>
      <c r="BH32" s="175">
        <f>SUM(AP32:BG32)</f>
        <v>100</v>
      </c>
      <c r="BI32" s="212">
        <f t="shared" si="50"/>
        <v>42.658843732112196</v>
      </c>
      <c r="BJ32" s="85">
        <f t="shared" si="51"/>
        <v>2.8620492272467088E-2</v>
      </c>
      <c r="BK32" s="85">
        <f t="shared" si="52"/>
        <v>15.591013165426446</v>
      </c>
      <c r="BL32" s="85">
        <f t="shared" si="53"/>
        <v>0</v>
      </c>
      <c r="BM32" s="85">
        <f t="shared" si="54"/>
        <v>5.9888380080137384</v>
      </c>
      <c r="BN32" s="85">
        <f t="shared" si="55"/>
        <v>0</v>
      </c>
      <c r="BO32" s="85">
        <f t="shared" si="56"/>
        <v>0.18603319977103608</v>
      </c>
      <c r="BP32" s="85">
        <f t="shared" si="57"/>
        <v>1.4310246136233544E-2</v>
      </c>
      <c r="BQ32" s="85">
        <f t="shared" si="58"/>
        <v>28.362907842014884</v>
      </c>
      <c r="BR32" s="85">
        <f t="shared" si="59"/>
        <v>0</v>
      </c>
      <c r="BS32" s="85">
        <f t="shared" si="60"/>
        <v>1.4310246136233544E-2</v>
      </c>
      <c r="BT32" s="216">
        <f t="shared" si="61"/>
        <v>7.1551230681167723</v>
      </c>
      <c r="BU32" s="216">
        <f t="shared" si="98"/>
        <v>0</v>
      </c>
      <c r="BV32" s="216">
        <f t="shared" si="99"/>
        <v>0</v>
      </c>
      <c r="BW32" s="216">
        <f t="shared" si="100"/>
        <v>0</v>
      </c>
      <c r="BX32" s="216">
        <f t="shared" si="101"/>
        <v>0</v>
      </c>
      <c r="BY32" s="213">
        <f t="shared" si="102"/>
        <v>0</v>
      </c>
      <c r="BZ32" s="193">
        <f t="shared" si="62"/>
        <v>100</v>
      </c>
      <c r="CA32" s="201">
        <f t="shared" si="63"/>
        <v>17.498366666182662</v>
      </c>
      <c r="CB32" s="108">
        <f t="shared" si="64"/>
        <v>2.0008732672115771E-2</v>
      </c>
      <c r="CC32" s="108">
        <f t="shared" si="65"/>
        <v>12.287890730906623</v>
      </c>
      <c r="CD32" s="108">
        <f t="shared" si="66"/>
        <v>0</v>
      </c>
      <c r="CE32" s="108">
        <f t="shared" si="67"/>
        <v>9.76929288313654</v>
      </c>
      <c r="CF32" s="108">
        <f t="shared" si="68"/>
        <v>0</v>
      </c>
      <c r="CG32" s="108">
        <f t="shared" si="69"/>
        <v>0.14926911888885128</v>
      </c>
      <c r="CH32" s="108">
        <f t="shared" si="70"/>
        <v>5.0798279356944641E-3</v>
      </c>
      <c r="CI32" s="108">
        <f t="shared" si="71"/>
        <v>16.602101617831877</v>
      </c>
      <c r="CJ32" s="108">
        <f t="shared" si="72"/>
        <v>0</v>
      </c>
      <c r="CK32" s="108">
        <f t="shared" si="73"/>
        <v>1.6343356229431217E-2</v>
      </c>
      <c r="CL32" s="108">
        <f t="shared" si="74"/>
        <v>43.440984166833204</v>
      </c>
      <c r="CM32" s="108">
        <f t="shared" si="75"/>
        <v>0.21066289938300262</v>
      </c>
      <c r="CN32" s="108">
        <f t="shared" ref="CN32:CP34" si="104">(AI32*CN$12)/SUMPRODUCT($CA$12:$CR$12,$V32:$AM32)*100</f>
        <v>0</v>
      </c>
      <c r="CO32" s="108">
        <f t="shared" si="104"/>
        <v>0</v>
      </c>
      <c r="CP32" s="108">
        <f t="shared" si="104"/>
        <v>0</v>
      </c>
      <c r="CQ32" s="108">
        <f t="shared" si="78"/>
        <v>0</v>
      </c>
      <c r="CR32" s="108">
        <f t="shared" si="79"/>
        <v>0</v>
      </c>
      <c r="CS32" s="109">
        <f>SUM(CA32:CR32)</f>
        <v>100</v>
      </c>
      <c r="CT32" s="110">
        <f t="shared" si="24"/>
        <v>37.439880376650336</v>
      </c>
      <c r="CU32" s="110">
        <f t="shared" si="25"/>
        <v>3.3388915457216367E-2</v>
      </c>
      <c r="CV32" s="110">
        <f t="shared" si="26"/>
        <v>23.220629229002348</v>
      </c>
      <c r="CW32" s="110">
        <f t="shared" si="27"/>
        <v>0</v>
      </c>
      <c r="CX32" s="110">
        <f t="shared" si="81"/>
        <v>13.969464502943385</v>
      </c>
      <c r="CY32" s="110">
        <f t="shared" si="82"/>
        <v>0</v>
      </c>
      <c r="CZ32" s="110">
        <f t="shared" si="83"/>
        <v>0.19276598225026648</v>
      </c>
      <c r="DA32" s="110">
        <f t="shared" si="84"/>
        <v>8.4248840189031556E-3</v>
      </c>
      <c r="DB32" s="110">
        <f t="shared" si="85"/>
        <v>23.232876845302496</v>
      </c>
      <c r="DC32" s="110">
        <f t="shared" si="86"/>
        <v>0</v>
      </c>
      <c r="DD32" s="110">
        <f t="shared" si="87"/>
        <v>1.9689919091826241E-2</v>
      </c>
      <c r="DE32" s="110">
        <f t="shared" si="88"/>
        <v>0</v>
      </c>
      <c r="DF32" s="110">
        <f t="shared" si="89"/>
        <v>1.8828793452832153</v>
      </c>
      <c r="DG32" s="110">
        <f t="shared" ref="DG32:DI34" si="105">(AI32*DG$12)/SUMPRODUCT($CT$12:$DK$12,$V32:$AM32)*100</f>
        <v>0</v>
      </c>
      <c r="DH32" s="110">
        <f t="shared" si="105"/>
        <v>0</v>
      </c>
      <c r="DI32" s="110">
        <f t="shared" si="105"/>
        <v>0</v>
      </c>
      <c r="DJ32" s="110">
        <f t="shared" si="92"/>
        <v>0</v>
      </c>
      <c r="DK32" s="110">
        <f t="shared" si="93"/>
        <v>0</v>
      </c>
      <c r="DL32" s="111">
        <f>SUM(CT32:DK32)</f>
        <v>100</v>
      </c>
    </row>
    <row r="33" spans="1:116" s="8" customFormat="1" ht="17" thickBot="1">
      <c r="A33" s="246" t="s">
        <v>98</v>
      </c>
      <c r="B33" s="247">
        <v>0</v>
      </c>
      <c r="C33" s="292">
        <v>4.25</v>
      </c>
      <c r="D33" s="248">
        <v>0</v>
      </c>
      <c r="E33" s="248">
        <v>0</v>
      </c>
      <c r="F33" s="249">
        <v>0</v>
      </c>
      <c r="G33" s="218" t="s">
        <v>14</v>
      </c>
      <c r="H33" s="119">
        <f t="shared" si="29"/>
        <v>0</v>
      </c>
      <c r="I33" s="20">
        <f t="shared" si="7"/>
        <v>0</v>
      </c>
      <c r="J33" s="137">
        <f t="shared" si="30"/>
        <v>0</v>
      </c>
      <c r="K33" s="22">
        <f t="shared" si="8"/>
        <v>0</v>
      </c>
      <c r="L33" s="77">
        <f t="shared" si="31"/>
        <v>0</v>
      </c>
      <c r="M33" s="88">
        <f>IF(K33&gt;0,L33/K33,0)</f>
        <v>0</v>
      </c>
      <c r="N33" s="88">
        <f t="shared" si="9"/>
        <v>0</v>
      </c>
      <c r="O33" s="88">
        <f t="shared" si="33"/>
        <v>0</v>
      </c>
      <c r="P33" s="263">
        <f t="shared" si="34"/>
        <v>0</v>
      </c>
      <c r="Q33" s="273">
        <f t="shared" si="10"/>
        <v>0</v>
      </c>
      <c r="R33" s="94">
        <f t="shared" si="11"/>
        <v>18.791952941176469</v>
      </c>
      <c r="S33" s="95">
        <f t="shared" si="35"/>
        <v>5.3214266932779745E-2</v>
      </c>
      <c r="T33" s="94">
        <f>SUMPRODUCT(V33:AM33,V$12:AM$12)</f>
        <v>79.865799999999993</v>
      </c>
      <c r="U33" s="123">
        <f>SUMPRODUCT(V$13:AM$13,V33:AM33)</f>
        <v>0</v>
      </c>
      <c r="V33" s="131">
        <v>0</v>
      </c>
      <c r="W33" s="127">
        <v>1</v>
      </c>
      <c r="X33" s="127">
        <v>0</v>
      </c>
      <c r="Y33" s="127">
        <v>0</v>
      </c>
      <c r="Z33" s="127">
        <v>0</v>
      </c>
      <c r="AA33" s="127">
        <v>0</v>
      </c>
      <c r="AB33" s="127">
        <v>0</v>
      </c>
      <c r="AC33" s="127">
        <v>0</v>
      </c>
      <c r="AD33" s="127">
        <v>0</v>
      </c>
      <c r="AE33" s="127">
        <v>0</v>
      </c>
      <c r="AF33" s="127">
        <v>0</v>
      </c>
      <c r="AG33" s="127">
        <v>2</v>
      </c>
      <c r="AH33" s="127">
        <v>0</v>
      </c>
      <c r="AI33" s="127">
        <v>0</v>
      </c>
      <c r="AJ33" s="127">
        <v>0</v>
      </c>
      <c r="AK33" s="127">
        <v>0</v>
      </c>
      <c r="AL33" s="127">
        <v>0</v>
      </c>
      <c r="AM33" s="132">
        <v>0</v>
      </c>
      <c r="AN33" s="124">
        <f>SUM(V33:AM33)</f>
        <v>3</v>
      </c>
      <c r="AO33" s="148">
        <f t="shared" si="36"/>
        <v>0</v>
      </c>
      <c r="AP33" s="162">
        <f t="shared" ref="AP33:BB34" si="106">V33/$AN33*100</f>
        <v>0</v>
      </c>
      <c r="AQ33" s="83">
        <f t="shared" si="106"/>
        <v>33.333333333333329</v>
      </c>
      <c r="AR33" s="83">
        <f t="shared" si="106"/>
        <v>0</v>
      </c>
      <c r="AS33" s="83">
        <f t="shared" si="106"/>
        <v>0</v>
      </c>
      <c r="AT33" s="83">
        <f t="shared" si="106"/>
        <v>0</v>
      </c>
      <c r="AU33" s="83">
        <f t="shared" si="106"/>
        <v>0</v>
      </c>
      <c r="AV33" s="83">
        <f t="shared" si="106"/>
        <v>0</v>
      </c>
      <c r="AW33" s="83">
        <f t="shared" si="106"/>
        <v>0</v>
      </c>
      <c r="AX33" s="83">
        <f t="shared" si="106"/>
        <v>0</v>
      </c>
      <c r="AY33" s="83">
        <f t="shared" si="106"/>
        <v>0</v>
      </c>
      <c r="AZ33" s="83">
        <f t="shared" si="106"/>
        <v>0</v>
      </c>
      <c r="BA33" s="83">
        <f t="shared" si="106"/>
        <v>66.666666666666657</v>
      </c>
      <c r="BB33" s="83">
        <f t="shared" si="106"/>
        <v>0</v>
      </c>
      <c r="BC33" s="83">
        <f t="shared" si="103"/>
        <v>0</v>
      </c>
      <c r="BD33" s="83">
        <f t="shared" si="103"/>
        <v>0</v>
      </c>
      <c r="BE33" s="83">
        <f t="shared" si="103"/>
        <v>0</v>
      </c>
      <c r="BF33" s="83">
        <f>AL33/$AN33*100</f>
        <v>0</v>
      </c>
      <c r="BG33" s="83">
        <f>AM33/$AN33*100</f>
        <v>0</v>
      </c>
      <c r="BH33" s="175">
        <f>SUM(AP33:BG33)</f>
        <v>99.999999999999986</v>
      </c>
      <c r="BI33" s="212">
        <f t="shared" si="50"/>
        <v>0</v>
      </c>
      <c r="BJ33" s="85">
        <f t="shared" si="51"/>
        <v>100</v>
      </c>
      <c r="BK33" s="85">
        <f t="shared" si="52"/>
        <v>0</v>
      </c>
      <c r="BL33" s="85">
        <f t="shared" si="53"/>
        <v>0</v>
      </c>
      <c r="BM33" s="85">
        <f t="shared" si="54"/>
        <v>0</v>
      </c>
      <c r="BN33" s="85">
        <f t="shared" si="55"/>
        <v>0</v>
      </c>
      <c r="BO33" s="85">
        <f t="shared" si="56"/>
        <v>0</v>
      </c>
      <c r="BP33" s="85">
        <f t="shared" si="57"/>
        <v>0</v>
      </c>
      <c r="BQ33" s="85">
        <f t="shared" si="58"/>
        <v>0</v>
      </c>
      <c r="BR33" s="85">
        <f t="shared" si="59"/>
        <v>0</v>
      </c>
      <c r="BS33" s="85">
        <f t="shared" si="60"/>
        <v>0</v>
      </c>
      <c r="BT33" s="216">
        <f t="shared" si="61"/>
        <v>0</v>
      </c>
      <c r="BU33" s="216">
        <f t="shared" si="98"/>
        <v>0</v>
      </c>
      <c r="BV33" s="216">
        <f t="shared" si="99"/>
        <v>0</v>
      </c>
      <c r="BW33" s="216">
        <f t="shared" si="100"/>
        <v>0</v>
      </c>
      <c r="BX33" s="216">
        <f t="shared" si="101"/>
        <v>0</v>
      </c>
      <c r="BY33" s="213">
        <f t="shared" si="102"/>
        <v>0</v>
      </c>
      <c r="BZ33" s="193">
        <f>SUM(BI33:BY33)</f>
        <v>100</v>
      </c>
      <c r="CA33" s="201">
        <f t="shared" ref="CA33:CM34" si="107">(V33*CA$12)/SUMPRODUCT($CA$12:$CR$12,$V33:$AM33)*100</f>
        <v>0</v>
      </c>
      <c r="CB33" s="108">
        <f t="shared" si="107"/>
        <v>59.934289771091009</v>
      </c>
      <c r="CC33" s="108">
        <f t="shared" si="107"/>
        <v>0</v>
      </c>
      <c r="CD33" s="108">
        <f t="shared" si="107"/>
        <v>0</v>
      </c>
      <c r="CE33" s="108">
        <f t="shared" si="107"/>
        <v>0</v>
      </c>
      <c r="CF33" s="108">
        <f t="shared" si="107"/>
        <v>0</v>
      </c>
      <c r="CG33" s="108">
        <f t="shared" si="107"/>
        <v>0</v>
      </c>
      <c r="CH33" s="108">
        <f t="shared" si="107"/>
        <v>0</v>
      </c>
      <c r="CI33" s="108">
        <f t="shared" si="107"/>
        <v>0</v>
      </c>
      <c r="CJ33" s="108">
        <f t="shared" si="107"/>
        <v>0</v>
      </c>
      <c r="CK33" s="108">
        <f t="shared" si="107"/>
        <v>0</v>
      </c>
      <c r="CL33" s="108">
        <f t="shared" si="107"/>
        <v>40.065710228908998</v>
      </c>
      <c r="CM33" s="108">
        <f t="shared" si="107"/>
        <v>0</v>
      </c>
      <c r="CN33" s="108">
        <f t="shared" si="104"/>
        <v>0</v>
      </c>
      <c r="CO33" s="108">
        <f t="shared" si="104"/>
        <v>0</v>
      </c>
      <c r="CP33" s="108">
        <f t="shared" si="104"/>
        <v>0</v>
      </c>
      <c r="CQ33" s="108">
        <f>(AL33*CQ$12)/SUMPRODUCT($CA$12:$CR$12,$V33:$AM33)*100</f>
        <v>0</v>
      </c>
      <c r="CR33" s="108">
        <f>(AM33*CR$12)/SUMPRODUCT($CA$12:$CR$12,$V33:$AM33)*100</f>
        <v>0</v>
      </c>
      <c r="CS33" s="109">
        <f>SUM(CA33:CR33)</f>
        <v>100</v>
      </c>
      <c r="CT33" s="110">
        <f t="shared" ref="CT33:DF34" si="108">(V33*CT$12)/SUMPRODUCT($CT$12:$DK$12,$V33:$AM33)*100</f>
        <v>0</v>
      </c>
      <c r="CU33" s="110">
        <f t="shared" si="108"/>
        <v>100</v>
      </c>
      <c r="CV33" s="110">
        <f t="shared" si="108"/>
        <v>0</v>
      </c>
      <c r="CW33" s="110">
        <f t="shared" si="108"/>
        <v>0</v>
      </c>
      <c r="CX33" s="110">
        <f t="shared" si="108"/>
        <v>0</v>
      </c>
      <c r="CY33" s="110">
        <f t="shared" si="108"/>
        <v>0</v>
      </c>
      <c r="CZ33" s="110">
        <f t="shared" si="108"/>
        <v>0</v>
      </c>
      <c r="DA33" s="110">
        <f t="shared" si="108"/>
        <v>0</v>
      </c>
      <c r="DB33" s="110">
        <f t="shared" si="108"/>
        <v>0</v>
      </c>
      <c r="DC33" s="110">
        <f t="shared" si="108"/>
        <v>0</v>
      </c>
      <c r="DD33" s="110">
        <f t="shared" si="108"/>
        <v>0</v>
      </c>
      <c r="DE33" s="110">
        <f t="shared" si="108"/>
        <v>0</v>
      </c>
      <c r="DF33" s="110">
        <f t="shared" si="108"/>
        <v>0</v>
      </c>
      <c r="DG33" s="110">
        <f t="shared" si="105"/>
        <v>0</v>
      </c>
      <c r="DH33" s="110">
        <f t="shared" si="105"/>
        <v>0</v>
      </c>
      <c r="DI33" s="110">
        <f t="shared" si="105"/>
        <v>0</v>
      </c>
      <c r="DJ33" s="110">
        <f>(AL33*DJ$12)/SUMPRODUCT($CT$12:$DK$12,$V33:$AM33)*100</f>
        <v>0</v>
      </c>
      <c r="DK33" s="110">
        <f>(AM33*DK$12)/SUMPRODUCT($CT$12:$DK$12,$V33:$AM33)*100</f>
        <v>0</v>
      </c>
      <c r="DL33" s="111">
        <f>SUM(CT33:DK33)</f>
        <v>100</v>
      </c>
    </row>
    <row r="34" spans="1:116" s="8" customFormat="1" ht="17" thickBot="1">
      <c r="A34" s="246" t="s">
        <v>143</v>
      </c>
      <c r="B34" s="321">
        <v>4.1000000000000003E-3</v>
      </c>
      <c r="C34" s="292">
        <v>5.3</v>
      </c>
      <c r="D34" s="248">
        <v>0.02</v>
      </c>
      <c r="E34" s="248">
        <v>0.01</v>
      </c>
      <c r="F34" s="249">
        <v>0.01</v>
      </c>
      <c r="G34" s="218" t="s">
        <v>15</v>
      </c>
      <c r="H34" s="119">
        <f t="shared" si="29"/>
        <v>8.0706482186430357E-3</v>
      </c>
      <c r="I34" s="20">
        <f t="shared" si="7"/>
        <v>3.8491824342279848E-3</v>
      </c>
      <c r="J34" s="137">
        <f t="shared" si="30"/>
        <v>2.0000000000000003E-6</v>
      </c>
      <c r="K34" s="22">
        <f t="shared" si="8"/>
        <v>1.0600000000000002E-5</v>
      </c>
      <c r="L34" s="77">
        <f t="shared" si="31"/>
        <v>5.0441551366518976E-2</v>
      </c>
      <c r="M34" s="88">
        <f>IF(K34&gt;0,L34/K34,0)</f>
        <v>4758.6369213697135</v>
      </c>
      <c r="N34" s="88">
        <f t="shared" si="9"/>
        <v>116064315.15535887</v>
      </c>
      <c r="O34" s="88">
        <f t="shared" si="33"/>
        <v>68.982874116477007</v>
      </c>
      <c r="P34" s="263">
        <f t="shared" si="34"/>
        <v>1.4496351635211782</v>
      </c>
      <c r="Q34" s="273">
        <f t="shared" si="10"/>
        <v>1.1699495450154502E-4</v>
      </c>
      <c r="R34" s="94">
        <f t="shared" si="11"/>
        <v>56.716407660377357</v>
      </c>
      <c r="S34" s="95">
        <f t="shared" si="35"/>
        <v>1.763158213383479E-2</v>
      </c>
      <c r="T34" s="94">
        <f>SUMPRODUCT(V34:AM34,V$12:AM$12)</f>
        <v>300.59696059999999</v>
      </c>
      <c r="U34" s="123">
        <f>SUMPRODUCT(V$13:AM$13,V34:AM34)</f>
        <v>-0.2219999999999982</v>
      </c>
      <c r="V34" s="131">
        <v>1.2370000000000001</v>
      </c>
      <c r="W34" s="127">
        <v>4.0000000000000001E-3</v>
      </c>
      <c r="X34" s="127">
        <v>7.4999999999999997E-2</v>
      </c>
      <c r="Y34" s="127">
        <v>0</v>
      </c>
      <c r="Z34" s="127">
        <v>0.12</v>
      </c>
      <c r="AA34" s="127">
        <v>0</v>
      </c>
      <c r="AB34" s="127">
        <v>1E-3</v>
      </c>
      <c r="AC34" s="127">
        <v>4.0000000000000001E-3</v>
      </c>
      <c r="AD34" s="127">
        <v>9.5000000000000001E-2</v>
      </c>
      <c r="AE34" s="127">
        <v>1E-3</v>
      </c>
      <c r="AF34" s="127">
        <v>0</v>
      </c>
      <c r="AG34" s="127">
        <v>6.1639999999999997</v>
      </c>
      <c r="AH34" s="127">
        <v>3.7290000000000001</v>
      </c>
      <c r="AI34" s="127">
        <v>7.0000000000000001E-3</v>
      </c>
      <c r="AJ34" s="127">
        <v>0</v>
      </c>
      <c r="AK34" s="127">
        <v>0.64800000000000002</v>
      </c>
      <c r="AL34" s="127">
        <v>0</v>
      </c>
      <c r="AM34" s="132">
        <v>0</v>
      </c>
      <c r="AN34" s="124">
        <f>SUM(V34:AM34)</f>
        <v>12.084999999999999</v>
      </c>
      <c r="AO34" s="148">
        <f t="shared" si="36"/>
        <v>4.58</v>
      </c>
      <c r="AP34" s="162">
        <f t="shared" si="106"/>
        <v>10.235829540753</v>
      </c>
      <c r="AQ34" s="83">
        <f t="shared" si="106"/>
        <v>3.3098882912701702E-2</v>
      </c>
      <c r="AR34" s="83">
        <f t="shared" si="106"/>
        <v>0.62060405461315682</v>
      </c>
      <c r="AS34" s="83">
        <f t="shared" si="106"/>
        <v>0</v>
      </c>
      <c r="AT34" s="83">
        <f t="shared" si="106"/>
        <v>0.99296648738105098</v>
      </c>
      <c r="AU34" s="83">
        <f t="shared" si="106"/>
        <v>0</v>
      </c>
      <c r="AV34" s="83">
        <f t="shared" si="106"/>
        <v>8.2747207281754255E-3</v>
      </c>
      <c r="AW34" s="83">
        <f t="shared" si="106"/>
        <v>3.3098882912701702E-2</v>
      </c>
      <c r="AX34" s="83">
        <f t="shared" si="106"/>
        <v>0.78609846917666537</v>
      </c>
      <c r="AY34" s="83">
        <f t="shared" si="106"/>
        <v>8.2747207281754255E-3</v>
      </c>
      <c r="AZ34" s="83">
        <f t="shared" si="106"/>
        <v>0</v>
      </c>
      <c r="BA34" s="83">
        <f t="shared" si="106"/>
        <v>51.005378568473311</v>
      </c>
      <c r="BB34" s="83">
        <f t="shared" si="106"/>
        <v>30.856433595366163</v>
      </c>
      <c r="BC34" s="83">
        <f t="shared" si="103"/>
        <v>5.7923045097227975E-2</v>
      </c>
      <c r="BD34" s="83">
        <f t="shared" si="103"/>
        <v>0</v>
      </c>
      <c r="BE34" s="83">
        <f t="shared" si="103"/>
        <v>5.3620190318576757</v>
      </c>
      <c r="BF34" s="83">
        <f>AL34/$AN34*100</f>
        <v>0</v>
      </c>
      <c r="BG34" s="83">
        <f>AM34/$AN34*100</f>
        <v>0</v>
      </c>
      <c r="BH34" s="175">
        <f>SUM(AP34:BG34)</f>
        <v>100</v>
      </c>
      <c r="BI34" s="212">
        <f t="shared" si="50"/>
        <v>34.067749931148455</v>
      </c>
      <c r="BJ34" s="85">
        <f t="shared" si="51"/>
        <v>0.11016248967226662</v>
      </c>
      <c r="BK34" s="85">
        <f t="shared" si="52"/>
        <v>1.0327733406774995</v>
      </c>
      <c r="BL34" s="85">
        <f t="shared" si="53"/>
        <v>0</v>
      </c>
      <c r="BM34" s="85">
        <f t="shared" si="54"/>
        <v>1.6524373450839993</v>
      </c>
      <c r="BN34" s="85">
        <f t="shared" si="55"/>
        <v>0</v>
      </c>
      <c r="BO34" s="85">
        <f t="shared" si="56"/>
        <v>2.7540622418066655E-2</v>
      </c>
      <c r="BP34" s="85">
        <f t="shared" si="57"/>
        <v>0.11016248967226662</v>
      </c>
      <c r="BQ34" s="85">
        <f t="shared" si="58"/>
        <v>2.616359129716332</v>
      </c>
      <c r="BR34" s="85">
        <f t="shared" si="59"/>
        <v>1.3770311209033327E-2</v>
      </c>
      <c r="BS34" s="85">
        <f t="shared" si="60"/>
        <v>0</v>
      </c>
      <c r="BT34" s="216">
        <f t="shared" si="61"/>
        <v>51.349490498485274</v>
      </c>
      <c r="BU34" s="216">
        <f t="shared" si="98"/>
        <v>9.6392178463233294E-2</v>
      </c>
      <c r="BV34" s="216">
        <f t="shared" si="99"/>
        <v>0</v>
      </c>
      <c r="BW34" s="216">
        <f t="shared" si="100"/>
        <v>17.846323326907193</v>
      </c>
      <c r="BX34" s="216">
        <f t="shared" si="101"/>
        <v>0</v>
      </c>
      <c r="BY34" s="213">
        <f t="shared" si="102"/>
        <v>0</v>
      </c>
      <c r="BZ34" s="193">
        <f>SUM(BI34:BY34)</f>
        <v>108.92316166345363</v>
      </c>
      <c r="CA34" s="201">
        <f t="shared" si="107"/>
        <v>11.557589747632333</v>
      </c>
      <c r="CB34" s="108">
        <f t="shared" si="107"/>
        <v>6.3695920150963758E-2</v>
      </c>
      <c r="CC34" s="108">
        <f t="shared" si="107"/>
        <v>0.67319892255756897</v>
      </c>
      <c r="CD34" s="108">
        <f t="shared" si="107"/>
        <v>0</v>
      </c>
      <c r="CE34" s="108">
        <f t="shared" si="107"/>
        <v>2.2293638587109519</v>
      </c>
      <c r="CF34" s="108">
        <f t="shared" si="107"/>
        <v>0</v>
      </c>
      <c r="CG34" s="108">
        <f t="shared" si="107"/>
        <v>1.8276315865051365E-2</v>
      </c>
      <c r="CH34" s="108">
        <f t="shared" si="107"/>
        <v>3.2342309717951288E-2</v>
      </c>
      <c r="CI34" s="108">
        <f t="shared" si="107"/>
        <v>1.2666162666449796</v>
      </c>
      <c r="CJ34" s="108">
        <f t="shared" si="107"/>
        <v>7.6480380753390755E-3</v>
      </c>
      <c r="CK34" s="108">
        <f t="shared" si="107"/>
        <v>0</v>
      </c>
      <c r="CL34" s="108">
        <f t="shared" si="107"/>
        <v>32.808149957055818</v>
      </c>
      <c r="CM34" s="108">
        <f t="shared" si="107"/>
        <v>1.2503813253792428</v>
      </c>
      <c r="CN34" s="108">
        <f t="shared" si="104"/>
        <v>7.2128580264826547E-2</v>
      </c>
      <c r="CO34" s="108">
        <f t="shared" si="104"/>
        <v>0</v>
      </c>
      <c r="CP34" s="108">
        <f t="shared" si="104"/>
        <v>50.02060875794497</v>
      </c>
      <c r="CQ34" s="108">
        <f>(AL34*CQ$12)/SUMPRODUCT($CA$12:$CR$12,$V34:$AM34)*100</f>
        <v>0</v>
      </c>
      <c r="CR34" s="108">
        <f>(AM34*CR$12)/SUMPRODUCT($CA$12:$CR$12,$V34:$AM34)*100</f>
        <v>0</v>
      </c>
      <c r="CS34" s="109">
        <f>SUM(CA34:CR34)</f>
        <v>100</v>
      </c>
      <c r="CT34" s="110">
        <f t="shared" si="108"/>
        <v>24.872317618429101</v>
      </c>
      <c r="CU34" s="110">
        <f t="shared" si="108"/>
        <v>0.10690706016951786</v>
      </c>
      <c r="CV34" s="110">
        <f t="shared" si="108"/>
        <v>1.2795347824007262</v>
      </c>
      <c r="CW34" s="110">
        <f t="shared" si="108"/>
        <v>0</v>
      </c>
      <c r="CX34" s="110">
        <f t="shared" si="108"/>
        <v>3.2063403870797016</v>
      </c>
      <c r="CY34" s="110">
        <f t="shared" si="108"/>
        <v>0</v>
      </c>
      <c r="CZ34" s="110">
        <f t="shared" si="108"/>
        <v>2.373892903915745E-2</v>
      </c>
      <c r="DA34" s="110">
        <f t="shared" si="108"/>
        <v>5.3950813939086774E-2</v>
      </c>
      <c r="DB34" s="110">
        <f t="shared" si="108"/>
        <v>1.7827770075403409</v>
      </c>
      <c r="DC34" s="110">
        <f t="shared" si="108"/>
        <v>1.0370500057319492E-2</v>
      </c>
      <c r="DD34" s="110">
        <f t="shared" si="108"/>
        <v>0</v>
      </c>
      <c r="DE34" s="110">
        <f t="shared" si="108"/>
        <v>0</v>
      </c>
      <c r="DF34" s="110">
        <f t="shared" si="108"/>
        <v>11.240586025101836</v>
      </c>
      <c r="DG34" s="110">
        <f t="shared" si="105"/>
        <v>0.16625404644825026</v>
      </c>
      <c r="DH34" s="110">
        <f t="shared" si="105"/>
        <v>0</v>
      </c>
      <c r="DI34" s="110">
        <f t="shared" si="105"/>
        <v>57.257222829794962</v>
      </c>
      <c r="DJ34" s="110">
        <f>(AL34*DJ$12)/SUMPRODUCT($CT$12:$DK$12,$V34:$AM34)*100</f>
        <v>0</v>
      </c>
      <c r="DK34" s="110">
        <f>(AM34*DK$12)/SUMPRODUCT($CT$12:$DK$12,$V34:$AM34)*100</f>
        <v>0</v>
      </c>
      <c r="DL34" s="111">
        <f>SUM(CT34:DK34)</f>
        <v>100</v>
      </c>
    </row>
    <row r="35" spans="1:116" s="8" customFormat="1" ht="17" thickBot="1">
      <c r="A35" s="246" t="s">
        <v>47</v>
      </c>
      <c r="B35" s="247">
        <v>1.0900000000000001</v>
      </c>
      <c r="C35" s="292">
        <v>3.53</v>
      </c>
      <c r="D35" s="248">
        <v>0.05</v>
      </c>
      <c r="E35" s="248">
        <v>0.05</v>
      </c>
      <c r="F35" s="248">
        <v>0.05</v>
      </c>
      <c r="G35" s="218" t="s">
        <v>15</v>
      </c>
      <c r="H35" s="119">
        <f t="shared" si="29"/>
        <v>1.429058129354478</v>
      </c>
      <c r="I35" s="20">
        <f t="shared" si="7"/>
        <v>1.0575738917825845</v>
      </c>
      <c r="J35" s="137">
        <f t="shared" si="30"/>
        <v>1.2500000000000003E-4</v>
      </c>
      <c r="K35" s="22">
        <f t="shared" si="8"/>
        <v>4.4125000000000007E-4</v>
      </c>
      <c r="L35" s="77">
        <f t="shared" si="31"/>
        <v>8.9316133084654865</v>
      </c>
      <c r="M35" s="88">
        <f t="shared" si="32"/>
        <v>20241.616563094583</v>
      </c>
      <c r="N35" s="88">
        <f t="shared" si="9"/>
        <v>1857029.0424857417</v>
      </c>
      <c r="O35" s="88">
        <f t="shared" si="33"/>
        <v>142.27303526351923</v>
      </c>
      <c r="P35" s="263">
        <f t="shared" si="34"/>
        <v>0.70287387778562005</v>
      </c>
      <c r="Q35" s="273">
        <f t="shared" si="10"/>
        <v>1.004447628960446E-2</v>
      </c>
      <c r="R35" s="94">
        <f t="shared" si="11"/>
        <v>54.879371747875361</v>
      </c>
      <c r="S35" s="95">
        <f t="shared" si="35"/>
        <v>1.8221782942307731E-2</v>
      </c>
      <c r="T35" s="94">
        <f t="shared" si="12"/>
        <v>193.72418227</v>
      </c>
      <c r="U35" s="123">
        <f t="shared" si="13"/>
        <v>-0.17100000000000093</v>
      </c>
      <c r="V35" s="131">
        <v>1.02</v>
      </c>
      <c r="W35" s="127">
        <v>0.84699999999999998</v>
      </c>
      <c r="X35" s="127">
        <v>7.3999999999999996E-2</v>
      </c>
      <c r="Y35" s="127">
        <v>0</v>
      </c>
      <c r="Z35" s="127">
        <v>5.0999999999999997E-2</v>
      </c>
      <c r="AA35" s="127">
        <v>0</v>
      </c>
      <c r="AB35" s="127">
        <v>5.0000000000000001E-3</v>
      </c>
      <c r="AC35" s="127">
        <v>3.0000000000000001E-3</v>
      </c>
      <c r="AD35" s="127">
        <v>0.97899999999999998</v>
      </c>
      <c r="AE35" s="127">
        <v>2E-3</v>
      </c>
      <c r="AF35" s="127">
        <v>0</v>
      </c>
      <c r="AG35" s="127">
        <v>5</v>
      </c>
      <c r="AH35" s="127">
        <v>0</v>
      </c>
      <c r="AI35" s="127">
        <v>2E-3</v>
      </c>
      <c r="AJ35" s="127">
        <v>0</v>
      </c>
      <c r="AK35" s="127">
        <v>0</v>
      </c>
      <c r="AL35" s="127">
        <v>0</v>
      </c>
      <c r="AM35" s="132">
        <v>0</v>
      </c>
      <c r="AN35" s="124">
        <f t="shared" si="14"/>
        <v>7.9829999999999997</v>
      </c>
      <c r="AO35" s="148">
        <f t="shared" si="36"/>
        <v>0.129</v>
      </c>
      <c r="AP35" s="162">
        <f t="shared" si="15"/>
        <v>12.777151446824503</v>
      </c>
      <c r="AQ35" s="83">
        <f t="shared" si="16"/>
        <v>10.610046348490542</v>
      </c>
      <c r="AR35" s="83">
        <f t="shared" si="17"/>
        <v>0.92696981084805208</v>
      </c>
      <c r="AS35" s="83">
        <f t="shared" si="18"/>
        <v>0</v>
      </c>
      <c r="AT35" s="83">
        <f t="shared" si="37"/>
        <v>0.63885757234122509</v>
      </c>
      <c r="AU35" s="83">
        <f t="shared" si="38"/>
        <v>0</v>
      </c>
      <c r="AV35" s="83">
        <f t="shared" si="39"/>
        <v>6.2633095327571095E-2</v>
      </c>
      <c r="AW35" s="83">
        <f t="shared" si="40"/>
        <v>3.7579857196542658E-2</v>
      </c>
      <c r="AX35" s="83">
        <f t="shared" si="41"/>
        <v>12.263560065138419</v>
      </c>
      <c r="AY35" s="83">
        <f t="shared" si="42"/>
        <v>2.5053238131028437E-2</v>
      </c>
      <c r="AZ35" s="83">
        <f t="shared" si="43"/>
        <v>0</v>
      </c>
      <c r="BA35" s="83">
        <f t="shared" si="44"/>
        <v>62.633095327571084</v>
      </c>
      <c r="BB35" s="83">
        <f t="shared" si="45"/>
        <v>0</v>
      </c>
      <c r="BC35" s="83">
        <f t="shared" si="46"/>
        <v>2.5053238131028437E-2</v>
      </c>
      <c r="BD35" s="83">
        <f t="shared" si="47"/>
        <v>0</v>
      </c>
      <c r="BE35" s="83">
        <f t="shared" si="47"/>
        <v>0</v>
      </c>
      <c r="BF35" s="83">
        <f t="shared" si="48"/>
        <v>0</v>
      </c>
      <c r="BG35" s="83">
        <f t="shared" si="20"/>
        <v>0</v>
      </c>
      <c r="BH35" s="175">
        <f t="shared" si="49"/>
        <v>100</v>
      </c>
      <c r="BI35" s="212">
        <f t="shared" si="50"/>
        <v>34.949460339215364</v>
      </c>
      <c r="BJ35" s="85">
        <f t="shared" si="51"/>
        <v>29.021757752270013</v>
      </c>
      <c r="BK35" s="85">
        <f t="shared" si="52"/>
        <v>1.2677745417166355</v>
      </c>
      <c r="BL35" s="85">
        <f t="shared" si="53"/>
        <v>0</v>
      </c>
      <c r="BM35" s="85">
        <f t="shared" si="54"/>
        <v>0.87373650848038398</v>
      </c>
      <c r="BN35" s="85">
        <f t="shared" si="55"/>
        <v>0</v>
      </c>
      <c r="BO35" s="85">
        <f t="shared" si="56"/>
        <v>0.17132088401576159</v>
      </c>
      <c r="BP35" s="85">
        <f t="shared" si="57"/>
        <v>0.10279253040945695</v>
      </c>
      <c r="BQ35" s="85">
        <f t="shared" si="58"/>
        <v>33.544629090286115</v>
      </c>
      <c r="BR35" s="85">
        <f t="shared" si="59"/>
        <v>3.4264176803152316E-2</v>
      </c>
      <c r="BS35" s="85">
        <f t="shared" si="60"/>
        <v>0</v>
      </c>
      <c r="BT35" s="216">
        <f t="shared" si="61"/>
        <v>0</v>
      </c>
      <c r="BU35" s="216">
        <f t="shared" si="98"/>
        <v>3.4264176803152316E-2</v>
      </c>
      <c r="BV35" s="216">
        <f t="shared" si="99"/>
        <v>0</v>
      </c>
      <c r="BW35" s="216">
        <f t="shared" si="100"/>
        <v>0</v>
      </c>
      <c r="BX35" s="216">
        <f t="shared" si="101"/>
        <v>0</v>
      </c>
      <c r="BY35" s="213">
        <f t="shared" si="102"/>
        <v>0</v>
      </c>
      <c r="BZ35" s="193">
        <f t="shared" si="62"/>
        <v>100.00000000000003</v>
      </c>
      <c r="CA35" s="201">
        <f t="shared" si="63"/>
        <v>14.787627266932224</v>
      </c>
      <c r="CB35" s="108">
        <f t="shared" si="64"/>
        <v>20.928388250204794</v>
      </c>
      <c r="CC35" s="108">
        <f t="shared" si="65"/>
        <v>1.0306580916249386</v>
      </c>
      <c r="CD35" s="108">
        <f t="shared" si="66"/>
        <v>0</v>
      </c>
      <c r="CE35" s="108">
        <f t="shared" si="67"/>
        <v>1.4701804217867402</v>
      </c>
      <c r="CF35" s="108">
        <f t="shared" si="68"/>
        <v>0</v>
      </c>
      <c r="CG35" s="108">
        <f t="shared" si="69"/>
        <v>0.14179450741836391</v>
      </c>
      <c r="CH35" s="108">
        <f t="shared" si="70"/>
        <v>3.7638563831115253E-2</v>
      </c>
      <c r="CI35" s="108">
        <f t="shared" si="71"/>
        <v>20.253724413875673</v>
      </c>
      <c r="CJ35" s="108">
        <f t="shared" si="72"/>
        <v>2.3734538177539833E-2</v>
      </c>
      <c r="CK35" s="108">
        <f t="shared" si="73"/>
        <v>0</v>
      </c>
      <c r="CL35" s="108">
        <f t="shared" si="74"/>
        <v>41.29427677155217</v>
      </c>
      <c r="CM35" s="108">
        <f t="shared" si="75"/>
        <v>0</v>
      </c>
      <c r="CN35" s="108">
        <f t="shared" si="76"/>
        <v>3.197717459643816E-2</v>
      </c>
      <c r="CO35" s="108">
        <f t="shared" si="77"/>
        <v>0</v>
      </c>
      <c r="CP35" s="108">
        <f t="shared" si="77"/>
        <v>0</v>
      </c>
      <c r="CQ35" s="108">
        <f t="shared" si="78"/>
        <v>0</v>
      </c>
      <c r="CR35" s="108">
        <f t="shared" si="79"/>
        <v>0</v>
      </c>
      <c r="CS35" s="109">
        <f t="shared" si="80"/>
        <v>99.999999999999986</v>
      </c>
      <c r="CT35" s="110">
        <f t="shared" si="24"/>
        <v>31.860670622716018</v>
      </c>
      <c r="CU35" s="110">
        <f t="shared" si="25"/>
        <v>35.167216234447082</v>
      </c>
      <c r="CV35" s="110">
        <f t="shared" si="26"/>
        <v>1.9612399816651287</v>
      </c>
      <c r="CW35" s="110">
        <f t="shared" si="27"/>
        <v>0</v>
      </c>
      <c r="CX35" s="110">
        <f t="shared" si="81"/>
        <v>2.116931187737229</v>
      </c>
      <c r="CY35" s="110">
        <f t="shared" si="82"/>
        <v>0</v>
      </c>
      <c r="CZ35" s="110">
        <f t="shared" si="83"/>
        <v>0.18439082706977958</v>
      </c>
      <c r="DA35" s="110">
        <f t="shared" si="84"/>
        <v>6.2858997473559247E-2</v>
      </c>
      <c r="DB35" s="110">
        <f t="shared" si="85"/>
        <v>28.540678709027397</v>
      </c>
      <c r="DC35" s="110">
        <f t="shared" si="86"/>
        <v>3.2220915771593833E-2</v>
      </c>
      <c r="DD35" s="110">
        <f t="shared" si="87"/>
        <v>0</v>
      </c>
      <c r="DE35" s="110">
        <f t="shared" si="88"/>
        <v>0</v>
      </c>
      <c r="DF35" s="110">
        <f t="shared" si="89"/>
        <v>0</v>
      </c>
      <c r="DG35" s="110">
        <f t="shared" si="90"/>
        <v>7.3792524092204811E-2</v>
      </c>
      <c r="DH35" s="110">
        <f t="shared" si="91"/>
        <v>0</v>
      </c>
      <c r="DI35" s="110">
        <f t="shared" si="91"/>
        <v>0</v>
      </c>
      <c r="DJ35" s="110">
        <f t="shared" si="92"/>
        <v>0</v>
      </c>
      <c r="DK35" s="110">
        <f t="shared" si="93"/>
        <v>0</v>
      </c>
      <c r="DL35" s="111">
        <f t="shared" si="94"/>
        <v>99.999999999999957</v>
      </c>
    </row>
    <row r="36" spans="1:116" s="8" customFormat="1" ht="17" thickBot="1">
      <c r="A36" s="246" t="s">
        <v>92</v>
      </c>
      <c r="B36" s="247">
        <v>4.3999999999999997E-2</v>
      </c>
      <c r="C36" s="312">
        <v>4.71</v>
      </c>
      <c r="D36" s="248">
        <v>0.02</v>
      </c>
      <c r="E36" s="248">
        <v>0.01</v>
      </c>
      <c r="F36" s="249">
        <v>0.01</v>
      </c>
      <c r="G36" s="218" t="s">
        <v>15</v>
      </c>
      <c r="H36" s="119">
        <f>B36*C36/SUMPRODUCT(C$15:C$63,B$15:B$63)*100</f>
        <v>7.6970139752949029E-2</v>
      </c>
      <c r="I36" s="20">
        <f t="shared" si="7"/>
        <v>6.0198774588046962E-2</v>
      </c>
      <c r="J36" s="137">
        <f t="shared" si="30"/>
        <v>2.0000000000000003E-6</v>
      </c>
      <c r="K36" s="22">
        <f t="shared" si="8"/>
        <v>9.4200000000000013E-6</v>
      </c>
      <c r="L36" s="77">
        <f t="shared" si="31"/>
        <v>0.48106337345593148</v>
      </c>
      <c r="M36" s="88">
        <f>IF(K36&gt;0,L36/K36,0)</f>
        <v>51068.2986683579</v>
      </c>
      <c r="N36" s="88">
        <f t="shared" si="9"/>
        <v>116064315.15535888</v>
      </c>
      <c r="O36" s="88">
        <f t="shared" si="33"/>
        <v>225.98296101334256</v>
      </c>
      <c r="P36" s="263">
        <f t="shared" si="34"/>
        <v>0.44251123868624664</v>
      </c>
      <c r="Q36" s="273">
        <f t="shared" si="10"/>
        <v>3.4060151883930989E-4</v>
      </c>
      <c r="R36" s="94">
        <f t="shared" si="11"/>
        <v>38.918704883227171</v>
      </c>
      <c r="S36" s="95">
        <f t="shared" si="35"/>
        <v>2.5694585752543141E-2</v>
      </c>
      <c r="T36" s="94">
        <f t="shared" si="12"/>
        <v>183.30709999999999</v>
      </c>
      <c r="U36" s="123">
        <f t="shared" si="13"/>
        <v>0</v>
      </c>
      <c r="V36" s="131">
        <v>1</v>
      </c>
      <c r="W36" s="127">
        <v>0</v>
      </c>
      <c r="X36" s="127">
        <v>0</v>
      </c>
      <c r="Y36" s="127">
        <v>0</v>
      </c>
      <c r="Z36" s="127">
        <v>0</v>
      </c>
      <c r="AA36" s="127">
        <v>0</v>
      </c>
      <c r="AB36" s="127">
        <v>0</v>
      </c>
      <c r="AC36" s="127">
        <v>0</v>
      </c>
      <c r="AD36" s="127">
        <v>0</v>
      </c>
      <c r="AE36" s="127">
        <v>0</v>
      </c>
      <c r="AF36" s="127">
        <v>0</v>
      </c>
      <c r="AG36" s="127">
        <v>4</v>
      </c>
      <c r="AH36" s="127">
        <v>0</v>
      </c>
      <c r="AI36" s="127">
        <v>0</v>
      </c>
      <c r="AJ36" s="127">
        <v>1</v>
      </c>
      <c r="AK36" s="127">
        <v>0</v>
      </c>
      <c r="AL36" s="127">
        <v>0</v>
      </c>
      <c r="AM36" s="132">
        <v>0</v>
      </c>
      <c r="AN36" s="124">
        <f>SUM(V36:AM36)</f>
        <v>6</v>
      </c>
      <c r="AO36" s="148">
        <f t="shared" si="36"/>
        <v>0</v>
      </c>
      <c r="AP36" s="162">
        <f t="shared" si="15"/>
        <v>16.666666666666664</v>
      </c>
      <c r="AQ36" s="83">
        <f t="shared" si="16"/>
        <v>0</v>
      </c>
      <c r="AR36" s="83">
        <f t="shared" si="17"/>
        <v>0</v>
      </c>
      <c r="AS36" s="83">
        <f t="shared" si="18"/>
        <v>0</v>
      </c>
      <c r="AT36" s="83">
        <f t="shared" si="37"/>
        <v>0</v>
      </c>
      <c r="AU36" s="83">
        <f t="shared" si="38"/>
        <v>0</v>
      </c>
      <c r="AV36" s="83">
        <f t="shared" si="39"/>
        <v>0</v>
      </c>
      <c r="AW36" s="83">
        <f t="shared" si="40"/>
        <v>0</v>
      </c>
      <c r="AX36" s="83">
        <f t="shared" si="41"/>
        <v>0</v>
      </c>
      <c r="AY36" s="83">
        <f t="shared" si="42"/>
        <v>0</v>
      </c>
      <c r="AZ36" s="83">
        <f t="shared" si="43"/>
        <v>0</v>
      </c>
      <c r="BA36" s="83">
        <f t="shared" si="44"/>
        <v>66.666666666666657</v>
      </c>
      <c r="BB36" s="83">
        <f t="shared" si="45"/>
        <v>0</v>
      </c>
      <c r="BC36" s="83">
        <f t="shared" si="46"/>
        <v>0</v>
      </c>
      <c r="BD36" s="83">
        <f t="shared" si="47"/>
        <v>16.666666666666664</v>
      </c>
      <c r="BE36" s="83">
        <f t="shared" si="47"/>
        <v>0</v>
      </c>
      <c r="BF36" s="83">
        <f t="shared" si="48"/>
        <v>0</v>
      </c>
      <c r="BG36" s="83">
        <f>AM36/$AN36*100</f>
        <v>0</v>
      </c>
      <c r="BH36" s="175">
        <f>SUM(AP36:BG36)</f>
        <v>99.999999999999972</v>
      </c>
      <c r="BI36" s="212">
        <f t="shared" si="50"/>
        <v>50</v>
      </c>
      <c r="BJ36" s="85">
        <f t="shared" si="51"/>
        <v>0</v>
      </c>
      <c r="BK36" s="85">
        <f t="shared" si="52"/>
        <v>0</v>
      </c>
      <c r="BL36" s="85">
        <f t="shared" si="53"/>
        <v>0</v>
      </c>
      <c r="BM36" s="85">
        <f t="shared" si="54"/>
        <v>0</v>
      </c>
      <c r="BN36" s="85">
        <f t="shared" si="55"/>
        <v>0</v>
      </c>
      <c r="BO36" s="85">
        <f t="shared" si="56"/>
        <v>0</v>
      </c>
      <c r="BP36" s="85">
        <f t="shared" si="57"/>
        <v>0</v>
      </c>
      <c r="BQ36" s="85">
        <f t="shared" si="58"/>
        <v>0</v>
      </c>
      <c r="BR36" s="85">
        <f t="shared" si="59"/>
        <v>0</v>
      </c>
      <c r="BS36" s="85">
        <f t="shared" si="60"/>
        <v>0</v>
      </c>
      <c r="BT36" s="216">
        <f t="shared" si="61"/>
        <v>0</v>
      </c>
      <c r="BU36" s="216">
        <f t="shared" si="98"/>
        <v>0</v>
      </c>
      <c r="BV36" s="216">
        <f t="shared" si="99"/>
        <v>50</v>
      </c>
      <c r="BW36" s="216">
        <f t="shared" si="100"/>
        <v>0</v>
      </c>
      <c r="BX36" s="216">
        <f t="shared" si="101"/>
        <v>0</v>
      </c>
      <c r="BY36" s="213">
        <f t="shared" si="102"/>
        <v>0</v>
      </c>
      <c r="BZ36" s="193">
        <f t="shared" si="62"/>
        <v>100</v>
      </c>
      <c r="CA36" s="201">
        <f t="shared" si="63"/>
        <v>15.321556011742043</v>
      </c>
      <c r="CB36" s="108">
        <f t="shared" si="64"/>
        <v>0</v>
      </c>
      <c r="CC36" s="108">
        <f t="shared" si="65"/>
        <v>0</v>
      </c>
      <c r="CD36" s="108">
        <f t="shared" si="66"/>
        <v>0</v>
      </c>
      <c r="CE36" s="108">
        <f t="shared" si="67"/>
        <v>0</v>
      </c>
      <c r="CF36" s="108">
        <f t="shared" si="68"/>
        <v>0</v>
      </c>
      <c r="CG36" s="108">
        <f t="shared" si="69"/>
        <v>0</v>
      </c>
      <c r="CH36" s="108">
        <f t="shared" si="70"/>
        <v>0</v>
      </c>
      <c r="CI36" s="108">
        <f t="shared" si="71"/>
        <v>0</v>
      </c>
      <c r="CJ36" s="108">
        <f t="shared" si="72"/>
        <v>0</v>
      </c>
      <c r="CK36" s="108">
        <f t="shared" si="73"/>
        <v>0</v>
      </c>
      <c r="CL36" s="108">
        <f t="shared" si="74"/>
        <v>34.91277751925594</v>
      </c>
      <c r="CM36" s="108">
        <f t="shared" si="75"/>
        <v>0</v>
      </c>
      <c r="CN36" s="108">
        <f t="shared" si="76"/>
        <v>0</v>
      </c>
      <c r="CO36" s="108">
        <f t="shared" si="77"/>
        <v>49.765666469002021</v>
      </c>
      <c r="CP36" s="108">
        <f t="shared" si="77"/>
        <v>0</v>
      </c>
      <c r="CQ36" s="108">
        <f t="shared" si="78"/>
        <v>0</v>
      </c>
      <c r="CR36" s="108">
        <f t="shared" si="79"/>
        <v>0</v>
      </c>
      <c r="CS36" s="109">
        <f>SUM(CA36:CR36)</f>
        <v>100</v>
      </c>
      <c r="CT36" s="110">
        <f t="shared" si="24"/>
        <v>32.777944771370016</v>
      </c>
      <c r="CU36" s="110">
        <f t="shared" si="25"/>
        <v>0</v>
      </c>
      <c r="CV36" s="110">
        <f t="shared" si="26"/>
        <v>0</v>
      </c>
      <c r="CW36" s="110">
        <f t="shared" si="27"/>
        <v>0</v>
      </c>
      <c r="CX36" s="110">
        <f t="shared" si="81"/>
        <v>0</v>
      </c>
      <c r="CY36" s="110">
        <f t="shared" si="82"/>
        <v>0</v>
      </c>
      <c r="CZ36" s="110">
        <f t="shared" si="83"/>
        <v>0</v>
      </c>
      <c r="DA36" s="110">
        <f t="shared" si="84"/>
        <v>0</v>
      </c>
      <c r="DB36" s="110">
        <f t="shared" si="85"/>
        <v>0</v>
      </c>
      <c r="DC36" s="110">
        <f t="shared" si="86"/>
        <v>0</v>
      </c>
      <c r="DD36" s="110">
        <f t="shared" si="87"/>
        <v>0</v>
      </c>
      <c r="DE36" s="110">
        <f t="shared" si="88"/>
        <v>0</v>
      </c>
      <c r="DF36" s="110">
        <f t="shared" si="89"/>
        <v>0</v>
      </c>
      <c r="DG36" s="110">
        <f t="shared" si="90"/>
        <v>0</v>
      </c>
      <c r="DH36" s="110">
        <f t="shared" si="91"/>
        <v>67.222055228629998</v>
      </c>
      <c r="DI36" s="110">
        <f t="shared" si="91"/>
        <v>0</v>
      </c>
      <c r="DJ36" s="110">
        <f t="shared" si="92"/>
        <v>0</v>
      </c>
      <c r="DK36" s="110">
        <f t="shared" si="93"/>
        <v>0</v>
      </c>
      <c r="DL36" s="111">
        <f>SUM(CT36:DK36)</f>
        <v>100.00000000000001</v>
      </c>
    </row>
    <row r="37" spans="1:116" s="8" customFormat="1" ht="17" thickBot="1">
      <c r="A37" s="246" t="s">
        <v>3</v>
      </c>
      <c r="B37" s="247">
        <v>0.52</v>
      </c>
      <c r="C37" s="292">
        <v>3.16</v>
      </c>
      <c r="D37" s="248">
        <v>0.05</v>
      </c>
      <c r="E37" s="248">
        <v>0.02</v>
      </c>
      <c r="F37" s="249">
        <v>0.02</v>
      </c>
      <c r="G37" s="218" t="s">
        <v>15</v>
      </c>
      <c r="H37" s="119">
        <f t="shared" si="29"/>
        <v>0.61029402452251436</v>
      </c>
      <c r="I37" s="20">
        <f t="shared" si="7"/>
        <v>0.17687471926710946</v>
      </c>
      <c r="J37" s="137">
        <f t="shared" si="30"/>
        <v>2.0000000000000002E-5</v>
      </c>
      <c r="K37" s="22">
        <f t="shared" si="8"/>
        <v>6.3200000000000005E-5</v>
      </c>
      <c r="L37" s="77">
        <f t="shared" si="31"/>
        <v>3.8143376532657145</v>
      </c>
      <c r="M37" s="88">
        <f t="shared" si="32"/>
        <v>60353.443880786617</v>
      </c>
      <c r="N37" s="88">
        <f t="shared" si="9"/>
        <v>11606431.515535889</v>
      </c>
      <c r="O37" s="88">
        <f t="shared" si="33"/>
        <v>245.66937920869711</v>
      </c>
      <c r="P37" s="263">
        <f t="shared" si="34"/>
        <v>0.40705113645868585</v>
      </c>
      <c r="Q37" s="273">
        <f t="shared" si="10"/>
        <v>2.4842087625583458E-3</v>
      </c>
      <c r="R37" s="94">
        <f t="shared" si="11"/>
        <v>156.54202014240508</v>
      </c>
      <c r="S37" s="95">
        <f t="shared" si="35"/>
        <v>6.388061167795763E-3</v>
      </c>
      <c r="T37" s="94">
        <f t="shared" si="12"/>
        <v>494.67278365000004</v>
      </c>
      <c r="U37" s="123">
        <f t="shared" si="13"/>
        <v>1.0510000000000002</v>
      </c>
      <c r="V37" s="131">
        <v>1.2999999999999999E-2</v>
      </c>
      <c r="W37" s="127">
        <v>0</v>
      </c>
      <c r="X37" s="127">
        <v>0</v>
      </c>
      <c r="Y37" s="127">
        <v>0</v>
      </c>
      <c r="Z37" s="127">
        <v>3.0000000000000001E-3</v>
      </c>
      <c r="AA37" s="127">
        <v>0</v>
      </c>
      <c r="AB37" s="127">
        <v>3.0000000000000001E-3</v>
      </c>
      <c r="AC37" s="127">
        <v>1E-3</v>
      </c>
      <c r="AD37" s="127">
        <v>4.9909999999999997</v>
      </c>
      <c r="AE37" s="127">
        <v>0</v>
      </c>
      <c r="AF37" s="127">
        <v>0</v>
      </c>
      <c r="AG37" s="127">
        <v>12.5</v>
      </c>
      <c r="AH37" s="127">
        <v>1</v>
      </c>
      <c r="AI37" s="127">
        <v>3</v>
      </c>
      <c r="AJ37" s="127">
        <v>0</v>
      </c>
      <c r="AK37" s="127">
        <v>0</v>
      </c>
      <c r="AL37" s="127">
        <v>0</v>
      </c>
      <c r="AM37" s="132">
        <v>0</v>
      </c>
      <c r="AN37" s="124">
        <f t="shared" si="14"/>
        <v>21.510999999999999</v>
      </c>
      <c r="AO37" s="148">
        <f t="shared" si="36"/>
        <v>4.0030000000000001</v>
      </c>
      <c r="AP37" s="162">
        <f t="shared" si="15"/>
        <v>6.0434196457626328E-2</v>
      </c>
      <c r="AQ37" s="83">
        <f t="shared" si="16"/>
        <v>0</v>
      </c>
      <c r="AR37" s="83">
        <f t="shared" si="17"/>
        <v>0</v>
      </c>
      <c r="AS37" s="83">
        <f t="shared" si="18"/>
        <v>0</v>
      </c>
      <c r="AT37" s="83">
        <f t="shared" si="37"/>
        <v>1.3946353028683E-2</v>
      </c>
      <c r="AU37" s="83">
        <f t="shared" si="38"/>
        <v>0</v>
      </c>
      <c r="AV37" s="83">
        <f t="shared" si="39"/>
        <v>1.3946353028683E-2</v>
      </c>
      <c r="AW37" s="83">
        <f t="shared" si="40"/>
        <v>4.648784342894334E-3</v>
      </c>
      <c r="AX37" s="83">
        <f t="shared" si="41"/>
        <v>23.202082655385617</v>
      </c>
      <c r="AY37" s="83">
        <f t="shared" si="42"/>
        <v>0</v>
      </c>
      <c r="AZ37" s="83">
        <f t="shared" si="43"/>
        <v>0</v>
      </c>
      <c r="BA37" s="83">
        <f t="shared" si="44"/>
        <v>58.10980428617917</v>
      </c>
      <c r="BB37" s="83">
        <f t="shared" si="45"/>
        <v>4.6487843428943334</v>
      </c>
      <c r="BC37" s="83">
        <f t="shared" si="46"/>
        <v>13.946353028683001</v>
      </c>
      <c r="BD37" s="83">
        <f t="shared" si="47"/>
        <v>0</v>
      </c>
      <c r="BE37" s="83">
        <f t="shared" si="47"/>
        <v>0</v>
      </c>
      <c r="BF37" s="83">
        <f t="shared" si="48"/>
        <v>0</v>
      </c>
      <c r="BG37" s="83">
        <f t="shared" si="20"/>
        <v>0</v>
      </c>
      <c r="BH37" s="175">
        <f t="shared" si="49"/>
        <v>100.00000000000001</v>
      </c>
      <c r="BI37" s="212">
        <f t="shared" si="50"/>
        <v>0.18546258648976391</v>
      </c>
      <c r="BJ37" s="85">
        <f t="shared" si="51"/>
        <v>0</v>
      </c>
      <c r="BK37" s="85">
        <f t="shared" si="52"/>
        <v>0</v>
      </c>
      <c r="BL37" s="85">
        <f t="shared" si="53"/>
        <v>0</v>
      </c>
      <c r="BM37" s="85">
        <f t="shared" si="54"/>
        <v>2.1399529210357374E-2</v>
      </c>
      <c r="BN37" s="85">
        <f t="shared" si="55"/>
        <v>0</v>
      </c>
      <c r="BO37" s="85">
        <f t="shared" si="56"/>
        <v>4.2799058420714749E-2</v>
      </c>
      <c r="BP37" s="85">
        <f t="shared" si="57"/>
        <v>1.4266352806904917E-2</v>
      </c>
      <c r="BQ37" s="85">
        <f t="shared" si="58"/>
        <v>71.203366859262431</v>
      </c>
      <c r="BR37" s="85">
        <f t="shared" si="59"/>
        <v>0</v>
      </c>
      <c r="BS37" s="85">
        <f t="shared" si="60"/>
        <v>0</v>
      </c>
      <c r="BT37" s="216">
        <f t="shared" si="61"/>
        <v>7.1331764034524587</v>
      </c>
      <c r="BU37" s="216">
        <f t="shared" si="98"/>
        <v>21.399529210357375</v>
      </c>
      <c r="BV37" s="216">
        <f t="shared" si="99"/>
        <v>0</v>
      </c>
      <c r="BW37" s="216">
        <f t="shared" si="100"/>
        <v>0</v>
      </c>
      <c r="BX37" s="216">
        <f t="shared" si="101"/>
        <v>0</v>
      </c>
      <c r="BY37" s="213">
        <f t="shared" si="102"/>
        <v>0</v>
      </c>
      <c r="BZ37" s="193">
        <f t="shared" si="62"/>
        <v>100</v>
      </c>
      <c r="CA37" s="201">
        <f t="shared" si="63"/>
        <v>7.3808689717267811E-2</v>
      </c>
      <c r="CB37" s="108">
        <f t="shared" si="64"/>
        <v>0</v>
      </c>
      <c r="CC37" s="108">
        <f t="shared" si="65"/>
        <v>0</v>
      </c>
      <c r="CD37" s="108">
        <f t="shared" si="66"/>
        <v>0</v>
      </c>
      <c r="CE37" s="108">
        <f t="shared" si="67"/>
        <v>3.3867842650210853E-2</v>
      </c>
      <c r="CF37" s="108">
        <f t="shared" si="68"/>
        <v>0</v>
      </c>
      <c r="CG37" s="108">
        <f t="shared" si="69"/>
        <v>3.3317812389818541E-2</v>
      </c>
      <c r="CH37" s="108">
        <f t="shared" si="70"/>
        <v>4.9133489456732911E-3</v>
      </c>
      <c r="CI37" s="108">
        <f t="shared" si="71"/>
        <v>40.436689587824262</v>
      </c>
      <c r="CJ37" s="108">
        <f t="shared" si="72"/>
        <v>0</v>
      </c>
      <c r="CK37" s="108">
        <f t="shared" si="73"/>
        <v>0</v>
      </c>
      <c r="CL37" s="108">
        <f t="shared" si="74"/>
        <v>40.429250731025128</v>
      </c>
      <c r="CM37" s="108">
        <f t="shared" si="75"/>
        <v>0.20375893586924246</v>
      </c>
      <c r="CN37" s="108">
        <f t="shared" si="76"/>
        <v>18.784393051578387</v>
      </c>
      <c r="CO37" s="108">
        <f t="shared" si="77"/>
        <v>0</v>
      </c>
      <c r="CP37" s="108">
        <f t="shared" si="77"/>
        <v>0</v>
      </c>
      <c r="CQ37" s="108">
        <f t="shared" si="78"/>
        <v>0</v>
      </c>
      <c r="CR37" s="108">
        <f t="shared" si="79"/>
        <v>0</v>
      </c>
      <c r="CS37" s="109">
        <f t="shared" si="80"/>
        <v>100</v>
      </c>
      <c r="CT37" s="110">
        <f t="shared" si="24"/>
        <v>0.15526261684573708</v>
      </c>
      <c r="CU37" s="110">
        <f t="shared" si="25"/>
        <v>0</v>
      </c>
      <c r="CV37" s="110">
        <f t="shared" si="26"/>
        <v>0</v>
      </c>
      <c r="CW37" s="110">
        <f t="shared" si="27"/>
        <v>0</v>
      </c>
      <c r="CX37" s="110">
        <f t="shared" si="81"/>
        <v>4.7613118590275727E-2</v>
      </c>
      <c r="CY37" s="110">
        <f t="shared" si="82"/>
        <v>0</v>
      </c>
      <c r="CZ37" s="110">
        <f t="shared" si="83"/>
        <v>4.230185097385724E-2</v>
      </c>
      <c r="DA37" s="110">
        <f t="shared" si="84"/>
        <v>8.0115215230259513E-3</v>
      </c>
      <c r="DB37" s="110">
        <f t="shared" si="85"/>
        <v>55.633704945444642</v>
      </c>
      <c r="DC37" s="110">
        <f t="shared" si="86"/>
        <v>0</v>
      </c>
      <c r="DD37" s="110">
        <f t="shared" si="87"/>
        <v>0</v>
      </c>
      <c r="DE37" s="110">
        <f t="shared" si="88"/>
        <v>0</v>
      </c>
      <c r="DF37" s="110">
        <f t="shared" si="89"/>
        <v>1.7904968621706183</v>
      </c>
      <c r="DG37" s="110">
        <f t="shared" si="90"/>
        <v>42.322609084451855</v>
      </c>
      <c r="DH37" s="110">
        <f t="shared" si="91"/>
        <v>0</v>
      </c>
      <c r="DI37" s="110">
        <f t="shared" si="91"/>
        <v>0</v>
      </c>
      <c r="DJ37" s="110">
        <f t="shared" si="92"/>
        <v>0</v>
      </c>
      <c r="DK37" s="110">
        <f t="shared" si="93"/>
        <v>0</v>
      </c>
      <c r="DL37" s="111">
        <f t="shared" si="94"/>
        <v>100.00000000000001</v>
      </c>
    </row>
    <row r="38" spans="1:116" s="8" customFormat="1" ht="17" thickBot="1">
      <c r="A38" s="246" t="s">
        <v>97</v>
      </c>
      <c r="B38" s="247">
        <v>0</v>
      </c>
      <c r="C38" s="292">
        <v>2.71</v>
      </c>
      <c r="D38" s="248">
        <v>0</v>
      </c>
      <c r="E38" s="248">
        <v>0</v>
      </c>
      <c r="F38" s="249">
        <v>0</v>
      </c>
      <c r="G38" s="218" t="s">
        <v>14</v>
      </c>
      <c r="H38" s="119">
        <f t="shared" si="29"/>
        <v>0</v>
      </c>
      <c r="I38" s="20">
        <f t="shared" si="7"/>
        <v>0</v>
      </c>
      <c r="J38" s="137">
        <f t="shared" si="30"/>
        <v>0</v>
      </c>
      <c r="K38" s="22">
        <f t="shared" si="8"/>
        <v>0</v>
      </c>
      <c r="L38" s="77">
        <f t="shared" si="31"/>
        <v>0</v>
      </c>
      <c r="M38" s="88">
        <f>IF(K38&gt;0,L38/K38,0)</f>
        <v>0</v>
      </c>
      <c r="N38" s="88">
        <f t="shared" si="9"/>
        <v>0</v>
      </c>
      <c r="O38" s="88">
        <f t="shared" si="33"/>
        <v>0</v>
      </c>
      <c r="P38" s="263">
        <f t="shared" si="34"/>
        <v>0</v>
      </c>
      <c r="Q38" s="263">
        <f t="shared" si="10"/>
        <v>0</v>
      </c>
      <c r="R38" s="94">
        <f t="shared" si="11"/>
        <v>36.932435424354246</v>
      </c>
      <c r="S38" s="95">
        <f t="shared" si="35"/>
        <v>2.7076470547094573E-2</v>
      </c>
      <c r="T38" s="94">
        <f t="shared" si="12"/>
        <v>100.0869</v>
      </c>
      <c r="U38" s="123">
        <f t="shared" si="13"/>
        <v>0</v>
      </c>
      <c r="V38" s="131">
        <v>0</v>
      </c>
      <c r="W38" s="127">
        <v>0</v>
      </c>
      <c r="X38" s="127">
        <v>0</v>
      </c>
      <c r="Y38" s="127">
        <v>0</v>
      </c>
      <c r="Z38" s="127">
        <v>0</v>
      </c>
      <c r="AA38" s="127">
        <v>0</v>
      </c>
      <c r="AB38" s="127">
        <v>0</v>
      </c>
      <c r="AC38" s="127">
        <v>0</v>
      </c>
      <c r="AD38" s="127">
        <v>1</v>
      </c>
      <c r="AE38" s="127">
        <v>0</v>
      </c>
      <c r="AF38" s="127">
        <v>0</v>
      </c>
      <c r="AG38" s="127">
        <v>3</v>
      </c>
      <c r="AH38" s="127">
        <v>0</v>
      </c>
      <c r="AI38" s="127">
        <v>0</v>
      </c>
      <c r="AJ38" s="127">
        <v>0</v>
      </c>
      <c r="AK38" s="127">
        <v>0</v>
      </c>
      <c r="AL38" s="127">
        <v>1</v>
      </c>
      <c r="AM38" s="132">
        <v>0</v>
      </c>
      <c r="AN38" s="124">
        <f>SUM(V38:AM38)</f>
        <v>5</v>
      </c>
      <c r="AO38" s="148">
        <f t="shared" si="36"/>
        <v>0</v>
      </c>
      <c r="AP38" s="162">
        <f t="shared" si="15"/>
        <v>0</v>
      </c>
      <c r="AQ38" s="83">
        <f t="shared" si="16"/>
        <v>0</v>
      </c>
      <c r="AR38" s="83">
        <f>X38/$AN38*100</f>
        <v>0</v>
      </c>
      <c r="AS38" s="83">
        <f>Y38/$AN38*100</f>
        <v>0</v>
      </c>
      <c r="AT38" s="83">
        <f t="shared" si="37"/>
        <v>0</v>
      </c>
      <c r="AU38" s="83">
        <f t="shared" si="38"/>
        <v>0</v>
      </c>
      <c r="AV38" s="83">
        <f t="shared" si="39"/>
        <v>0</v>
      </c>
      <c r="AW38" s="83">
        <f t="shared" si="40"/>
        <v>0</v>
      </c>
      <c r="AX38" s="83">
        <f t="shared" si="41"/>
        <v>20</v>
      </c>
      <c r="AY38" s="83">
        <f t="shared" si="42"/>
        <v>0</v>
      </c>
      <c r="AZ38" s="83">
        <f t="shared" si="43"/>
        <v>0</v>
      </c>
      <c r="BA38" s="83">
        <f t="shared" si="44"/>
        <v>60</v>
      </c>
      <c r="BB38" s="83">
        <f t="shared" si="45"/>
        <v>0</v>
      </c>
      <c r="BC38" s="83">
        <f>AI38/$AN38*100</f>
        <v>0</v>
      </c>
      <c r="BD38" s="83">
        <f>AJ38/$AN38*100</f>
        <v>0</v>
      </c>
      <c r="BE38" s="83">
        <f>AK38/$AN38*100</f>
        <v>0</v>
      </c>
      <c r="BF38" s="83">
        <f t="shared" si="48"/>
        <v>20</v>
      </c>
      <c r="BG38" s="83">
        <f>AM38/$AN38*100</f>
        <v>0</v>
      </c>
      <c r="BH38" s="175">
        <f>SUM(AP38:BG38)</f>
        <v>100</v>
      </c>
      <c r="BI38" s="212">
        <f t="shared" si="50"/>
        <v>0</v>
      </c>
      <c r="BJ38" s="85">
        <f t="shared" si="51"/>
        <v>0</v>
      </c>
      <c r="BK38" s="85">
        <f t="shared" si="52"/>
        <v>0</v>
      </c>
      <c r="BL38" s="85">
        <f t="shared" si="53"/>
        <v>0</v>
      </c>
      <c r="BM38" s="85">
        <f t="shared" si="54"/>
        <v>0</v>
      </c>
      <c r="BN38" s="85">
        <f t="shared" si="55"/>
        <v>0</v>
      </c>
      <c r="BO38" s="85">
        <f t="shared" si="56"/>
        <v>0</v>
      </c>
      <c r="BP38" s="85">
        <f t="shared" si="57"/>
        <v>0</v>
      </c>
      <c r="BQ38" s="85">
        <f t="shared" si="58"/>
        <v>50</v>
      </c>
      <c r="BR38" s="85">
        <f t="shared" si="59"/>
        <v>0</v>
      </c>
      <c r="BS38" s="85">
        <f t="shared" si="60"/>
        <v>0</v>
      </c>
      <c r="BT38" s="216">
        <f t="shared" si="61"/>
        <v>0</v>
      </c>
      <c r="BU38" s="216">
        <f t="shared" si="98"/>
        <v>0</v>
      </c>
      <c r="BV38" s="216">
        <f t="shared" si="99"/>
        <v>0</v>
      </c>
      <c r="BW38" s="216">
        <f t="shared" si="100"/>
        <v>0</v>
      </c>
      <c r="BX38" s="216">
        <f t="shared" si="101"/>
        <v>50</v>
      </c>
      <c r="BY38" s="213">
        <f t="shared" si="102"/>
        <v>0</v>
      </c>
      <c r="BZ38" s="193">
        <f>SUM(BI38:BY38)</f>
        <v>100</v>
      </c>
      <c r="CA38" s="201">
        <f t="shared" si="63"/>
        <v>0</v>
      </c>
      <c r="CB38" s="108">
        <f t="shared" si="64"/>
        <v>0</v>
      </c>
      <c r="CC38" s="108">
        <f>(X38*CC$12)/SUMPRODUCT($CA$12:$CR$12,$V38:$AM38)*100</f>
        <v>0</v>
      </c>
      <c r="CD38" s="108">
        <f>(Y38*CD$12)/SUMPRODUCT($CA$12:$CR$12,$V38:$AM38)*100</f>
        <v>0</v>
      </c>
      <c r="CE38" s="108">
        <f t="shared" si="67"/>
        <v>0</v>
      </c>
      <c r="CF38" s="108">
        <f t="shared" si="68"/>
        <v>0</v>
      </c>
      <c r="CG38" s="108">
        <f t="shared" si="69"/>
        <v>0</v>
      </c>
      <c r="CH38" s="108">
        <f t="shared" si="70"/>
        <v>0</v>
      </c>
      <c r="CI38" s="108">
        <f t="shared" si="71"/>
        <v>40.043202457064815</v>
      </c>
      <c r="CJ38" s="108">
        <f t="shared" si="72"/>
        <v>0</v>
      </c>
      <c r="CK38" s="108">
        <f t="shared" si="73"/>
        <v>0</v>
      </c>
      <c r="CL38" s="108">
        <f t="shared" si="74"/>
        <v>47.956525779097959</v>
      </c>
      <c r="CM38" s="108">
        <f t="shared" si="75"/>
        <v>0</v>
      </c>
      <c r="CN38" s="108">
        <f>(AI38*CN$12)/SUMPRODUCT($CA$12:$CR$12,$V38:$AM38)*100</f>
        <v>0</v>
      </c>
      <c r="CO38" s="108">
        <f>(AJ38*CO$12)/SUMPRODUCT($CA$12:$CR$12,$V38:$AM38)*100</f>
        <v>0</v>
      </c>
      <c r="CP38" s="108">
        <f>(AK38*CP$12)/SUMPRODUCT($CA$12:$CR$12,$V38:$AM38)*100</f>
        <v>0</v>
      </c>
      <c r="CQ38" s="108">
        <f t="shared" si="78"/>
        <v>12.000271763837226</v>
      </c>
      <c r="CR38" s="108">
        <f t="shared" si="79"/>
        <v>0</v>
      </c>
      <c r="CS38" s="109">
        <f>SUM(CA38:CR38)</f>
        <v>100</v>
      </c>
      <c r="CT38" s="110">
        <f t="shared" si="24"/>
        <v>0</v>
      </c>
      <c r="CU38" s="110">
        <f t="shared" si="25"/>
        <v>0</v>
      </c>
      <c r="CV38" s="110">
        <f t="shared" si="26"/>
        <v>0</v>
      </c>
      <c r="CW38" s="110">
        <f>(Y38*CW$12)/SUMPRODUCT($CT$12:$DK$12,$V38:$AM38)*100</f>
        <v>0</v>
      </c>
      <c r="CX38" s="110">
        <f t="shared" si="81"/>
        <v>0</v>
      </c>
      <c r="CY38" s="110">
        <f t="shared" si="82"/>
        <v>0</v>
      </c>
      <c r="CZ38" s="110">
        <f t="shared" si="83"/>
        <v>0</v>
      </c>
      <c r="DA38" s="110">
        <f t="shared" si="84"/>
        <v>0</v>
      </c>
      <c r="DB38" s="110">
        <f t="shared" si="85"/>
        <v>56.028711050097456</v>
      </c>
      <c r="DC38" s="110">
        <f t="shared" si="86"/>
        <v>0</v>
      </c>
      <c r="DD38" s="110">
        <f t="shared" si="87"/>
        <v>0</v>
      </c>
      <c r="DE38" s="110">
        <f t="shared" si="88"/>
        <v>0</v>
      </c>
      <c r="DF38" s="110">
        <f t="shared" si="89"/>
        <v>0</v>
      </c>
      <c r="DG38" s="110">
        <f>(AI38*DG$12)/SUMPRODUCT($CT$12:$DK$12,$V38:$AM38)*100</f>
        <v>0</v>
      </c>
      <c r="DH38" s="110">
        <f>(AJ38*DH$12)/SUMPRODUCT($CT$12:$DK$12,$V38:$AM38)*100</f>
        <v>0</v>
      </c>
      <c r="DI38" s="110">
        <f>(AK38*DI$12)/SUMPRODUCT($CT$12:$DK$12,$V38:$AM38)*100</f>
        <v>0</v>
      </c>
      <c r="DJ38" s="110">
        <f t="shared" si="92"/>
        <v>43.971288949902537</v>
      </c>
      <c r="DK38" s="110">
        <f t="shared" si="93"/>
        <v>0</v>
      </c>
      <c r="DL38" s="111">
        <f>SUM(CT38:DK38)</f>
        <v>100</v>
      </c>
    </row>
    <row r="39" spans="1:116" s="8" customFormat="1" ht="17" thickBot="1">
      <c r="A39" s="250" t="s">
        <v>90</v>
      </c>
      <c r="B39" s="248">
        <v>0</v>
      </c>
      <c r="C39" s="292">
        <v>4.6900000000000004</v>
      </c>
      <c r="D39" s="248">
        <v>0</v>
      </c>
      <c r="E39" s="248">
        <v>0</v>
      </c>
      <c r="F39" s="249">
        <v>0</v>
      </c>
      <c r="G39" s="218" t="s">
        <v>14</v>
      </c>
      <c r="H39" s="119">
        <f t="shared" si="29"/>
        <v>0</v>
      </c>
      <c r="I39" s="20">
        <f t="shared" si="7"/>
        <v>0</v>
      </c>
      <c r="J39" s="137">
        <f t="shared" si="30"/>
        <v>0</v>
      </c>
      <c r="K39" s="22">
        <f t="shared" si="8"/>
        <v>0</v>
      </c>
      <c r="L39" s="77">
        <f t="shared" si="31"/>
        <v>0</v>
      </c>
      <c r="M39" s="88">
        <f>IF(K39&gt;0,L39/K39,0)</f>
        <v>0</v>
      </c>
      <c r="N39" s="88">
        <f t="shared" si="9"/>
        <v>0</v>
      </c>
      <c r="O39" s="88">
        <f t="shared" si="33"/>
        <v>0</v>
      </c>
      <c r="P39" s="263">
        <f t="shared" si="34"/>
        <v>0</v>
      </c>
      <c r="Q39" s="263">
        <f t="shared" si="10"/>
        <v>0</v>
      </c>
      <c r="R39" s="94">
        <f t="shared" si="11"/>
        <v>41.188059701492534</v>
      </c>
      <c r="S39" s="95">
        <f t="shared" si="35"/>
        <v>2.4278880997245979E-2</v>
      </c>
      <c r="T39" s="94">
        <f t="shared" si="12"/>
        <v>193.172</v>
      </c>
      <c r="U39" s="123">
        <f t="shared" si="13"/>
        <v>4</v>
      </c>
      <c r="V39" s="131">
        <v>0</v>
      </c>
      <c r="W39" s="127">
        <v>0</v>
      </c>
      <c r="X39" s="127">
        <v>0</v>
      </c>
      <c r="Y39" s="127">
        <v>0</v>
      </c>
      <c r="Z39" s="127">
        <v>0</v>
      </c>
      <c r="AA39" s="127">
        <v>1</v>
      </c>
      <c r="AB39" s="127">
        <v>0</v>
      </c>
      <c r="AC39" s="127">
        <v>0</v>
      </c>
      <c r="AD39" s="127">
        <v>0</v>
      </c>
      <c r="AE39" s="127">
        <v>0</v>
      </c>
      <c r="AF39" s="127">
        <v>0</v>
      </c>
      <c r="AG39" s="127">
        <v>0</v>
      </c>
      <c r="AH39" s="127">
        <v>0</v>
      </c>
      <c r="AI39" s="127">
        <v>0</v>
      </c>
      <c r="AJ39" s="127">
        <v>0</v>
      </c>
      <c r="AK39" s="127">
        <v>0</v>
      </c>
      <c r="AL39" s="127">
        <v>0</v>
      </c>
      <c r="AM39" s="132">
        <v>1</v>
      </c>
      <c r="AN39" s="124">
        <f>SUM(V39:AM39)</f>
        <v>2</v>
      </c>
      <c r="AO39" s="148">
        <f t="shared" si="36"/>
        <v>0</v>
      </c>
      <c r="AP39" s="162">
        <f t="shared" si="15"/>
        <v>0</v>
      </c>
      <c r="AQ39" s="83">
        <f t="shared" si="16"/>
        <v>0</v>
      </c>
      <c r="AR39" s="83">
        <f t="shared" si="17"/>
        <v>0</v>
      </c>
      <c r="AS39" s="83">
        <f t="shared" si="18"/>
        <v>0</v>
      </c>
      <c r="AT39" s="83">
        <f t="shared" si="37"/>
        <v>0</v>
      </c>
      <c r="AU39" s="83">
        <f t="shared" si="38"/>
        <v>50</v>
      </c>
      <c r="AV39" s="83">
        <f t="shared" si="39"/>
        <v>0</v>
      </c>
      <c r="AW39" s="83">
        <f t="shared" si="40"/>
        <v>0</v>
      </c>
      <c r="AX39" s="83">
        <f t="shared" si="41"/>
        <v>0</v>
      </c>
      <c r="AY39" s="83">
        <f t="shared" si="42"/>
        <v>0</v>
      </c>
      <c r="AZ39" s="83">
        <f t="shared" si="43"/>
        <v>0</v>
      </c>
      <c r="BA39" s="83">
        <f t="shared" si="44"/>
        <v>0</v>
      </c>
      <c r="BB39" s="83">
        <f t="shared" si="45"/>
        <v>0</v>
      </c>
      <c r="BC39" s="83">
        <f t="shared" si="46"/>
        <v>0</v>
      </c>
      <c r="BD39" s="83">
        <f t="shared" si="47"/>
        <v>0</v>
      </c>
      <c r="BE39" s="83">
        <f t="shared" si="47"/>
        <v>0</v>
      </c>
      <c r="BF39" s="83">
        <f t="shared" si="48"/>
        <v>0</v>
      </c>
      <c r="BG39" s="83">
        <f>AM39/$AN39*100</f>
        <v>50</v>
      </c>
      <c r="BH39" s="175">
        <f>SUM(AP39:BG39)</f>
        <v>100</v>
      </c>
      <c r="BI39" s="212">
        <f t="shared" si="50"/>
        <v>0</v>
      </c>
      <c r="BJ39" s="85">
        <f t="shared" si="51"/>
        <v>0</v>
      </c>
      <c r="BK39" s="85">
        <f t="shared" si="52"/>
        <v>0</v>
      </c>
      <c r="BL39" s="85">
        <f t="shared" si="53"/>
        <v>0</v>
      </c>
      <c r="BM39" s="85">
        <f t="shared" si="54"/>
        <v>0</v>
      </c>
      <c r="BN39" s="85">
        <f t="shared" si="55"/>
        <v>50</v>
      </c>
      <c r="BO39" s="85">
        <f t="shared" si="56"/>
        <v>0</v>
      </c>
      <c r="BP39" s="85">
        <f t="shared" si="57"/>
        <v>0</v>
      </c>
      <c r="BQ39" s="85">
        <f t="shared" si="58"/>
        <v>0</v>
      </c>
      <c r="BR39" s="85">
        <f t="shared" si="59"/>
        <v>0</v>
      </c>
      <c r="BS39" s="85">
        <f t="shared" si="60"/>
        <v>0</v>
      </c>
      <c r="BT39" s="216">
        <f t="shared" si="61"/>
        <v>0</v>
      </c>
      <c r="BU39" s="216">
        <f t="shared" si="98"/>
        <v>0</v>
      </c>
      <c r="BV39" s="216">
        <f t="shared" si="99"/>
        <v>0</v>
      </c>
      <c r="BW39" s="216">
        <f t="shared" si="100"/>
        <v>0</v>
      </c>
      <c r="BX39" s="216">
        <f t="shared" si="101"/>
        <v>0</v>
      </c>
      <c r="BY39" s="213">
        <f t="shared" si="102"/>
        <v>50</v>
      </c>
      <c r="BZ39" s="193">
        <f t="shared" si="62"/>
        <v>100</v>
      </c>
      <c r="CA39" s="201">
        <f t="shared" si="63"/>
        <v>0</v>
      </c>
      <c r="CB39" s="108">
        <f t="shared" si="64"/>
        <v>0</v>
      </c>
      <c r="CC39" s="108">
        <f t="shared" si="65"/>
        <v>0</v>
      </c>
      <c r="CD39" s="108">
        <f t="shared" si="66"/>
        <v>0</v>
      </c>
      <c r="CE39" s="108">
        <f t="shared" si="67"/>
        <v>0</v>
      </c>
      <c r="CF39" s="108">
        <f t="shared" si="68"/>
        <v>28.909469281262297</v>
      </c>
      <c r="CG39" s="108">
        <f t="shared" si="69"/>
        <v>0</v>
      </c>
      <c r="CH39" s="108">
        <f t="shared" si="70"/>
        <v>0</v>
      </c>
      <c r="CI39" s="108">
        <f t="shared" si="71"/>
        <v>0</v>
      </c>
      <c r="CJ39" s="108">
        <f t="shared" si="72"/>
        <v>0</v>
      </c>
      <c r="CK39" s="108">
        <f t="shared" si="73"/>
        <v>0</v>
      </c>
      <c r="CL39" s="108">
        <f t="shared" si="74"/>
        <v>0</v>
      </c>
      <c r="CM39" s="108">
        <f t="shared" si="75"/>
        <v>0</v>
      </c>
      <c r="CN39" s="108">
        <f t="shared" si="76"/>
        <v>0</v>
      </c>
      <c r="CO39" s="108">
        <f t="shared" si="77"/>
        <v>0</v>
      </c>
      <c r="CP39" s="108">
        <f t="shared" si="77"/>
        <v>0</v>
      </c>
      <c r="CQ39" s="108">
        <f t="shared" si="78"/>
        <v>0</v>
      </c>
      <c r="CR39" s="108">
        <f t="shared" si="79"/>
        <v>71.09053071873771</v>
      </c>
      <c r="CS39" s="109">
        <f>SUM(CA39:CR39)</f>
        <v>100</v>
      </c>
      <c r="CT39" s="110">
        <f t="shared" si="24"/>
        <v>0</v>
      </c>
      <c r="CU39" s="110">
        <f t="shared" si="25"/>
        <v>0</v>
      </c>
      <c r="CV39" s="110">
        <f t="shared" si="26"/>
        <v>0</v>
      </c>
      <c r="CW39" s="110">
        <f t="shared" si="27"/>
        <v>0</v>
      </c>
      <c r="CX39" s="110">
        <f t="shared" si="81"/>
        <v>0</v>
      </c>
      <c r="CY39" s="110">
        <f t="shared" si="82"/>
        <v>31.906552922153047</v>
      </c>
      <c r="CZ39" s="110">
        <f t="shared" si="83"/>
        <v>0</v>
      </c>
      <c r="DA39" s="110">
        <f t="shared" si="84"/>
        <v>0</v>
      </c>
      <c r="DB39" s="110">
        <f t="shared" si="85"/>
        <v>0</v>
      </c>
      <c r="DC39" s="110">
        <f t="shared" si="86"/>
        <v>0</v>
      </c>
      <c r="DD39" s="110">
        <f t="shared" si="87"/>
        <v>0</v>
      </c>
      <c r="DE39" s="110">
        <f t="shared" si="88"/>
        <v>0</v>
      </c>
      <c r="DF39" s="110">
        <f t="shared" si="89"/>
        <v>0</v>
      </c>
      <c r="DG39" s="110">
        <f t="shared" si="90"/>
        <v>0</v>
      </c>
      <c r="DH39" s="110">
        <f t="shared" si="91"/>
        <v>0</v>
      </c>
      <c r="DI39" s="110">
        <f t="shared" si="91"/>
        <v>0</v>
      </c>
      <c r="DJ39" s="110">
        <f t="shared" si="92"/>
        <v>0</v>
      </c>
      <c r="DK39" s="110">
        <f t="shared" si="93"/>
        <v>68.09344707784696</v>
      </c>
      <c r="DL39" s="111">
        <f>SUM(CT39:DK39)</f>
        <v>100</v>
      </c>
    </row>
    <row r="40" spans="1:116" s="8" customFormat="1" ht="17" thickBot="1">
      <c r="A40" s="251" t="s">
        <v>56</v>
      </c>
      <c r="B40" s="248">
        <v>0</v>
      </c>
      <c r="C40" s="292">
        <v>5.01</v>
      </c>
      <c r="D40" s="248">
        <v>0</v>
      </c>
      <c r="E40" s="248">
        <v>0</v>
      </c>
      <c r="F40" s="249">
        <v>0</v>
      </c>
      <c r="G40" s="218" t="s">
        <v>14</v>
      </c>
      <c r="H40" s="119">
        <f t="shared" si="29"/>
        <v>0</v>
      </c>
      <c r="I40" s="20">
        <f t="shared" si="7"/>
        <v>0</v>
      </c>
      <c r="J40" s="137">
        <f t="shared" si="30"/>
        <v>0</v>
      </c>
      <c r="K40" s="22">
        <f t="shared" si="8"/>
        <v>0</v>
      </c>
      <c r="L40" s="77">
        <f t="shared" si="31"/>
        <v>0</v>
      </c>
      <c r="M40" s="88">
        <f t="shared" si="32"/>
        <v>0</v>
      </c>
      <c r="N40" s="88">
        <f t="shared" si="9"/>
        <v>0</v>
      </c>
      <c r="O40" s="88">
        <f t="shared" si="33"/>
        <v>0</v>
      </c>
      <c r="P40" s="263">
        <f t="shared" si="34"/>
        <v>0</v>
      </c>
      <c r="Q40" s="263">
        <f t="shared" si="10"/>
        <v>0</v>
      </c>
      <c r="R40" s="94">
        <f t="shared" si="11"/>
        <v>65.967864271457088</v>
      </c>
      <c r="S40" s="95">
        <f t="shared" si="35"/>
        <v>1.5158896093482884E-2</v>
      </c>
      <c r="T40" s="94">
        <f t="shared" si="12"/>
        <v>330.49900000000002</v>
      </c>
      <c r="U40" s="123">
        <f t="shared" si="13"/>
        <v>6</v>
      </c>
      <c r="V40" s="133">
        <v>0</v>
      </c>
      <c r="W40" s="134">
        <v>0</v>
      </c>
      <c r="X40" s="134">
        <v>0</v>
      </c>
      <c r="Y40" s="134">
        <v>0</v>
      </c>
      <c r="Z40" s="134">
        <v>0</v>
      </c>
      <c r="AA40" s="134">
        <v>1</v>
      </c>
      <c r="AB40" s="134">
        <v>0</v>
      </c>
      <c r="AC40" s="134">
        <v>0</v>
      </c>
      <c r="AD40" s="134">
        <v>0</v>
      </c>
      <c r="AE40" s="134">
        <v>0</v>
      </c>
      <c r="AF40" s="134">
        <v>0</v>
      </c>
      <c r="AG40" s="134">
        <v>0</v>
      </c>
      <c r="AH40" s="134">
        <v>0</v>
      </c>
      <c r="AI40" s="134">
        <v>0</v>
      </c>
      <c r="AJ40" s="134">
        <v>0</v>
      </c>
      <c r="AK40" s="134">
        <v>0</v>
      </c>
      <c r="AL40" s="134">
        <v>0</v>
      </c>
      <c r="AM40" s="135">
        <v>2</v>
      </c>
      <c r="AN40" s="124">
        <f t="shared" si="14"/>
        <v>3</v>
      </c>
      <c r="AO40" s="148">
        <f t="shared" si="36"/>
        <v>0</v>
      </c>
      <c r="AP40" s="162">
        <f t="shared" si="15"/>
        <v>0</v>
      </c>
      <c r="AQ40" s="83">
        <f t="shared" si="16"/>
        <v>0</v>
      </c>
      <c r="AR40" s="83">
        <f>X40/$AN40*100</f>
        <v>0</v>
      </c>
      <c r="AS40" s="83">
        <f>Y40/$AN40*100</f>
        <v>0</v>
      </c>
      <c r="AT40" s="83">
        <f t="shared" si="37"/>
        <v>0</v>
      </c>
      <c r="AU40" s="83">
        <f t="shared" si="38"/>
        <v>33.333333333333329</v>
      </c>
      <c r="AV40" s="83">
        <f t="shared" si="39"/>
        <v>0</v>
      </c>
      <c r="AW40" s="83">
        <f t="shared" si="40"/>
        <v>0</v>
      </c>
      <c r="AX40" s="83">
        <f t="shared" si="41"/>
        <v>0</v>
      </c>
      <c r="AY40" s="83">
        <f t="shared" si="42"/>
        <v>0</v>
      </c>
      <c r="AZ40" s="83">
        <f t="shared" si="43"/>
        <v>0</v>
      </c>
      <c r="BA40" s="83">
        <f t="shared" si="44"/>
        <v>0</v>
      </c>
      <c r="BB40" s="83">
        <f t="shared" si="45"/>
        <v>0</v>
      </c>
      <c r="BC40" s="83">
        <f t="shared" si="46"/>
        <v>0</v>
      </c>
      <c r="BD40" s="83">
        <f t="shared" si="47"/>
        <v>0</v>
      </c>
      <c r="BE40" s="83">
        <f t="shared" si="47"/>
        <v>0</v>
      </c>
      <c r="BF40" s="83">
        <f t="shared" si="48"/>
        <v>0</v>
      </c>
      <c r="BG40" s="83">
        <f t="shared" si="20"/>
        <v>66.666666666666657</v>
      </c>
      <c r="BH40" s="175">
        <f t="shared" si="49"/>
        <v>99.999999999999986</v>
      </c>
      <c r="BI40" s="212">
        <f t="shared" si="50"/>
        <v>0</v>
      </c>
      <c r="BJ40" s="85">
        <f t="shared" si="51"/>
        <v>0</v>
      </c>
      <c r="BK40" s="85">
        <f t="shared" si="52"/>
        <v>0</v>
      </c>
      <c r="BL40" s="85">
        <f t="shared" si="53"/>
        <v>0</v>
      </c>
      <c r="BM40" s="85">
        <f t="shared" si="54"/>
        <v>0</v>
      </c>
      <c r="BN40" s="85">
        <f t="shared" si="55"/>
        <v>33.333333333333329</v>
      </c>
      <c r="BO40" s="85">
        <f t="shared" si="56"/>
        <v>0</v>
      </c>
      <c r="BP40" s="85">
        <f t="shared" si="57"/>
        <v>0</v>
      </c>
      <c r="BQ40" s="85">
        <f t="shared" si="58"/>
        <v>0</v>
      </c>
      <c r="BR40" s="85">
        <f t="shared" si="59"/>
        <v>0</v>
      </c>
      <c r="BS40" s="85">
        <f t="shared" si="60"/>
        <v>0</v>
      </c>
      <c r="BT40" s="216">
        <f t="shared" si="61"/>
        <v>0</v>
      </c>
      <c r="BU40" s="216">
        <f t="shared" si="98"/>
        <v>0</v>
      </c>
      <c r="BV40" s="216">
        <f t="shared" si="99"/>
        <v>0</v>
      </c>
      <c r="BW40" s="216">
        <f t="shared" si="100"/>
        <v>0</v>
      </c>
      <c r="BX40" s="216">
        <f t="shared" si="101"/>
        <v>0</v>
      </c>
      <c r="BY40" s="213">
        <f t="shared" si="102"/>
        <v>66.666666666666657</v>
      </c>
      <c r="BZ40" s="193">
        <f t="shared" si="62"/>
        <v>99.999999999999986</v>
      </c>
      <c r="CA40" s="201">
        <f t="shared" si="63"/>
        <v>0</v>
      </c>
      <c r="CB40" s="108">
        <f t="shared" si="64"/>
        <v>0</v>
      </c>
      <c r="CC40" s="108">
        <f t="shared" si="65"/>
        <v>0</v>
      </c>
      <c r="CD40" s="108">
        <f t="shared" si="66"/>
        <v>0</v>
      </c>
      <c r="CE40" s="108">
        <f t="shared" si="67"/>
        <v>0</v>
      </c>
      <c r="CF40" s="108">
        <f t="shared" si="68"/>
        <v>16.897176693424186</v>
      </c>
      <c r="CG40" s="108">
        <f t="shared" si="69"/>
        <v>0</v>
      </c>
      <c r="CH40" s="108">
        <f t="shared" si="70"/>
        <v>0</v>
      </c>
      <c r="CI40" s="108">
        <f t="shared" si="71"/>
        <v>0</v>
      </c>
      <c r="CJ40" s="108">
        <f t="shared" si="72"/>
        <v>0</v>
      </c>
      <c r="CK40" s="108">
        <f t="shared" si="73"/>
        <v>0</v>
      </c>
      <c r="CL40" s="108">
        <f t="shared" si="74"/>
        <v>0</v>
      </c>
      <c r="CM40" s="108">
        <f t="shared" si="75"/>
        <v>0</v>
      </c>
      <c r="CN40" s="108">
        <f t="shared" si="76"/>
        <v>0</v>
      </c>
      <c r="CO40" s="108">
        <f t="shared" si="77"/>
        <v>0</v>
      </c>
      <c r="CP40" s="108">
        <f t="shared" si="77"/>
        <v>0</v>
      </c>
      <c r="CQ40" s="108">
        <f t="shared" si="78"/>
        <v>0</v>
      </c>
      <c r="CR40" s="108">
        <f t="shared" si="79"/>
        <v>83.102823306575814</v>
      </c>
      <c r="CS40" s="109">
        <f t="shared" si="80"/>
        <v>100</v>
      </c>
      <c r="CT40" s="110">
        <f t="shared" si="24"/>
        <v>0</v>
      </c>
      <c r="CU40" s="110">
        <f t="shared" si="25"/>
        <v>0</v>
      </c>
      <c r="CV40" s="110">
        <f t="shared" si="26"/>
        <v>0</v>
      </c>
      <c r="CW40" s="110">
        <f t="shared" si="27"/>
        <v>0</v>
      </c>
      <c r="CX40" s="110">
        <f t="shared" si="81"/>
        <v>0</v>
      </c>
      <c r="CY40" s="110">
        <f t="shared" si="82"/>
        <v>18.981437692438167</v>
      </c>
      <c r="CZ40" s="110">
        <f t="shared" si="83"/>
        <v>0</v>
      </c>
      <c r="DA40" s="110">
        <f t="shared" si="84"/>
        <v>0</v>
      </c>
      <c r="DB40" s="110">
        <f t="shared" si="85"/>
        <v>0</v>
      </c>
      <c r="DC40" s="110">
        <f t="shared" si="86"/>
        <v>0</v>
      </c>
      <c r="DD40" s="110">
        <f t="shared" si="87"/>
        <v>0</v>
      </c>
      <c r="DE40" s="110">
        <f t="shared" si="88"/>
        <v>0</v>
      </c>
      <c r="DF40" s="110">
        <f t="shared" si="89"/>
        <v>0</v>
      </c>
      <c r="DG40" s="110">
        <f t="shared" si="90"/>
        <v>0</v>
      </c>
      <c r="DH40" s="110">
        <f t="shared" si="91"/>
        <v>0</v>
      </c>
      <c r="DI40" s="110">
        <f t="shared" si="91"/>
        <v>0</v>
      </c>
      <c r="DJ40" s="110">
        <f t="shared" si="92"/>
        <v>0</v>
      </c>
      <c r="DK40" s="110">
        <f t="shared" si="93"/>
        <v>81.018562307561822</v>
      </c>
      <c r="DL40" s="111">
        <f t="shared" si="94"/>
        <v>99.999999999999986</v>
      </c>
    </row>
    <row r="41" spans="1:116" s="8" customFormat="1">
      <c r="A41" s="208"/>
      <c r="B41" s="121"/>
      <c r="C41" s="122"/>
      <c r="D41" s="122"/>
      <c r="E41" s="122"/>
      <c r="F41" s="122"/>
      <c r="G41" s="122"/>
      <c r="H41" s="20"/>
      <c r="I41" s="20"/>
      <c r="J41" s="20"/>
      <c r="K41" s="21"/>
      <c r="L41" s="21"/>
      <c r="M41" s="21"/>
      <c r="N41" s="21"/>
      <c r="O41" s="88"/>
      <c r="P41" s="15"/>
      <c r="Q41" s="15"/>
      <c r="R41" s="94"/>
      <c r="S41" s="94"/>
      <c r="T41" s="94"/>
      <c r="U41" s="94"/>
      <c r="V41" s="126"/>
      <c r="W41" s="126"/>
      <c r="X41" s="126"/>
      <c r="Y41" s="126"/>
      <c r="Z41" s="126"/>
      <c r="AA41" s="126"/>
      <c r="AB41" s="126"/>
      <c r="AC41" s="126"/>
      <c r="AD41" s="126"/>
      <c r="AE41" s="126"/>
      <c r="AF41" s="126"/>
      <c r="AG41" s="126"/>
      <c r="AH41" s="126"/>
      <c r="AI41" s="126"/>
      <c r="AJ41" s="126"/>
      <c r="AK41" s="126"/>
      <c r="AL41" s="126"/>
      <c r="AM41" s="126"/>
      <c r="AN41" s="79"/>
      <c r="AO41" s="148"/>
      <c r="AP41" s="162"/>
      <c r="AQ41" s="83"/>
      <c r="AR41" s="83"/>
      <c r="AS41" s="83"/>
      <c r="AT41" s="83"/>
      <c r="AU41" s="83"/>
      <c r="AV41" s="83"/>
      <c r="AW41" s="83"/>
      <c r="AX41" s="83"/>
      <c r="AY41" s="83"/>
      <c r="AZ41" s="83"/>
      <c r="BA41" s="83"/>
      <c r="BB41" s="83"/>
      <c r="BC41" s="83"/>
      <c r="BD41" s="83"/>
      <c r="BE41" s="83"/>
      <c r="BF41" s="83"/>
      <c r="BG41" s="83"/>
      <c r="BH41" s="175"/>
      <c r="BI41" s="185"/>
      <c r="BJ41" s="215"/>
      <c r="BK41" s="215"/>
      <c r="BL41" s="215"/>
      <c r="BM41" s="215"/>
      <c r="BN41" s="215"/>
      <c r="BO41" s="215"/>
      <c r="BP41" s="215"/>
      <c r="BQ41" s="215"/>
      <c r="BR41" s="215"/>
      <c r="BS41" s="215"/>
      <c r="BT41" s="215"/>
      <c r="BU41" s="215"/>
      <c r="BV41" s="215"/>
      <c r="BW41" s="215"/>
      <c r="BX41" s="215"/>
      <c r="BY41" s="85"/>
      <c r="BZ41" s="193"/>
      <c r="CA41" s="202"/>
      <c r="CB41" s="34"/>
      <c r="CC41" s="34"/>
      <c r="CD41" s="34"/>
      <c r="CE41" s="34"/>
      <c r="CF41" s="34"/>
      <c r="CG41" s="34"/>
      <c r="CH41" s="34"/>
      <c r="CI41" s="34"/>
      <c r="CJ41" s="34"/>
      <c r="CK41" s="34"/>
      <c r="CL41" s="34"/>
      <c r="CM41" s="34"/>
      <c r="CN41" s="34"/>
      <c r="CO41" s="34"/>
      <c r="CP41" s="34"/>
      <c r="CQ41" s="34"/>
      <c r="CR41" s="34"/>
      <c r="CS41" s="31"/>
      <c r="CT41" s="84"/>
      <c r="CU41" s="84"/>
      <c r="CV41" s="84"/>
      <c r="CW41" s="84"/>
      <c r="CX41" s="84"/>
      <c r="CY41" s="84"/>
      <c r="CZ41" s="84"/>
      <c r="DA41" s="84"/>
      <c r="DB41" s="84"/>
      <c r="DC41" s="84"/>
      <c r="DD41" s="84"/>
      <c r="DE41" s="84"/>
      <c r="DF41" s="84"/>
      <c r="DG41" s="84"/>
      <c r="DH41" s="84"/>
      <c r="DI41" s="84"/>
      <c r="DJ41" s="84"/>
      <c r="DK41" s="84"/>
      <c r="DL41" s="82"/>
    </row>
    <row r="42" spans="1:116" s="8" customFormat="1">
      <c r="A42" s="291" t="s">
        <v>139</v>
      </c>
      <c r="B42" s="14"/>
      <c r="C42" s="15"/>
      <c r="D42" s="15"/>
      <c r="E42" s="15"/>
      <c r="F42" s="15"/>
      <c r="G42" s="15"/>
      <c r="H42" s="20"/>
      <c r="I42" s="20"/>
      <c r="J42" s="20"/>
      <c r="K42" s="21"/>
      <c r="L42" s="77">
        <f>SUM(L15:L40)</f>
        <v>625.00000000000011</v>
      </c>
      <c r="M42" s="21"/>
      <c r="N42" s="21"/>
      <c r="O42" s="21"/>
      <c r="P42" s="15"/>
      <c r="Q42" s="15"/>
      <c r="R42" s="94"/>
      <c r="S42" s="94"/>
      <c r="T42" s="94"/>
      <c r="U42" s="94"/>
      <c r="V42" s="97"/>
      <c r="W42" s="97"/>
      <c r="X42" s="97"/>
      <c r="Y42" s="97"/>
      <c r="Z42" s="97"/>
      <c r="AA42" s="97"/>
      <c r="AB42" s="97"/>
      <c r="AC42" s="97"/>
      <c r="AD42" s="97"/>
      <c r="AE42" s="97"/>
      <c r="AF42" s="97"/>
      <c r="AG42" s="97"/>
      <c r="AH42" s="97"/>
      <c r="AI42" s="97"/>
      <c r="AJ42" s="97"/>
      <c r="AK42" s="97"/>
      <c r="AL42" s="97"/>
      <c r="AM42" s="97"/>
      <c r="AN42" s="79"/>
      <c r="AO42" s="148"/>
      <c r="AP42" s="162"/>
      <c r="AQ42" s="83"/>
      <c r="AR42" s="83"/>
      <c r="AS42" s="83"/>
      <c r="AT42" s="83"/>
      <c r="AU42" s="83"/>
      <c r="AV42" s="83"/>
      <c r="AW42" s="83"/>
      <c r="AX42" s="83"/>
      <c r="AY42" s="83"/>
      <c r="AZ42" s="83"/>
      <c r="BA42" s="83"/>
      <c r="BB42" s="83"/>
      <c r="BC42" s="83"/>
      <c r="BD42" s="83"/>
      <c r="BE42" s="83"/>
      <c r="BF42" s="83"/>
      <c r="BG42" s="83"/>
      <c r="BH42" s="175"/>
      <c r="BI42" s="185"/>
      <c r="BJ42" s="85"/>
      <c r="BK42" s="85"/>
      <c r="BL42" s="85"/>
      <c r="BM42" s="85"/>
      <c r="BN42" s="85"/>
      <c r="BO42" s="85"/>
      <c r="BP42" s="85"/>
      <c r="BQ42" s="85"/>
      <c r="BR42" s="85"/>
      <c r="BS42" s="85"/>
      <c r="BT42" s="85"/>
      <c r="BU42" s="85"/>
      <c r="BV42" s="85"/>
      <c r="BW42" s="85"/>
      <c r="BX42" s="85"/>
      <c r="BY42" s="85"/>
      <c r="BZ42" s="193"/>
      <c r="CA42" s="202"/>
      <c r="CB42" s="34"/>
      <c r="CC42" s="34"/>
      <c r="CD42" s="34"/>
      <c r="CE42" s="34"/>
      <c r="CF42" s="34"/>
      <c r="CG42" s="34"/>
      <c r="CH42" s="34"/>
      <c r="CI42" s="34"/>
      <c r="CJ42" s="34"/>
      <c r="CK42" s="34"/>
      <c r="CL42" s="34"/>
      <c r="CM42" s="34"/>
      <c r="CN42" s="34"/>
      <c r="CO42" s="34"/>
      <c r="CP42" s="34"/>
      <c r="CQ42" s="34"/>
      <c r="CR42" s="34"/>
      <c r="CS42" s="31"/>
      <c r="CT42" s="84"/>
      <c r="CU42" s="84"/>
      <c r="CV42" s="84"/>
      <c r="CW42" s="84"/>
      <c r="CX42" s="84"/>
      <c r="CY42" s="84"/>
      <c r="CZ42" s="84"/>
      <c r="DA42" s="84"/>
      <c r="DB42" s="84"/>
      <c r="DC42" s="84"/>
      <c r="DD42" s="84"/>
      <c r="DE42" s="84"/>
      <c r="DF42" s="84"/>
      <c r="DG42" s="84"/>
      <c r="DH42" s="84"/>
      <c r="DI42" s="84"/>
      <c r="DJ42" s="84"/>
      <c r="DK42" s="84"/>
      <c r="DL42" s="82"/>
    </row>
    <row r="43" spans="1:116" s="8" customFormat="1">
      <c r="A43" s="205"/>
      <c r="B43" s="14"/>
      <c r="C43" s="14"/>
      <c r="D43" s="15"/>
      <c r="E43" s="15"/>
      <c r="F43" s="15"/>
      <c r="G43" s="15"/>
      <c r="H43" s="20"/>
      <c r="I43" s="20"/>
      <c r="J43" s="20"/>
      <c r="K43" s="21"/>
      <c r="L43" s="21"/>
      <c r="M43" s="21"/>
      <c r="N43" s="21"/>
      <c r="O43" s="21"/>
      <c r="P43" s="15"/>
      <c r="Q43" s="15"/>
      <c r="R43" s="94"/>
      <c r="S43" s="94"/>
      <c r="T43" s="94"/>
      <c r="U43" s="94"/>
      <c r="V43" s="97"/>
      <c r="W43" s="97"/>
      <c r="X43" s="97"/>
      <c r="Y43" s="97"/>
      <c r="Z43" s="97"/>
      <c r="AA43" s="97"/>
      <c r="AB43" s="97"/>
      <c r="AC43" s="97"/>
      <c r="AD43" s="97"/>
      <c r="AE43" s="97"/>
      <c r="AF43" s="97"/>
      <c r="AG43" s="97"/>
      <c r="AH43" s="97"/>
      <c r="AI43" s="97"/>
      <c r="AJ43" s="97"/>
      <c r="AK43" s="97"/>
      <c r="AL43" s="97"/>
      <c r="AM43" s="97"/>
      <c r="AN43" s="79"/>
      <c r="AO43" s="148"/>
      <c r="AP43" s="162"/>
      <c r="AQ43" s="83"/>
      <c r="AR43" s="83"/>
      <c r="AS43" s="83"/>
      <c r="AT43" s="83"/>
      <c r="AU43" s="83"/>
      <c r="AV43" s="83"/>
      <c r="AW43" s="83"/>
      <c r="AX43" s="83"/>
      <c r="AY43" s="83"/>
      <c r="AZ43" s="83"/>
      <c r="BA43" s="83"/>
      <c r="BB43" s="83"/>
      <c r="BC43" s="83"/>
      <c r="BD43" s="83"/>
      <c r="BE43" s="83"/>
      <c r="BF43" s="83"/>
      <c r="BG43" s="83"/>
      <c r="BH43" s="175"/>
      <c r="BI43" s="185"/>
      <c r="BJ43" s="85"/>
      <c r="BK43" s="85"/>
      <c r="BL43" s="85"/>
      <c r="BM43" s="85"/>
      <c r="BN43" s="85"/>
      <c r="BO43" s="85"/>
      <c r="BP43" s="85"/>
      <c r="BQ43" s="85"/>
      <c r="BR43" s="85"/>
      <c r="BS43" s="85"/>
      <c r="BT43" s="85"/>
      <c r="BU43" s="85"/>
      <c r="BV43" s="85"/>
      <c r="BW43" s="85"/>
      <c r="BX43" s="85"/>
      <c r="BY43" s="85"/>
      <c r="BZ43" s="193"/>
      <c r="CA43" s="202"/>
      <c r="CB43" s="34"/>
      <c r="CC43" s="34"/>
      <c r="CD43" s="34"/>
      <c r="CE43" s="34"/>
      <c r="CF43" s="34"/>
      <c r="CG43" s="34"/>
      <c r="CH43" s="34"/>
      <c r="CI43" s="34"/>
      <c r="CJ43" s="34"/>
      <c r="CK43" s="34"/>
      <c r="CL43" s="34"/>
      <c r="CM43" s="34"/>
      <c r="CN43" s="34"/>
      <c r="CO43" s="34"/>
      <c r="CP43" s="34"/>
      <c r="CQ43" s="34"/>
      <c r="CR43" s="34"/>
      <c r="CS43" s="31"/>
      <c r="CT43" s="84"/>
      <c r="CU43" s="84"/>
      <c r="CV43" s="84"/>
      <c r="CW43" s="84"/>
      <c r="CX43" s="84"/>
      <c r="CY43" s="84"/>
      <c r="CZ43" s="84"/>
      <c r="DA43" s="84"/>
      <c r="DB43" s="84"/>
      <c r="DC43" s="84"/>
      <c r="DD43" s="84"/>
      <c r="DE43" s="84"/>
      <c r="DF43" s="84"/>
      <c r="DG43" s="84"/>
      <c r="DH43" s="84"/>
      <c r="DI43" s="84"/>
      <c r="DJ43" s="84"/>
      <c r="DK43" s="84"/>
      <c r="DL43" s="82"/>
    </row>
    <row r="44" spans="1:116" s="8" customFormat="1">
      <c r="A44" s="205"/>
      <c r="B44" s="14"/>
      <c r="C44" s="14"/>
      <c r="D44" s="15"/>
      <c r="E44" s="15"/>
      <c r="F44" s="15"/>
      <c r="G44" s="15"/>
      <c r="H44" s="20"/>
      <c r="I44" s="20"/>
      <c r="J44" s="20"/>
      <c r="K44" s="21"/>
      <c r="L44" s="21"/>
      <c r="M44" s="21"/>
      <c r="N44" s="21"/>
      <c r="O44" s="21"/>
      <c r="P44" s="15"/>
      <c r="Q44" s="15"/>
      <c r="R44" s="94"/>
      <c r="S44" s="94"/>
      <c r="T44" s="94"/>
      <c r="U44" s="94"/>
      <c r="V44" s="97"/>
      <c r="W44" s="97"/>
      <c r="X44" s="97"/>
      <c r="Y44" s="97"/>
      <c r="Z44" s="97"/>
      <c r="AA44" s="97"/>
      <c r="AB44" s="97"/>
      <c r="AC44" s="97"/>
      <c r="AD44" s="97"/>
      <c r="AE44" s="97"/>
      <c r="AF44" s="97"/>
      <c r="AG44" s="97"/>
      <c r="AH44" s="97"/>
      <c r="AI44" s="97"/>
      <c r="AJ44" s="97"/>
      <c r="AK44" s="97"/>
      <c r="AL44" s="97"/>
      <c r="AM44" s="97"/>
      <c r="AN44" s="79"/>
      <c r="AO44" s="148"/>
      <c r="AP44" s="162"/>
      <c r="AQ44" s="83"/>
      <c r="AR44" s="83"/>
      <c r="AS44" s="83"/>
      <c r="AT44" s="83"/>
      <c r="AU44" s="83"/>
      <c r="AV44" s="83"/>
      <c r="AW44" s="83"/>
      <c r="AX44" s="83"/>
      <c r="AY44" s="83"/>
      <c r="AZ44" s="83"/>
      <c r="BA44" s="83"/>
      <c r="BB44" s="83"/>
      <c r="BC44" s="83"/>
      <c r="BD44" s="83"/>
      <c r="BE44" s="83"/>
      <c r="BF44" s="83"/>
      <c r="BG44" s="83"/>
      <c r="BH44" s="175"/>
      <c r="BI44" s="185"/>
      <c r="BJ44" s="85"/>
      <c r="BK44" s="85"/>
      <c r="BL44" s="85"/>
      <c r="BM44" s="85"/>
      <c r="BN44" s="85"/>
      <c r="BO44" s="85"/>
      <c r="BP44" s="85"/>
      <c r="BQ44" s="85"/>
      <c r="BR44" s="85"/>
      <c r="BS44" s="85"/>
      <c r="BT44" s="85"/>
      <c r="BU44" s="85"/>
      <c r="BV44" s="85"/>
      <c r="BW44" s="85"/>
      <c r="BX44" s="85"/>
      <c r="BY44" s="85"/>
      <c r="BZ44" s="193"/>
      <c r="CA44" s="202"/>
      <c r="CB44" s="34"/>
      <c r="CC44" s="34"/>
      <c r="CD44" s="34"/>
      <c r="CE44" s="34"/>
      <c r="CF44" s="34"/>
      <c r="CG44" s="34"/>
      <c r="CH44" s="34"/>
      <c r="CI44" s="34"/>
      <c r="CJ44" s="34"/>
      <c r="CK44" s="34"/>
      <c r="CL44" s="34"/>
      <c r="CM44" s="34"/>
      <c r="CN44" s="34"/>
      <c r="CO44" s="34"/>
      <c r="CP44" s="34"/>
      <c r="CQ44" s="34"/>
      <c r="CR44" s="34"/>
      <c r="CS44" s="31"/>
      <c r="CT44" s="84"/>
      <c r="CU44" s="84"/>
      <c r="CV44" s="84"/>
      <c r="CW44" s="84"/>
      <c r="CX44" s="84"/>
      <c r="CY44" s="84"/>
      <c r="CZ44" s="84"/>
      <c r="DA44" s="84"/>
      <c r="DB44" s="84"/>
      <c r="DC44" s="84"/>
      <c r="DD44" s="84"/>
      <c r="DE44" s="84"/>
      <c r="DF44" s="84"/>
      <c r="DG44" s="84"/>
      <c r="DH44" s="84"/>
      <c r="DI44" s="84"/>
      <c r="DJ44" s="84"/>
      <c r="DK44" s="84"/>
      <c r="DL44" s="82"/>
    </row>
    <row r="45" spans="1:116">
      <c r="A45" s="205"/>
      <c r="B45" s="14"/>
      <c r="C45" s="15"/>
      <c r="D45" s="15"/>
      <c r="E45" s="11"/>
      <c r="F45" s="11"/>
      <c r="G45" s="11"/>
      <c r="H45" s="20"/>
      <c r="I45" s="20"/>
      <c r="J45" s="20"/>
      <c r="K45" s="21"/>
      <c r="L45" s="21"/>
      <c r="M45" s="21"/>
      <c r="N45" s="21"/>
      <c r="O45" s="21"/>
      <c r="P45" s="15"/>
      <c r="Q45" s="15"/>
      <c r="R45" s="94"/>
      <c r="S45" s="94"/>
      <c r="T45" s="94"/>
      <c r="U45" s="94"/>
      <c r="V45" s="98"/>
      <c r="W45" s="98"/>
      <c r="X45" s="98"/>
      <c r="Y45" s="98"/>
      <c r="Z45" s="98"/>
      <c r="AA45" s="98"/>
      <c r="AB45" s="98"/>
      <c r="AC45" s="98"/>
      <c r="AD45" s="98"/>
      <c r="AE45" s="98"/>
      <c r="AF45" s="98"/>
      <c r="AG45" s="98"/>
      <c r="AH45" s="98"/>
      <c r="AI45" s="98"/>
      <c r="AJ45" s="98"/>
      <c r="AK45" s="98"/>
      <c r="AL45" s="98"/>
      <c r="AM45" s="98"/>
      <c r="AN45" s="7"/>
      <c r="AO45" s="148"/>
      <c r="AP45" s="163"/>
      <c r="AQ45" s="39"/>
      <c r="AR45" s="39"/>
      <c r="AS45" s="39"/>
      <c r="AT45" s="39"/>
      <c r="AU45" s="39"/>
      <c r="AV45" s="39"/>
      <c r="AW45" s="39"/>
      <c r="AX45" s="39"/>
      <c r="AY45" s="39"/>
      <c r="AZ45" s="39"/>
      <c r="BA45" s="39"/>
      <c r="BB45" s="39"/>
      <c r="BC45" s="39"/>
      <c r="BD45" s="39"/>
      <c r="BE45" s="39"/>
      <c r="BF45" s="39"/>
      <c r="BG45" s="39"/>
      <c r="BH45" s="176"/>
      <c r="BI45" s="186"/>
      <c r="BJ45" s="43"/>
      <c r="BK45" s="43"/>
      <c r="BL45" s="43"/>
      <c r="BM45" s="43"/>
      <c r="BN45" s="43"/>
      <c r="BO45" s="43"/>
      <c r="BP45" s="43"/>
      <c r="BQ45" s="43"/>
      <c r="BR45" s="43"/>
      <c r="BS45" s="43"/>
      <c r="BT45" s="43"/>
      <c r="BU45" s="43"/>
      <c r="BV45" s="43"/>
      <c r="BW45" s="43"/>
      <c r="BX45" s="43"/>
      <c r="BY45" s="43"/>
      <c r="BZ45" s="194"/>
      <c r="CA45" s="203"/>
      <c r="CB45" s="74"/>
      <c r="CC45" s="74"/>
      <c r="CD45" s="74"/>
      <c r="CE45" s="74"/>
      <c r="CF45" s="74"/>
      <c r="CG45" s="74"/>
      <c r="CH45" s="74"/>
      <c r="CI45" s="74"/>
      <c r="CJ45" s="74"/>
      <c r="CK45" s="74"/>
      <c r="CL45" s="74"/>
      <c r="CM45" s="74"/>
      <c r="CN45" s="74"/>
      <c r="CO45" s="74"/>
      <c r="CP45" s="74"/>
      <c r="CQ45" s="74"/>
      <c r="CR45" s="74"/>
      <c r="CS45" s="73"/>
      <c r="CT45" s="6"/>
      <c r="CU45" s="6"/>
      <c r="CV45" s="6"/>
      <c r="CW45" s="6"/>
      <c r="CX45" s="6"/>
      <c r="CY45" s="6"/>
      <c r="CZ45" s="6"/>
      <c r="DA45" s="6"/>
      <c r="DB45" s="6"/>
      <c r="DC45" s="6"/>
      <c r="DD45" s="6"/>
      <c r="DE45" s="6"/>
      <c r="DF45" s="6"/>
      <c r="DG45" s="6"/>
      <c r="DH45" s="6"/>
      <c r="DI45" s="6"/>
      <c r="DJ45" s="6"/>
      <c r="DK45" s="6"/>
      <c r="DL45" s="5"/>
    </row>
    <row r="46" spans="1:116">
      <c r="A46" s="206"/>
      <c r="B46" s="56"/>
      <c r="C46"/>
      <c r="D46"/>
      <c r="E46"/>
      <c r="F46" s="11"/>
      <c r="G46" s="11"/>
      <c r="H46" s="23"/>
      <c r="I46" s="23"/>
      <c r="J46" s="23"/>
      <c r="K46" s="21"/>
      <c r="L46" s="21"/>
      <c r="M46" s="21"/>
      <c r="N46" s="21"/>
      <c r="O46" s="21"/>
      <c r="P46" s="15"/>
      <c r="Q46" s="15"/>
      <c r="R46" s="94"/>
      <c r="S46" s="94"/>
      <c r="T46" s="94"/>
      <c r="U46" s="94"/>
      <c r="V46" s="98"/>
      <c r="W46" s="98"/>
      <c r="X46" s="98"/>
      <c r="Y46" s="98"/>
      <c r="Z46" s="98"/>
      <c r="AA46" s="98"/>
      <c r="AB46" s="98"/>
      <c r="AC46" s="98"/>
      <c r="AD46" s="98"/>
      <c r="AE46" s="98"/>
      <c r="AF46" s="98"/>
      <c r="AG46" s="98"/>
      <c r="AH46" s="98"/>
      <c r="AI46" s="98"/>
      <c r="AJ46" s="98"/>
      <c r="AK46" s="98"/>
      <c r="AL46" s="98"/>
      <c r="AM46" s="98"/>
      <c r="AN46" s="7"/>
      <c r="AO46" s="148"/>
      <c r="AP46" s="163"/>
      <c r="AQ46" s="39"/>
      <c r="AR46" s="39"/>
      <c r="AS46" s="39"/>
      <c r="AT46" s="39"/>
      <c r="AU46" s="39"/>
      <c r="AV46" s="39"/>
      <c r="AW46" s="39"/>
      <c r="AX46" s="39"/>
      <c r="AY46" s="39"/>
      <c r="AZ46" s="39"/>
      <c r="BA46" s="39"/>
      <c r="BB46" s="39"/>
      <c r="BC46" s="39"/>
      <c r="BD46" s="39"/>
      <c r="BE46" s="39"/>
      <c r="BF46" s="39"/>
      <c r="BG46" s="39"/>
      <c r="BH46" s="176"/>
      <c r="BI46" s="186"/>
      <c r="BJ46" s="43"/>
      <c r="BK46" s="43"/>
      <c r="BL46" s="43"/>
      <c r="BM46" s="43"/>
      <c r="BN46" s="43"/>
      <c r="BO46" s="43"/>
      <c r="BP46" s="43"/>
      <c r="BQ46" s="43"/>
      <c r="BR46" s="43"/>
      <c r="BS46" s="43"/>
      <c r="BT46" s="43"/>
      <c r="BU46" s="43"/>
      <c r="BV46" s="43"/>
      <c r="BW46" s="43"/>
      <c r="BX46" s="43"/>
      <c r="BY46" s="43"/>
      <c r="BZ46" s="194"/>
      <c r="CA46" s="203"/>
      <c r="CB46" s="74"/>
      <c r="CC46" s="74"/>
      <c r="CD46" s="74"/>
      <c r="CE46" s="74"/>
      <c r="CF46" s="74"/>
      <c r="CG46" s="74"/>
      <c r="CH46" s="74"/>
      <c r="CI46" s="74"/>
      <c r="CJ46" s="74"/>
      <c r="CK46" s="74"/>
      <c r="CL46" s="74"/>
      <c r="CM46" s="74"/>
      <c r="CN46" s="74"/>
      <c r="CO46" s="74"/>
      <c r="CP46" s="74"/>
      <c r="CQ46" s="74"/>
      <c r="CR46" s="74"/>
      <c r="CS46" s="73"/>
      <c r="CT46" s="6"/>
      <c r="CU46" s="6"/>
      <c r="CV46" s="6"/>
      <c r="CW46" s="6"/>
      <c r="CX46" s="6"/>
      <c r="CY46" s="6"/>
      <c r="CZ46" s="6"/>
      <c r="DA46" s="6"/>
      <c r="DB46" s="6"/>
      <c r="DC46" s="6"/>
      <c r="DD46" s="6"/>
      <c r="DE46" s="6"/>
      <c r="DF46" s="6"/>
      <c r="DG46" s="6"/>
      <c r="DH46" s="6"/>
      <c r="DI46" s="6"/>
      <c r="DJ46" s="6"/>
      <c r="DK46" s="6"/>
      <c r="DL46" s="5"/>
    </row>
    <row r="47" spans="1:116">
      <c r="A47" s="206"/>
      <c r="B47" s="56"/>
      <c r="C47"/>
      <c r="D47"/>
      <c r="E47"/>
      <c r="F47" s="11"/>
      <c r="G47" s="11"/>
      <c r="H47" s="23"/>
      <c r="I47" s="23"/>
      <c r="J47" s="23"/>
      <c r="K47" s="21"/>
      <c r="L47" s="21"/>
      <c r="M47" s="21"/>
      <c r="N47" s="21"/>
      <c r="O47" s="21"/>
      <c r="P47" s="15"/>
      <c r="Q47" s="15"/>
      <c r="R47" s="94"/>
      <c r="S47" s="94"/>
      <c r="T47" s="94"/>
      <c r="U47" s="94"/>
      <c r="V47" s="98"/>
      <c r="W47" s="98"/>
      <c r="X47" s="98"/>
      <c r="Y47" s="98"/>
      <c r="Z47" s="98"/>
      <c r="AA47" s="98"/>
      <c r="AB47" s="98"/>
      <c r="AC47" s="98"/>
      <c r="AD47" s="98"/>
      <c r="AE47" s="98"/>
      <c r="AF47" s="98"/>
      <c r="AG47" s="98"/>
      <c r="AH47" s="98"/>
      <c r="AI47" s="98"/>
      <c r="AJ47" s="98"/>
      <c r="AK47" s="98"/>
      <c r="AL47" s="98"/>
      <c r="AM47" s="98"/>
      <c r="AN47" s="7"/>
      <c r="AO47" s="148"/>
      <c r="AP47" s="163"/>
      <c r="AQ47" s="39"/>
      <c r="AR47" s="39"/>
      <c r="AS47" s="39"/>
      <c r="AT47" s="39"/>
      <c r="AU47" s="39"/>
      <c r="AV47" s="39"/>
      <c r="AW47" s="39"/>
      <c r="AX47" s="39"/>
      <c r="AY47" s="39"/>
      <c r="AZ47" s="39"/>
      <c r="BA47" s="39"/>
      <c r="BB47" s="39"/>
      <c r="BC47" s="39"/>
      <c r="BD47" s="39"/>
      <c r="BE47" s="39"/>
      <c r="BF47" s="39"/>
      <c r="BG47" s="39"/>
      <c r="BH47" s="176"/>
      <c r="BI47" s="186"/>
      <c r="BJ47" s="43"/>
      <c r="BK47" s="43"/>
      <c r="BL47" s="43"/>
      <c r="BM47" s="43"/>
      <c r="BN47" s="43"/>
      <c r="BO47" s="43"/>
      <c r="BP47" s="43"/>
      <c r="BQ47" s="43"/>
      <c r="BR47" s="43"/>
      <c r="BS47" s="43"/>
      <c r="BT47" s="43"/>
      <c r="BU47" s="43"/>
      <c r="BV47" s="43"/>
      <c r="BW47" s="43"/>
      <c r="BX47" s="43"/>
      <c r="BY47" s="43"/>
      <c r="BZ47" s="194"/>
      <c r="CA47" s="203"/>
      <c r="CB47" s="74"/>
      <c r="CC47" s="74"/>
      <c r="CD47" s="74"/>
      <c r="CE47" s="74"/>
      <c r="CF47" s="74"/>
      <c r="CG47" s="74"/>
      <c r="CH47" s="74"/>
      <c r="CI47" s="74"/>
      <c r="CJ47" s="74"/>
      <c r="CK47" s="74"/>
      <c r="CL47" s="74"/>
      <c r="CM47" s="74"/>
      <c r="CN47" s="74"/>
      <c r="CO47" s="74"/>
      <c r="CP47" s="74"/>
      <c r="CQ47" s="74"/>
      <c r="CR47" s="74"/>
      <c r="CS47" s="73"/>
      <c r="CT47" s="6"/>
      <c r="CU47" s="6"/>
      <c r="CV47" s="6"/>
      <c r="CW47" s="6"/>
      <c r="CX47" s="6"/>
      <c r="CY47" s="6"/>
      <c r="CZ47" s="6"/>
      <c r="DA47" s="6"/>
      <c r="DB47" s="6"/>
      <c r="DC47" s="6"/>
      <c r="DD47" s="6"/>
      <c r="DE47" s="6"/>
      <c r="DF47" s="6"/>
      <c r="DG47" s="6"/>
      <c r="DH47" s="6"/>
      <c r="DI47" s="6"/>
      <c r="DJ47" s="6"/>
      <c r="DK47" s="6"/>
      <c r="DL47" s="5"/>
    </row>
    <row r="48" spans="1:116">
      <c r="A48" s="206"/>
      <c r="B48" s="56"/>
      <c r="C48"/>
      <c r="D48"/>
      <c r="E48"/>
      <c r="F48" s="11"/>
      <c r="G48" s="11"/>
      <c r="H48" s="23"/>
      <c r="I48" s="23"/>
      <c r="J48" s="23"/>
      <c r="K48" s="21"/>
      <c r="L48" s="21"/>
      <c r="M48" s="21"/>
      <c r="N48" s="21"/>
      <c r="O48" s="21"/>
      <c r="P48" s="15"/>
      <c r="Q48" s="15"/>
      <c r="R48" s="94"/>
      <c r="S48" s="94"/>
      <c r="T48" s="94"/>
      <c r="U48" s="94"/>
      <c r="V48" s="98"/>
      <c r="W48" s="98"/>
      <c r="X48" s="98"/>
      <c r="Y48" s="98"/>
      <c r="Z48" s="98"/>
      <c r="AA48" s="98"/>
      <c r="AB48" s="98"/>
      <c r="AC48" s="98"/>
      <c r="AD48" s="98"/>
      <c r="AE48" s="98"/>
      <c r="AF48" s="98"/>
      <c r="AG48" s="98"/>
      <c r="AH48" s="98"/>
      <c r="AI48" s="98"/>
      <c r="AJ48" s="98"/>
      <c r="AK48" s="98"/>
      <c r="AL48" s="98"/>
      <c r="AM48" s="98"/>
      <c r="AN48" s="7"/>
      <c r="AO48" s="148"/>
      <c r="AP48" s="163"/>
      <c r="AQ48" s="39"/>
      <c r="AR48" s="39"/>
      <c r="AS48" s="39"/>
      <c r="AT48" s="39"/>
      <c r="AU48" s="39"/>
      <c r="AV48" s="39"/>
      <c r="AW48" s="39"/>
      <c r="AX48" s="39"/>
      <c r="AY48" s="39"/>
      <c r="AZ48" s="39"/>
      <c r="BA48" s="39"/>
      <c r="BB48" s="39"/>
      <c r="BC48" s="39"/>
      <c r="BD48" s="39"/>
      <c r="BE48" s="39"/>
      <c r="BF48" s="39"/>
      <c r="BG48" s="39"/>
      <c r="BH48" s="176"/>
      <c r="BI48" s="186"/>
      <c r="BJ48" s="43"/>
      <c r="BK48" s="43"/>
      <c r="BL48" s="43"/>
      <c r="BM48" s="43"/>
      <c r="BN48" s="43"/>
      <c r="BO48" s="43"/>
      <c r="BP48" s="43"/>
      <c r="BQ48" s="43"/>
      <c r="BR48" s="43"/>
      <c r="BS48" s="43"/>
      <c r="BT48" s="43"/>
      <c r="BU48" s="43"/>
      <c r="BV48" s="43"/>
      <c r="BW48" s="43"/>
      <c r="BX48" s="43"/>
      <c r="BY48" s="43"/>
      <c r="BZ48" s="194"/>
      <c r="CA48" s="203"/>
      <c r="CB48" s="74"/>
      <c r="CC48" s="74"/>
      <c r="CD48" s="74"/>
      <c r="CE48" s="74"/>
      <c r="CF48" s="74"/>
      <c r="CG48" s="74"/>
      <c r="CH48" s="74"/>
      <c r="CI48" s="74"/>
      <c r="CJ48" s="74"/>
      <c r="CK48" s="74"/>
      <c r="CL48" s="74"/>
      <c r="CM48" s="74"/>
      <c r="CN48" s="74"/>
      <c r="CO48" s="74"/>
      <c r="CP48" s="74"/>
      <c r="CQ48" s="74"/>
      <c r="CR48" s="74"/>
      <c r="CS48" s="73"/>
      <c r="CT48" s="6"/>
      <c r="CU48" s="6"/>
      <c r="CV48" s="6"/>
      <c r="CW48" s="6"/>
      <c r="CX48" s="6"/>
      <c r="CY48" s="6"/>
      <c r="CZ48" s="6"/>
      <c r="DA48" s="6"/>
      <c r="DB48" s="6"/>
      <c r="DC48" s="6"/>
      <c r="DD48" s="6"/>
      <c r="DE48" s="6"/>
      <c r="DF48" s="6"/>
      <c r="DG48" s="6"/>
      <c r="DH48" s="6"/>
      <c r="DI48" s="6"/>
      <c r="DJ48" s="6"/>
      <c r="DK48" s="6"/>
      <c r="DL48" s="5"/>
    </row>
    <row r="49" spans="1:116">
      <c r="A49" s="206"/>
      <c r="B49" s="56"/>
      <c r="C49"/>
      <c r="D49"/>
      <c r="E49"/>
      <c r="F49" s="11"/>
      <c r="G49" s="11"/>
      <c r="H49" s="23"/>
      <c r="I49" s="23"/>
      <c r="J49" s="23"/>
      <c r="K49" s="21"/>
      <c r="L49" s="21"/>
      <c r="M49" s="21"/>
      <c r="N49" s="21"/>
      <c r="O49" s="21"/>
      <c r="P49" s="15"/>
      <c r="Q49" s="15"/>
      <c r="R49" s="94"/>
      <c r="S49" s="94"/>
      <c r="T49" s="94"/>
      <c r="U49" s="94"/>
      <c r="V49" s="98"/>
      <c r="W49" s="98"/>
      <c r="X49" s="98"/>
      <c r="Y49" s="98"/>
      <c r="Z49" s="98"/>
      <c r="AA49" s="98"/>
      <c r="AB49" s="98"/>
      <c r="AC49" s="98"/>
      <c r="AD49" s="98"/>
      <c r="AE49" s="98"/>
      <c r="AF49" s="98"/>
      <c r="AG49" s="98"/>
      <c r="AH49" s="98"/>
      <c r="AI49" s="98"/>
      <c r="AJ49" s="98"/>
      <c r="AK49" s="98"/>
      <c r="AL49" s="98"/>
      <c r="AM49" s="98"/>
      <c r="AN49" s="7"/>
      <c r="AO49" s="148"/>
      <c r="AP49" s="163"/>
      <c r="AQ49" s="39"/>
      <c r="AR49" s="39"/>
      <c r="AS49" s="39"/>
      <c r="AT49" s="39"/>
      <c r="AU49" s="39"/>
      <c r="AV49" s="39"/>
      <c r="AW49" s="39"/>
      <c r="AX49" s="39"/>
      <c r="AY49" s="39"/>
      <c r="AZ49" s="39"/>
      <c r="BA49" s="39"/>
      <c r="BB49" s="39"/>
      <c r="BC49" s="39"/>
      <c r="BD49" s="39"/>
      <c r="BE49" s="39"/>
      <c r="BF49" s="39"/>
      <c r="BG49" s="39"/>
      <c r="BH49" s="176"/>
      <c r="BI49" s="186"/>
      <c r="BJ49" s="43"/>
      <c r="BK49" s="43"/>
      <c r="BL49" s="43"/>
      <c r="BM49" s="43"/>
      <c r="BN49" s="43"/>
      <c r="BO49" s="43"/>
      <c r="BP49" s="43"/>
      <c r="BQ49" s="43"/>
      <c r="BR49" s="43"/>
      <c r="BS49" s="43"/>
      <c r="BT49" s="43"/>
      <c r="BU49" s="43"/>
      <c r="BV49" s="43"/>
      <c r="BW49" s="43"/>
      <c r="BX49" s="43"/>
      <c r="BY49" s="43"/>
      <c r="BZ49" s="194"/>
      <c r="CA49" s="203"/>
      <c r="CB49" s="74"/>
      <c r="CC49" s="74"/>
      <c r="CD49" s="74"/>
      <c r="CE49" s="74"/>
      <c r="CF49" s="74"/>
      <c r="CG49" s="74"/>
      <c r="CH49" s="74"/>
      <c r="CI49" s="74"/>
      <c r="CJ49" s="74"/>
      <c r="CK49" s="74"/>
      <c r="CL49" s="74"/>
      <c r="CM49" s="74"/>
      <c r="CN49" s="74"/>
      <c r="CO49" s="74"/>
      <c r="CP49" s="74"/>
      <c r="CQ49" s="74"/>
      <c r="CR49" s="74"/>
      <c r="CS49" s="73"/>
      <c r="CT49" s="6"/>
      <c r="CU49" s="6"/>
      <c r="CV49" s="6"/>
      <c r="CW49" s="6"/>
      <c r="CX49" s="6"/>
      <c r="CY49" s="6"/>
      <c r="CZ49" s="6"/>
      <c r="DA49" s="6"/>
      <c r="DB49" s="6"/>
      <c r="DC49" s="6"/>
      <c r="DD49" s="6"/>
      <c r="DE49" s="6"/>
      <c r="DF49" s="6"/>
      <c r="DG49" s="6"/>
      <c r="DH49" s="6"/>
      <c r="DI49" s="6"/>
      <c r="DJ49" s="6"/>
      <c r="DK49" s="6"/>
      <c r="DL49" s="5"/>
    </row>
    <row r="50" spans="1:116">
      <c r="A50" s="206"/>
      <c r="B50" s="56"/>
      <c r="C50"/>
      <c r="D50"/>
      <c r="E50"/>
      <c r="F50" s="11"/>
      <c r="G50" s="11"/>
      <c r="H50" s="23"/>
      <c r="I50" s="23"/>
      <c r="J50" s="23"/>
      <c r="K50" s="21"/>
      <c r="L50" s="21"/>
      <c r="M50" s="21"/>
      <c r="N50" s="21"/>
      <c r="O50" s="21"/>
      <c r="P50" s="15"/>
      <c r="Q50" s="15"/>
      <c r="R50" s="94"/>
      <c r="S50" s="94"/>
      <c r="T50" s="94"/>
      <c r="U50" s="94"/>
      <c r="V50" s="98"/>
      <c r="W50" s="98"/>
      <c r="X50" s="98"/>
      <c r="Y50" s="98"/>
      <c r="Z50" s="98"/>
      <c r="AA50" s="98"/>
      <c r="AB50" s="98"/>
      <c r="AC50" s="98"/>
      <c r="AD50" s="98"/>
      <c r="AE50" s="98"/>
      <c r="AF50" s="98"/>
      <c r="AG50" s="98"/>
      <c r="AH50" s="98"/>
      <c r="AI50" s="98"/>
      <c r="AJ50" s="98"/>
      <c r="AK50" s="98"/>
      <c r="AL50" s="98"/>
      <c r="AM50" s="98"/>
      <c r="AN50" s="7"/>
      <c r="AO50" s="148"/>
      <c r="AP50" s="163"/>
      <c r="AQ50" s="39"/>
      <c r="AR50" s="39"/>
      <c r="AS50" s="39"/>
      <c r="AT50" s="39"/>
      <c r="AU50" s="39"/>
      <c r="AV50" s="39"/>
      <c r="AW50" s="39"/>
      <c r="AX50" s="39"/>
      <c r="AY50" s="39"/>
      <c r="AZ50" s="39"/>
      <c r="BA50" s="39"/>
      <c r="BB50" s="39"/>
      <c r="BC50" s="39"/>
      <c r="BD50" s="39"/>
      <c r="BE50" s="39"/>
      <c r="BF50" s="39"/>
      <c r="BG50" s="39"/>
      <c r="BH50" s="176"/>
      <c r="BI50" s="186"/>
      <c r="BJ50" s="43"/>
      <c r="BK50" s="43"/>
      <c r="BL50" s="43"/>
      <c r="BM50" s="43"/>
      <c r="BN50" s="43"/>
      <c r="BO50" s="43"/>
      <c r="BP50" s="43"/>
      <c r="BQ50" s="43"/>
      <c r="BR50" s="43"/>
      <c r="BS50" s="43"/>
      <c r="BT50" s="43"/>
      <c r="BU50" s="43"/>
      <c r="BV50" s="43"/>
      <c r="BW50" s="43"/>
      <c r="BX50" s="43"/>
      <c r="BY50" s="43"/>
      <c r="BZ50" s="194"/>
      <c r="CA50" s="203"/>
      <c r="CB50" s="74"/>
      <c r="CC50" s="74"/>
      <c r="CD50" s="74"/>
      <c r="CE50" s="74"/>
      <c r="CF50" s="74"/>
      <c r="CG50" s="74"/>
      <c r="CH50" s="74"/>
      <c r="CI50" s="74"/>
      <c r="CJ50" s="74"/>
      <c r="CK50" s="74"/>
      <c r="CL50" s="74"/>
      <c r="CM50" s="74"/>
      <c r="CN50" s="74"/>
      <c r="CO50" s="74"/>
      <c r="CP50" s="74"/>
      <c r="CQ50" s="74"/>
      <c r="CR50" s="74"/>
      <c r="CS50" s="73"/>
      <c r="CT50" s="6"/>
      <c r="CU50" s="6"/>
      <c r="CV50" s="6"/>
      <c r="CW50" s="6"/>
      <c r="CX50" s="6"/>
      <c r="CY50" s="6"/>
      <c r="CZ50" s="6"/>
      <c r="DA50" s="6"/>
      <c r="DB50" s="6"/>
      <c r="DC50" s="6"/>
      <c r="DD50" s="6"/>
      <c r="DE50" s="6"/>
      <c r="DF50" s="6"/>
      <c r="DG50" s="6"/>
      <c r="DH50" s="6"/>
      <c r="DI50" s="6"/>
      <c r="DJ50" s="6"/>
      <c r="DK50" s="6"/>
      <c r="DL50" s="5"/>
    </row>
    <row r="51" spans="1:116">
      <c r="A51" s="206"/>
      <c r="B51" s="56"/>
      <c r="C51"/>
      <c r="D51"/>
      <c r="E51"/>
      <c r="F51" s="11"/>
      <c r="G51" s="11"/>
      <c r="H51" s="23"/>
      <c r="I51" s="23"/>
      <c r="J51" s="23"/>
      <c r="K51" s="21"/>
      <c r="L51" s="21"/>
      <c r="M51" s="21"/>
      <c r="N51" s="21"/>
      <c r="O51" s="21"/>
      <c r="P51" s="15"/>
      <c r="Q51" s="15"/>
      <c r="R51" s="94"/>
      <c r="S51" s="94"/>
      <c r="T51" s="94"/>
      <c r="U51" s="94"/>
      <c r="V51" s="98"/>
      <c r="W51" s="98"/>
      <c r="X51" s="98"/>
      <c r="Y51" s="98"/>
      <c r="Z51" s="98"/>
      <c r="AA51" s="98"/>
      <c r="AB51" s="98"/>
      <c r="AC51" s="98"/>
      <c r="AD51" s="98"/>
      <c r="AE51" s="98"/>
      <c r="AF51" s="98"/>
      <c r="AG51" s="98"/>
      <c r="AH51" s="98"/>
      <c r="AI51" s="98"/>
      <c r="AJ51" s="98"/>
      <c r="AK51" s="98"/>
      <c r="AL51" s="98"/>
      <c r="AM51" s="98"/>
      <c r="AN51" s="7"/>
      <c r="AO51" s="148"/>
      <c r="AP51" s="163"/>
      <c r="AQ51" s="39"/>
      <c r="AR51" s="39"/>
      <c r="AS51" s="39"/>
      <c r="AT51" s="39"/>
      <c r="AU51" s="39"/>
      <c r="AV51" s="39"/>
      <c r="AW51" s="39"/>
      <c r="AX51" s="39"/>
      <c r="AY51" s="39"/>
      <c r="AZ51" s="39"/>
      <c r="BA51" s="39"/>
      <c r="BB51" s="39"/>
      <c r="BC51" s="39"/>
      <c r="BD51" s="39"/>
      <c r="BE51" s="39"/>
      <c r="BF51" s="39"/>
      <c r="BG51" s="39"/>
      <c r="BH51" s="176"/>
      <c r="BI51" s="186"/>
      <c r="BJ51" s="43"/>
      <c r="BK51" s="43"/>
      <c r="BL51" s="43"/>
      <c r="BM51" s="43"/>
      <c r="BN51" s="43"/>
      <c r="BO51" s="43"/>
      <c r="BP51" s="43"/>
      <c r="BQ51" s="43"/>
      <c r="BR51" s="43"/>
      <c r="BS51" s="43"/>
      <c r="BT51" s="43"/>
      <c r="BU51" s="43"/>
      <c r="BV51" s="43"/>
      <c r="BW51" s="43"/>
      <c r="BX51" s="43"/>
      <c r="BY51" s="43"/>
      <c r="BZ51" s="194"/>
      <c r="CA51" s="203"/>
      <c r="CB51" s="74"/>
      <c r="CC51" s="74"/>
      <c r="CD51" s="74"/>
      <c r="CE51" s="74"/>
      <c r="CF51" s="74"/>
      <c r="CG51" s="74"/>
      <c r="CH51" s="74"/>
      <c r="CI51" s="74"/>
      <c r="CJ51" s="74"/>
      <c r="CK51" s="74"/>
      <c r="CL51" s="74"/>
      <c r="CM51" s="74"/>
      <c r="CN51" s="74"/>
      <c r="CO51" s="74"/>
      <c r="CP51" s="74"/>
      <c r="CQ51" s="74"/>
      <c r="CR51" s="74"/>
      <c r="CS51" s="73"/>
      <c r="CT51" s="6"/>
      <c r="CU51" s="6"/>
      <c r="CV51" s="6"/>
      <c r="CW51" s="6"/>
      <c r="CX51" s="6"/>
      <c r="CY51" s="6"/>
      <c r="CZ51" s="6"/>
      <c r="DA51" s="6"/>
      <c r="DB51" s="6"/>
      <c r="DC51" s="6"/>
      <c r="DD51" s="6"/>
      <c r="DE51" s="6"/>
      <c r="DF51" s="6"/>
      <c r="DG51" s="6"/>
      <c r="DH51" s="6"/>
      <c r="DI51" s="6"/>
      <c r="DJ51" s="6"/>
      <c r="DK51" s="6"/>
      <c r="DL51" s="5"/>
    </row>
    <row r="52" spans="1:116">
      <c r="A52" s="206"/>
      <c r="B52" s="56"/>
      <c r="C52"/>
      <c r="D52"/>
      <c r="E52"/>
      <c r="F52" s="11"/>
      <c r="G52" s="11"/>
      <c r="H52" s="23"/>
      <c r="I52" s="23"/>
      <c r="J52" s="23"/>
      <c r="K52" s="21"/>
      <c r="L52" s="21"/>
      <c r="M52" s="21"/>
      <c r="N52" s="21"/>
      <c r="O52" s="21"/>
      <c r="P52" s="15"/>
      <c r="Q52" s="15"/>
      <c r="R52" s="94"/>
      <c r="S52" s="94"/>
      <c r="T52" s="94"/>
      <c r="U52" s="94"/>
      <c r="V52" s="98"/>
      <c r="W52" s="98"/>
      <c r="X52" s="98"/>
      <c r="Y52" s="98"/>
      <c r="Z52" s="98"/>
      <c r="AA52" s="98"/>
      <c r="AB52" s="98"/>
      <c r="AC52" s="98"/>
      <c r="AD52" s="98"/>
      <c r="AE52" s="98"/>
      <c r="AF52" s="98"/>
      <c r="AG52" s="98"/>
      <c r="AH52" s="98"/>
      <c r="AI52" s="98"/>
      <c r="AJ52" s="98"/>
      <c r="AK52" s="98"/>
      <c r="AL52" s="98"/>
      <c r="AM52" s="98"/>
      <c r="AN52" s="7"/>
      <c r="AO52" s="148"/>
      <c r="AP52" s="163"/>
      <c r="AQ52" s="39"/>
      <c r="AR52" s="39"/>
      <c r="AS52" s="39"/>
      <c r="AT52" s="39"/>
      <c r="AU52" s="39"/>
      <c r="AV52" s="39"/>
      <c r="AW52" s="39"/>
      <c r="AX52" s="39"/>
      <c r="AY52" s="39"/>
      <c r="AZ52" s="39"/>
      <c r="BA52" s="39"/>
      <c r="BB52" s="39"/>
      <c r="BC52" s="39"/>
      <c r="BD52" s="39"/>
      <c r="BE52" s="39"/>
      <c r="BF52" s="39"/>
      <c r="BG52" s="39"/>
      <c r="BH52" s="176"/>
      <c r="BI52" s="186"/>
      <c r="BJ52" s="43"/>
      <c r="BK52" s="43"/>
      <c r="BL52" s="43"/>
      <c r="BM52" s="43"/>
      <c r="BN52" s="43"/>
      <c r="BO52" s="43"/>
      <c r="BP52" s="43"/>
      <c r="BQ52" s="43"/>
      <c r="BR52" s="43"/>
      <c r="BS52" s="43"/>
      <c r="BT52" s="43"/>
      <c r="BU52" s="43"/>
      <c r="BV52" s="43"/>
      <c r="BW52" s="43"/>
      <c r="BX52" s="43"/>
      <c r="BY52" s="43"/>
      <c r="BZ52" s="194"/>
      <c r="CA52" s="203"/>
      <c r="CB52" s="74"/>
      <c r="CC52" s="74"/>
      <c r="CD52" s="74"/>
      <c r="CE52" s="74"/>
      <c r="CF52" s="74"/>
      <c r="CG52" s="74"/>
      <c r="CH52" s="74"/>
      <c r="CI52" s="74"/>
      <c r="CJ52" s="74"/>
      <c r="CK52" s="74"/>
      <c r="CL52" s="74"/>
      <c r="CM52" s="74"/>
      <c r="CN52" s="74"/>
      <c r="CO52" s="74"/>
      <c r="CP52" s="74"/>
      <c r="CQ52" s="74"/>
      <c r="CR52" s="74"/>
      <c r="CS52" s="73"/>
      <c r="CT52" s="6"/>
      <c r="CU52" s="6"/>
      <c r="CV52" s="6"/>
      <c r="CW52" s="6"/>
      <c r="CX52" s="6"/>
      <c r="CY52" s="6"/>
      <c r="CZ52" s="6"/>
      <c r="DA52" s="6"/>
      <c r="DB52" s="6"/>
      <c r="DC52" s="6"/>
      <c r="DD52" s="6"/>
      <c r="DE52" s="6"/>
      <c r="DF52" s="6"/>
      <c r="DG52" s="6"/>
      <c r="DH52" s="6"/>
      <c r="DI52" s="6"/>
      <c r="DJ52" s="6"/>
      <c r="DK52" s="6"/>
      <c r="DL52" s="5"/>
    </row>
    <row r="53" spans="1:116">
      <c r="A53" s="206"/>
      <c r="B53" s="56"/>
      <c r="C53"/>
      <c r="D53"/>
      <c r="E53"/>
      <c r="F53" s="11"/>
      <c r="G53" s="11"/>
      <c r="H53" s="23"/>
      <c r="I53" s="23"/>
      <c r="J53" s="23"/>
      <c r="K53" s="21"/>
      <c r="L53" s="21"/>
      <c r="M53" s="21"/>
      <c r="N53" s="21"/>
      <c r="O53" s="21"/>
      <c r="P53" s="15"/>
      <c r="Q53" s="15"/>
      <c r="R53" s="94"/>
      <c r="S53" s="94"/>
      <c r="T53" s="94"/>
      <c r="U53" s="94"/>
      <c r="V53" s="98"/>
      <c r="W53" s="98"/>
      <c r="X53" s="98"/>
      <c r="Y53" s="98"/>
      <c r="Z53" s="98"/>
      <c r="AA53" s="98"/>
      <c r="AB53" s="98"/>
      <c r="AC53" s="98"/>
      <c r="AD53" s="98"/>
      <c r="AE53" s="98"/>
      <c r="AF53" s="98"/>
      <c r="AG53" s="98"/>
      <c r="AH53" s="98"/>
      <c r="AI53" s="98"/>
      <c r="AJ53" s="98"/>
      <c r="AK53" s="98"/>
      <c r="AL53" s="98"/>
      <c r="AM53" s="98"/>
      <c r="AN53" s="7"/>
      <c r="AO53" s="148"/>
      <c r="AP53" s="163"/>
      <c r="AQ53" s="39"/>
      <c r="AR53" s="39"/>
      <c r="AS53" s="39"/>
      <c r="AT53" s="39"/>
      <c r="AU53" s="39"/>
      <c r="AV53" s="39"/>
      <c r="AW53" s="39"/>
      <c r="AX53" s="39"/>
      <c r="AY53" s="39"/>
      <c r="AZ53" s="39"/>
      <c r="BA53" s="39"/>
      <c r="BB53" s="39"/>
      <c r="BC53" s="39"/>
      <c r="BD53" s="39"/>
      <c r="BE53" s="39"/>
      <c r="BF53" s="39"/>
      <c r="BG53" s="39"/>
      <c r="BH53" s="176"/>
      <c r="BI53" s="186"/>
      <c r="BJ53" s="43"/>
      <c r="BK53" s="43"/>
      <c r="BL53" s="43"/>
      <c r="BM53" s="43"/>
      <c r="BN53" s="43"/>
      <c r="BO53" s="43"/>
      <c r="BP53" s="43"/>
      <c r="BQ53" s="43"/>
      <c r="BR53" s="43"/>
      <c r="BS53" s="43"/>
      <c r="BT53" s="43"/>
      <c r="BU53" s="43"/>
      <c r="BV53" s="43"/>
      <c r="BW53" s="43"/>
      <c r="BX53" s="43"/>
      <c r="BY53" s="43"/>
      <c r="BZ53" s="194"/>
      <c r="CA53" s="203"/>
      <c r="CB53" s="74"/>
      <c r="CC53" s="74"/>
      <c r="CD53" s="74"/>
      <c r="CE53" s="74"/>
      <c r="CF53" s="74"/>
      <c r="CG53" s="74"/>
      <c r="CH53" s="74"/>
      <c r="CI53" s="74"/>
      <c r="CJ53" s="74"/>
      <c r="CK53" s="74"/>
      <c r="CL53" s="74"/>
      <c r="CM53" s="74"/>
      <c r="CN53" s="74"/>
      <c r="CO53" s="74"/>
      <c r="CP53" s="74"/>
      <c r="CQ53" s="74"/>
      <c r="CR53" s="74"/>
      <c r="CS53" s="73"/>
      <c r="CT53" s="6"/>
      <c r="CU53" s="6"/>
      <c r="CV53" s="6"/>
      <c r="CW53" s="6"/>
      <c r="CX53" s="6"/>
      <c r="CY53" s="6"/>
      <c r="CZ53" s="6"/>
      <c r="DA53" s="6"/>
      <c r="DB53" s="6"/>
      <c r="DC53" s="6"/>
      <c r="DD53" s="6"/>
      <c r="DE53" s="6"/>
      <c r="DF53" s="6"/>
      <c r="DG53" s="6"/>
      <c r="DH53" s="6"/>
      <c r="DI53" s="6"/>
      <c r="DJ53" s="6"/>
      <c r="DK53" s="6"/>
      <c r="DL53" s="5"/>
    </row>
    <row r="54" spans="1:116">
      <c r="A54" s="206"/>
      <c r="B54" s="56"/>
      <c r="C54"/>
      <c r="D54"/>
      <c r="E54"/>
      <c r="F54" s="11"/>
      <c r="G54" s="11"/>
      <c r="H54" s="23"/>
      <c r="I54" s="23"/>
      <c r="J54" s="23"/>
      <c r="K54" s="21"/>
      <c r="L54" s="21"/>
      <c r="M54" s="21"/>
      <c r="N54" s="21"/>
      <c r="O54" s="21"/>
      <c r="P54" s="15"/>
      <c r="Q54" s="15"/>
      <c r="R54" s="94"/>
      <c r="S54" s="94"/>
      <c r="T54" s="94"/>
      <c r="U54" s="94"/>
      <c r="V54" s="98"/>
      <c r="W54" s="98"/>
      <c r="X54" s="98"/>
      <c r="Y54" s="98"/>
      <c r="Z54" s="98"/>
      <c r="AA54" s="98"/>
      <c r="AB54" s="98"/>
      <c r="AC54" s="98"/>
      <c r="AD54" s="98"/>
      <c r="AE54" s="98"/>
      <c r="AF54" s="98"/>
      <c r="AG54" s="98"/>
      <c r="AH54" s="98"/>
      <c r="AI54" s="98"/>
      <c r="AJ54" s="98"/>
      <c r="AK54" s="98"/>
      <c r="AL54" s="98"/>
      <c r="AM54" s="98"/>
      <c r="AN54" s="7"/>
      <c r="AO54" s="148"/>
      <c r="AP54" s="163"/>
      <c r="AQ54" s="39"/>
      <c r="AR54" s="39"/>
      <c r="AS54" s="39"/>
      <c r="AT54" s="39"/>
      <c r="AU54" s="39"/>
      <c r="AV54" s="39"/>
      <c r="AW54" s="39"/>
      <c r="AX54" s="39"/>
      <c r="AY54" s="39"/>
      <c r="AZ54" s="39"/>
      <c r="BA54" s="39"/>
      <c r="BB54" s="39"/>
      <c r="BC54" s="39"/>
      <c r="BD54" s="39"/>
      <c r="BE54" s="39"/>
      <c r="BF54" s="39"/>
      <c r="BG54" s="39"/>
      <c r="BH54" s="176"/>
      <c r="BI54" s="186"/>
      <c r="BJ54" s="43"/>
      <c r="BK54" s="43"/>
      <c r="BL54" s="43"/>
      <c r="BM54" s="43"/>
      <c r="BN54" s="43"/>
      <c r="BO54" s="43"/>
      <c r="BP54" s="43"/>
      <c r="BQ54" s="43"/>
      <c r="BR54" s="43"/>
      <c r="BS54" s="43"/>
      <c r="BT54" s="43"/>
      <c r="BU54" s="43"/>
      <c r="BV54" s="43"/>
      <c r="BW54" s="43"/>
      <c r="BX54" s="43"/>
      <c r="BY54" s="43"/>
      <c r="BZ54" s="194"/>
      <c r="CA54" s="203"/>
      <c r="CB54" s="74"/>
      <c r="CC54" s="74"/>
      <c r="CD54" s="74"/>
      <c r="CE54" s="74"/>
      <c r="CF54" s="74"/>
      <c r="CG54" s="74"/>
      <c r="CH54" s="74"/>
      <c r="CI54" s="74"/>
      <c r="CJ54" s="74"/>
      <c r="CK54" s="74"/>
      <c r="CL54" s="74"/>
      <c r="CM54" s="74"/>
      <c r="CN54" s="74"/>
      <c r="CO54" s="74"/>
      <c r="CP54" s="74"/>
      <c r="CQ54" s="74"/>
      <c r="CR54" s="74"/>
      <c r="CS54" s="73"/>
      <c r="CT54" s="6"/>
      <c r="CU54" s="6"/>
      <c r="CV54" s="6"/>
      <c r="CW54" s="6"/>
      <c r="CX54" s="6"/>
      <c r="CY54" s="6"/>
      <c r="CZ54" s="6"/>
      <c r="DA54" s="6"/>
      <c r="DB54" s="6"/>
      <c r="DC54" s="6"/>
      <c r="DD54" s="6"/>
      <c r="DE54" s="6"/>
      <c r="DF54" s="6"/>
      <c r="DG54" s="6"/>
      <c r="DH54" s="6"/>
      <c r="DI54" s="6"/>
      <c r="DJ54" s="6"/>
      <c r="DK54" s="6"/>
      <c r="DL54" s="5"/>
    </row>
    <row r="55" spans="1:116">
      <c r="A55" s="206"/>
      <c r="B55" s="56"/>
      <c r="C55"/>
      <c r="D55"/>
      <c r="E55"/>
      <c r="F55" s="11"/>
      <c r="G55" s="11"/>
      <c r="H55" s="23"/>
      <c r="I55" s="23"/>
      <c r="J55" s="23"/>
      <c r="K55" s="21"/>
      <c r="L55" s="21"/>
      <c r="M55" s="21"/>
      <c r="N55" s="21"/>
      <c r="O55" s="21"/>
      <c r="P55" s="15"/>
      <c r="Q55" s="15"/>
      <c r="R55" s="94"/>
      <c r="S55" s="94"/>
      <c r="T55" s="94"/>
      <c r="U55" s="94"/>
      <c r="V55" s="98"/>
      <c r="W55" s="98"/>
      <c r="X55" s="98"/>
      <c r="Y55" s="98"/>
      <c r="Z55" s="98"/>
      <c r="AA55" s="98"/>
      <c r="AB55" s="98"/>
      <c r="AC55" s="98"/>
      <c r="AD55" s="98"/>
      <c r="AE55" s="98"/>
      <c r="AF55" s="98"/>
      <c r="AG55" s="98"/>
      <c r="AH55" s="98"/>
      <c r="AI55" s="98"/>
      <c r="AJ55" s="98"/>
      <c r="AK55" s="98"/>
      <c r="AL55" s="98"/>
      <c r="AM55" s="98"/>
      <c r="AN55" s="7"/>
      <c r="AO55" s="148"/>
      <c r="AP55" s="163"/>
      <c r="AQ55" s="39"/>
      <c r="AR55" s="39"/>
      <c r="AS55" s="39"/>
      <c r="AT55" s="39"/>
      <c r="AU55" s="39"/>
      <c r="AV55" s="39"/>
      <c r="AW55" s="39"/>
      <c r="AX55" s="39"/>
      <c r="AY55" s="39"/>
      <c r="AZ55" s="39"/>
      <c r="BA55" s="39"/>
      <c r="BB55" s="39"/>
      <c r="BC55" s="39"/>
      <c r="BD55" s="39"/>
      <c r="BE55" s="39"/>
      <c r="BF55" s="39"/>
      <c r="BG55" s="39"/>
      <c r="BH55" s="176"/>
      <c r="BI55" s="186"/>
      <c r="BJ55" s="43"/>
      <c r="BK55" s="43"/>
      <c r="BL55" s="43"/>
      <c r="BM55" s="43"/>
      <c r="BN55" s="43"/>
      <c r="BO55" s="43"/>
      <c r="BP55" s="43"/>
      <c r="BQ55" s="43"/>
      <c r="BR55" s="43"/>
      <c r="BS55" s="43"/>
      <c r="BT55" s="43"/>
      <c r="BU55" s="43"/>
      <c r="BV55" s="43"/>
      <c r="BW55" s="43"/>
      <c r="BX55" s="43"/>
      <c r="BY55" s="43"/>
      <c r="BZ55" s="194"/>
      <c r="CA55" s="203"/>
      <c r="CB55" s="74"/>
      <c r="CC55" s="74"/>
      <c r="CD55" s="74"/>
      <c r="CE55" s="74"/>
      <c r="CF55" s="74"/>
      <c r="CG55" s="74"/>
      <c r="CH55" s="74"/>
      <c r="CI55" s="74"/>
      <c r="CJ55" s="74"/>
      <c r="CK55" s="74"/>
      <c r="CL55" s="74"/>
      <c r="CM55" s="74"/>
      <c r="CN55" s="74"/>
      <c r="CO55" s="74"/>
      <c r="CP55" s="74"/>
      <c r="CQ55" s="74"/>
      <c r="CR55" s="74"/>
      <c r="CS55" s="73"/>
      <c r="CT55" s="6"/>
      <c r="CU55" s="6"/>
      <c r="CV55" s="6"/>
      <c r="CW55" s="6"/>
      <c r="CX55" s="6"/>
      <c r="CY55" s="6"/>
      <c r="CZ55" s="6"/>
      <c r="DA55" s="6"/>
      <c r="DB55" s="6"/>
      <c r="DC55" s="6"/>
      <c r="DD55" s="6"/>
      <c r="DE55" s="6"/>
      <c r="DF55" s="6"/>
      <c r="DG55" s="6"/>
      <c r="DH55" s="6"/>
      <c r="DI55" s="6"/>
      <c r="DJ55" s="6"/>
      <c r="DK55" s="6"/>
      <c r="DL55" s="5"/>
    </row>
    <row r="56" spans="1:116">
      <c r="A56" s="206"/>
      <c r="B56" s="56"/>
      <c r="C56"/>
      <c r="D56"/>
      <c r="E56"/>
      <c r="F56" s="11"/>
      <c r="G56" s="11"/>
      <c r="H56" s="23"/>
      <c r="I56" s="23"/>
      <c r="J56" s="23"/>
      <c r="K56" s="21"/>
      <c r="L56" s="21"/>
      <c r="M56" s="21"/>
      <c r="N56" s="21"/>
      <c r="O56" s="21"/>
      <c r="P56" s="15"/>
      <c r="Q56" s="15"/>
      <c r="R56" s="94"/>
      <c r="S56" s="94"/>
      <c r="T56" s="94"/>
      <c r="U56" s="94"/>
      <c r="V56" s="98"/>
      <c r="W56" s="98"/>
      <c r="X56" s="98"/>
      <c r="Y56" s="98"/>
      <c r="Z56" s="98"/>
      <c r="AA56" s="98"/>
      <c r="AB56" s="98"/>
      <c r="AC56" s="98"/>
      <c r="AD56" s="98"/>
      <c r="AE56" s="98"/>
      <c r="AF56" s="98"/>
      <c r="AG56" s="98"/>
      <c r="AH56" s="98"/>
      <c r="AI56" s="98"/>
      <c r="AJ56" s="98"/>
      <c r="AK56" s="98"/>
      <c r="AL56" s="98"/>
      <c r="AM56" s="98"/>
      <c r="AN56" s="7"/>
      <c r="AO56" s="148"/>
      <c r="AP56" s="163"/>
      <c r="AQ56" s="39"/>
      <c r="AR56" s="39"/>
      <c r="AS56" s="39"/>
      <c r="AT56" s="39"/>
      <c r="AU56" s="39"/>
      <c r="AV56" s="39"/>
      <c r="AW56" s="39"/>
      <c r="AX56" s="39"/>
      <c r="AY56" s="39"/>
      <c r="AZ56" s="39"/>
      <c r="BA56" s="39"/>
      <c r="BB56" s="39"/>
      <c r="BC56" s="39"/>
      <c r="BD56" s="39"/>
      <c r="BE56" s="39"/>
      <c r="BF56" s="39"/>
      <c r="BG56" s="39"/>
      <c r="BH56" s="176"/>
      <c r="BI56" s="186"/>
      <c r="BJ56" s="43"/>
      <c r="BK56" s="43"/>
      <c r="BL56" s="43"/>
      <c r="BM56" s="43"/>
      <c r="BN56" s="43"/>
      <c r="BO56" s="43"/>
      <c r="BP56" s="43"/>
      <c r="BQ56" s="43"/>
      <c r="BR56" s="43"/>
      <c r="BS56" s="43"/>
      <c r="BT56" s="43"/>
      <c r="BU56" s="43"/>
      <c r="BV56" s="43"/>
      <c r="BW56" s="43"/>
      <c r="BX56" s="43"/>
      <c r="BY56" s="43"/>
      <c r="BZ56" s="194"/>
      <c r="CA56" s="203"/>
      <c r="CB56" s="74"/>
      <c r="CC56" s="74"/>
      <c r="CD56" s="74"/>
      <c r="CE56" s="74"/>
      <c r="CF56" s="74"/>
      <c r="CG56" s="74"/>
      <c r="CH56" s="74"/>
      <c r="CI56" s="74"/>
      <c r="CJ56" s="74"/>
      <c r="CK56" s="74"/>
      <c r="CL56" s="74"/>
      <c r="CM56" s="74"/>
      <c r="CN56" s="74"/>
      <c r="CO56" s="74"/>
      <c r="CP56" s="74"/>
      <c r="CQ56" s="74"/>
      <c r="CR56" s="74"/>
      <c r="CS56" s="73"/>
      <c r="CT56" s="6"/>
      <c r="CU56" s="6"/>
      <c r="CV56" s="6"/>
      <c r="CW56" s="6"/>
      <c r="CX56" s="6"/>
      <c r="CY56" s="6"/>
      <c r="CZ56" s="6"/>
      <c r="DA56" s="6"/>
      <c r="DB56" s="6"/>
      <c r="DC56" s="6"/>
      <c r="DD56" s="6"/>
      <c r="DE56" s="6"/>
      <c r="DF56" s="6"/>
      <c r="DG56" s="6"/>
      <c r="DH56" s="6"/>
      <c r="DI56" s="6"/>
      <c r="DJ56" s="6"/>
      <c r="DK56" s="6"/>
      <c r="DL56" s="5"/>
    </row>
    <row r="57" spans="1:116">
      <c r="A57" s="206"/>
      <c r="B57" s="56"/>
      <c r="C57" s="15"/>
      <c r="D57" s="11"/>
      <c r="E57" s="11"/>
      <c r="F57" s="11"/>
      <c r="G57" s="11"/>
      <c r="H57" s="23"/>
      <c r="I57" s="23"/>
      <c r="J57" s="23"/>
      <c r="K57" s="21"/>
      <c r="L57" s="21"/>
      <c r="M57" s="21"/>
      <c r="N57" s="21"/>
      <c r="O57" s="21"/>
      <c r="P57" s="15"/>
      <c r="Q57" s="15"/>
      <c r="R57" s="94"/>
      <c r="S57" s="94"/>
      <c r="T57" s="94"/>
      <c r="U57" s="94"/>
      <c r="V57" s="98"/>
      <c r="W57" s="98"/>
      <c r="X57" s="98"/>
      <c r="Y57" s="98"/>
      <c r="Z57" s="98"/>
      <c r="AA57" s="98"/>
      <c r="AB57" s="98"/>
      <c r="AC57" s="98"/>
      <c r="AD57" s="98"/>
      <c r="AE57" s="98"/>
      <c r="AF57" s="98"/>
      <c r="AG57" s="98"/>
      <c r="AH57" s="98"/>
      <c r="AI57" s="98"/>
      <c r="AJ57" s="98"/>
      <c r="AK57" s="98"/>
      <c r="AL57" s="98"/>
      <c r="AM57" s="98"/>
      <c r="AN57" s="7"/>
      <c r="AO57" s="148"/>
      <c r="AP57" s="163"/>
      <c r="AQ57" s="39"/>
      <c r="AR57" s="39"/>
      <c r="AS57" s="39"/>
      <c r="AT57" s="39"/>
      <c r="AU57" s="39"/>
      <c r="AV57" s="39"/>
      <c r="AW57" s="39"/>
      <c r="AX57" s="39"/>
      <c r="AY57" s="39"/>
      <c r="AZ57" s="39"/>
      <c r="BA57" s="39"/>
      <c r="BB57" s="39"/>
      <c r="BC57" s="39"/>
      <c r="BD57" s="39"/>
      <c r="BE57" s="39"/>
      <c r="BF57" s="39"/>
      <c r="BG57" s="39"/>
      <c r="BH57" s="176"/>
      <c r="BI57" s="186"/>
      <c r="BJ57" s="43"/>
      <c r="BK57" s="43"/>
      <c r="BL57" s="43"/>
      <c r="BM57" s="43"/>
      <c r="BN57" s="43"/>
      <c r="BO57" s="43"/>
      <c r="BP57" s="43"/>
      <c r="BQ57" s="43"/>
      <c r="BR57" s="43"/>
      <c r="BS57" s="43"/>
      <c r="BT57" s="43"/>
      <c r="BU57" s="43"/>
      <c r="BV57" s="43"/>
      <c r="BW57" s="43"/>
      <c r="BX57" s="43"/>
      <c r="BY57" s="43"/>
      <c r="BZ57" s="194"/>
      <c r="CA57" s="203"/>
      <c r="CB57" s="74"/>
      <c r="CC57" s="74"/>
      <c r="CD57" s="74"/>
      <c r="CE57" s="74"/>
      <c r="CF57" s="74"/>
      <c r="CG57" s="74"/>
      <c r="CH57" s="74"/>
      <c r="CI57" s="74"/>
      <c r="CJ57" s="74"/>
      <c r="CK57" s="74"/>
      <c r="CL57" s="74"/>
      <c r="CM57" s="74"/>
      <c r="CN57" s="74"/>
      <c r="CO57" s="74"/>
      <c r="CP57" s="74"/>
      <c r="CQ57" s="74"/>
      <c r="CR57" s="74"/>
      <c r="CS57" s="73"/>
      <c r="CT57" s="6"/>
      <c r="CU57" s="6"/>
      <c r="CV57" s="6"/>
      <c r="CW57" s="6"/>
      <c r="CX57" s="6"/>
      <c r="CY57" s="6"/>
      <c r="CZ57" s="6"/>
      <c r="DA57" s="6"/>
      <c r="DB57" s="6"/>
      <c r="DC57" s="6"/>
      <c r="DD57" s="6"/>
      <c r="DE57" s="6"/>
      <c r="DF57" s="6"/>
      <c r="DG57" s="6"/>
      <c r="DH57" s="6"/>
      <c r="DI57" s="6"/>
      <c r="DJ57" s="6"/>
      <c r="DK57" s="6"/>
      <c r="DL57" s="5"/>
    </row>
    <row r="58" spans="1:116">
      <c r="A58" s="206"/>
      <c r="B58" s="56"/>
      <c r="C58" s="14"/>
      <c r="D58" s="11"/>
      <c r="E58" s="11"/>
      <c r="F58" s="11"/>
      <c r="G58" s="11"/>
      <c r="H58" s="23"/>
      <c r="I58" s="23"/>
      <c r="J58" s="23"/>
      <c r="K58" s="21"/>
      <c r="L58" s="21"/>
      <c r="M58" s="21"/>
      <c r="N58" s="21"/>
      <c r="O58" s="21"/>
      <c r="P58" s="15"/>
      <c r="Q58" s="15"/>
      <c r="R58" s="94"/>
      <c r="S58" s="94"/>
      <c r="T58" s="94"/>
      <c r="U58" s="94"/>
      <c r="V58" s="98"/>
      <c r="W58" s="98"/>
      <c r="X58" s="98"/>
      <c r="Y58" s="98"/>
      <c r="Z58" s="98"/>
      <c r="AA58" s="98"/>
      <c r="AB58" s="98"/>
      <c r="AC58" s="98"/>
      <c r="AD58" s="98"/>
      <c r="AE58" s="98"/>
      <c r="AF58" s="98"/>
      <c r="AG58" s="98"/>
      <c r="AH58" s="98"/>
      <c r="AI58" s="98"/>
      <c r="AJ58" s="98"/>
      <c r="AK58" s="98"/>
      <c r="AL58" s="98"/>
      <c r="AM58" s="98"/>
      <c r="AN58" s="7"/>
      <c r="AO58" s="148"/>
      <c r="AP58" s="163"/>
      <c r="AQ58" s="39"/>
      <c r="AR58" s="39"/>
      <c r="AS58" s="39"/>
      <c r="AT58" s="39"/>
      <c r="AU58" s="39"/>
      <c r="AV58" s="39"/>
      <c r="AW58" s="39"/>
      <c r="AX58" s="39"/>
      <c r="AY58" s="39"/>
      <c r="AZ58" s="39"/>
      <c r="BA58" s="39"/>
      <c r="BB58" s="39"/>
      <c r="BC58" s="39"/>
      <c r="BD58" s="39"/>
      <c r="BE58" s="39"/>
      <c r="BF58" s="39"/>
      <c r="BG58" s="39"/>
      <c r="BH58" s="176"/>
      <c r="BI58" s="186"/>
      <c r="BJ58" s="43"/>
      <c r="BK58" s="43"/>
      <c r="BL58" s="43"/>
      <c r="BM58" s="43"/>
      <c r="BN58" s="43"/>
      <c r="BO58" s="43"/>
      <c r="BP58" s="43"/>
      <c r="BQ58" s="43"/>
      <c r="BR58" s="43"/>
      <c r="BS58" s="43"/>
      <c r="BT58" s="43"/>
      <c r="BU58" s="43"/>
      <c r="BV58" s="43"/>
      <c r="BW58" s="43"/>
      <c r="BX58" s="43"/>
      <c r="BY58" s="43"/>
      <c r="BZ58" s="194"/>
      <c r="CA58" s="203"/>
      <c r="CB58" s="74"/>
      <c r="CC58" s="74"/>
      <c r="CD58" s="74"/>
      <c r="CE58" s="74"/>
      <c r="CF58" s="74"/>
      <c r="CG58" s="74"/>
      <c r="CH58" s="74"/>
      <c r="CI58" s="74"/>
      <c r="CJ58" s="74"/>
      <c r="CK58" s="74"/>
      <c r="CL58" s="74"/>
      <c r="CM58" s="74"/>
      <c r="CN58" s="74"/>
      <c r="CO58" s="74"/>
      <c r="CP58" s="74"/>
      <c r="CQ58" s="74"/>
      <c r="CR58" s="74"/>
      <c r="CS58" s="73"/>
      <c r="CT58" s="6"/>
      <c r="CU58" s="6"/>
      <c r="CV58" s="6"/>
      <c r="CW58" s="6"/>
      <c r="CX58" s="6"/>
      <c r="CY58" s="6"/>
      <c r="CZ58" s="6"/>
      <c r="DA58" s="6"/>
      <c r="DB58" s="6"/>
      <c r="DC58" s="6"/>
      <c r="DD58" s="6"/>
      <c r="DE58" s="6"/>
      <c r="DF58" s="6"/>
      <c r="DG58" s="6"/>
      <c r="DH58" s="6"/>
      <c r="DI58" s="6"/>
      <c r="DJ58" s="6"/>
      <c r="DK58" s="6"/>
      <c r="DL58" s="5"/>
    </row>
    <row r="59" spans="1:116">
      <c r="A59" s="206"/>
      <c r="B59" s="56"/>
      <c r="C59" s="14"/>
      <c r="D59" s="11"/>
      <c r="E59" s="11"/>
      <c r="F59" s="11"/>
      <c r="G59" s="11"/>
      <c r="H59" s="23"/>
      <c r="I59" s="23"/>
      <c r="J59" s="23"/>
      <c r="K59" s="21"/>
      <c r="L59" s="21"/>
      <c r="M59" s="21"/>
      <c r="N59" s="21"/>
      <c r="O59" s="21"/>
      <c r="P59" s="15"/>
      <c r="Q59" s="15"/>
      <c r="R59" s="94"/>
      <c r="S59" s="94"/>
      <c r="T59" s="94"/>
      <c r="U59" s="94"/>
      <c r="V59" s="98"/>
      <c r="W59" s="98"/>
      <c r="X59" s="98"/>
      <c r="Y59" s="98"/>
      <c r="Z59" s="98"/>
      <c r="AA59" s="98"/>
      <c r="AB59" s="98"/>
      <c r="AC59" s="98"/>
      <c r="AD59" s="98"/>
      <c r="AE59" s="98"/>
      <c r="AF59" s="98"/>
      <c r="AG59" s="98"/>
      <c r="AH59" s="98"/>
      <c r="AI59" s="98"/>
      <c r="AJ59" s="98"/>
      <c r="AK59" s="98"/>
      <c r="AL59" s="98"/>
      <c r="AM59" s="98"/>
      <c r="AN59" s="7"/>
      <c r="AO59" s="148"/>
      <c r="AP59" s="163"/>
      <c r="AQ59" s="39"/>
      <c r="AR59" s="39"/>
      <c r="AS59" s="39"/>
      <c r="AT59" s="39"/>
      <c r="AU59" s="39"/>
      <c r="AV59" s="39"/>
      <c r="AW59" s="39"/>
      <c r="AX59" s="39"/>
      <c r="AY59" s="39"/>
      <c r="AZ59" s="39"/>
      <c r="BA59" s="39"/>
      <c r="BB59" s="39"/>
      <c r="BC59" s="39"/>
      <c r="BD59" s="39"/>
      <c r="BE59" s="39"/>
      <c r="BF59" s="39"/>
      <c r="BG59" s="39"/>
      <c r="BH59" s="176"/>
      <c r="BI59" s="186"/>
      <c r="BJ59" s="43"/>
      <c r="BK59" s="43"/>
      <c r="BL59" s="43"/>
      <c r="BM59" s="43"/>
      <c r="BN59" s="43"/>
      <c r="BO59" s="43"/>
      <c r="BP59" s="43"/>
      <c r="BQ59" s="43"/>
      <c r="BR59" s="43"/>
      <c r="BS59" s="43"/>
      <c r="BT59" s="43"/>
      <c r="BU59" s="43"/>
      <c r="BV59" s="43"/>
      <c r="BW59" s="43"/>
      <c r="BX59" s="43"/>
      <c r="BY59" s="43"/>
      <c r="BZ59" s="194"/>
      <c r="CA59" s="203"/>
      <c r="CB59" s="74"/>
      <c r="CC59" s="74"/>
      <c r="CD59" s="74"/>
      <c r="CE59" s="74"/>
      <c r="CF59" s="74"/>
      <c r="CG59" s="74"/>
      <c r="CH59" s="74"/>
      <c r="CI59" s="74"/>
      <c r="CJ59" s="74"/>
      <c r="CK59" s="74"/>
      <c r="CL59" s="74"/>
      <c r="CM59" s="74"/>
      <c r="CN59" s="74"/>
      <c r="CO59" s="74"/>
      <c r="CP59" s="74"/>
      <c r="CQ59" s="74"/>
      <c r="CR59" s="74"/>
      <c r="CS59" s="73"/>
      <c r="CT59" s="6"/>
      <c r="CU59" s="6"/>
      <c r="CV59" s="6"/>
      <c r="CW59" s="6"/>
      <c r="CX59" s="6"/>
      <c r="CY59" s="6"/>
      <c r="CZ59" s="6"/>
      <c r="DA59" s="6"/>
      <c r="DB59" s="6"/>
      <c r="DC59" s="6"/>
      <c r="DD59" s="6"/>
      <c r="DE59" s="6"/>
      <c r="DF59" s="6"/>
      <c r="DG59" s="6"/>
      <c r="DH59" s="6"/>
      <c r="DI59" s="6"/>
      <c r="DJ59" s="6"/>
      <c r="DK59" s="6"/>
      <c r="DL59" s="5"/>
    </row>
    <row r="60" spans="1:116">
      <c r="A60" s="206"/>
      <c r="B60" s="56"/>
      <c r="C60" s="15"/>
      <c r="D60" s="11"/>
      <c r="E60" s="11"/>
      <c r="F60" s="11"/>
      <c r="G60" s="11"/>
      <c r="H60" s="23"/>
      <c r="I60" s="23"/>
      <c r="J60" s="23"/>
      <c r="K60" s="21"/>
      <c r="L60" s="21"/>
      <c r="M60" s="21"/>
      <c r="N60" s="21"/>
      <c r="O60" s="21"/>
      <c r="P60" s="15"/>
      <c r="Q60" s="15"/>
      <c r="R60" s="94"/>
      <c r="S60" s="94"/>
      <c r="T60" s="94"/>
      <c r="U60" s="94"/>
      <c r="V60" s="98"/>
      <c r="W60" s="98"/>
      <c r="X60" s="98"/>
      <c r="Y60" s="98"/>
      <c r="Z60" s="98"/>
      <c r="AA60" s="98"/>
      <c r="AB60" s="98"/>
      <c r="AC60" s="98"/>
      <c r="AD60" s="98"/>
      <c r="AE60" s="98"/>
      <c r="AF60" s="98"/>
      <c r="AG60" s="98"/>
      <c r="AH60" s="98"/>
      <c r="AI60" s="98"/>
      <c r="AJ60" s="98"/>
      <c r="AK60" s="98"/>
      <c r="AL60" s="98"/>
      <c r="AM60" s="98"/>
      <c r="AN60" s="7"/>
      <c r="AO60" s="148"/>
      <c r="AP60" s="163"/>
      <c r="AQ60" s="39"/>
      <c r="AR60" s="39"/>
      <c r="AS60" s="39"/>
      <c r="AT60" s="39"/>
      <c r="AU60" s="39"/>
      <c r="AV60" s="39"/>
      <c r="AW60" s="39"/>
      <c r="AX60" s="39"/>
      <c r="AY60" s="39"/>
      <c r="AZ60" s="39"/>
      <c r="BA60" s="39"/>
      <c r="BB60" s="39"/>
      <c r="BC60" s="39"/>
      <c r="BD60" s="39"/>
      <c r="BE60" s="39"/>
      <c r="BF60" s="39"/>
      <c r="BG60" s="39"/>
      <c r="BH60" s="176"/>
      <c r="BI60" s="186"/>
      <c r="BJ60" s="43"/>
      <c r="BK60" s="43"/>
      <c r="BL60" s="43"/>
      <c r="BM60" s="43"/>
      <c r="BN60" s="43"/>
      <c r="BO60" s="43"/>
      <c r="BP60" s="43"/>
      <c r="BQ60" s="43"/>
      <c r="BR60" s="43"/>
      <c r="BS60" s="43"/>
      <c r="BT60" s="43"/>
      <c r="BU60" s="43"/>
      <c r="BV60" s="43"/>
      <c r="BW60" s="43"/>
      <c r="BX60" s="43"/>
      <c r="BY60" s="43"/>
      <c r="BZ60" s="194"/>
      <c r="CA60" s="203"/>
      <c r="CB60" s="74"/>
      <c r="CC60" s="74"/>
      <c r="CD60" s="74"/>
      <c r="CE60" s="74"/>
      <c r="CF60" s="74"/>
      <c r="CG60" s="74"/>
      <c r="CH60" s="74"/>
      <c r="CI60" s="74"/>
      <c r="CJ60" s="74"/>
      <c r="CK60" s="74"/>
      <c r="CL60" s="74"/>
      <c r="CM60" s="74"/>
      <c r="CN60" s="74"/>
      <c r="CO60" s="74"/>
      <c r="CP60" s="74"/>
      <c r="CQ60" s="74"/>
      <c r="CR60" s="74"/>
      <c r="CS60" s="73"/>
      <c r="CT60" s="6"/>
      <c r="CU60" s="6"/>
      <c r="CV60" s="6"/>
      <c r="CW60" s="6"/>
      <c r="CX60" s="6"/>
      <c r="CY60" s="6"/>
      <c r="CZ60" s="6"/>
      <c r="DA60" s="6"/>
      <c r="DB60" s="6"/>
      <c r="DC60" s="6"/>
      <c r="DD60" s="6"/>
      <c r="DE60" s="6"/>
      <c r="DF60" s="6"/>
      <c r="DG60" s="6"/>
      <c r="DH60" s="6"/>
      <c r="DI60" s="6"/>
      <c r="DJ60" s="6"/>
      <c r="DK60" s="6"/>
      <c r="DL60" s="5"/>
    </row>
    <row r="61" spans="1:116">
      <c r="A61" s="206"/>
      <c r="B61" s="56"/>
      <c r="C61" s="15"/>
      <c r="D61" s="11"/>
      <c r="E61" s="11"/>
      <c r="F61" s="11"/>
      <c r="G61" s="11"/>
      <c r="H61" s="23"/>
      <c r="I61" s="23"/>
      <c r="J61" s="23"/>
      <c r="K61" s="21"/>
      <c r="L61" s="21"/>
      <c r="M61" s="21"/>
      <c r="N61" s="21"/>
      <c r="O61" s="21"/>
      <c r="P61" s="15"/>
      <c r="Q61" s="15"/>
      <c r="R61" s="94"/>
      <c r="S61" s="94"/>
      <c r="T61" s="94"/>
      <c r="U61" s="94"/>
      <c r="V61" s="98"/>
      <c r="W61" s="98"/>
      <c r="X61" s="98"/>
      <c r="Y61" s="98"/>
      <c r="Z61" s="98"/>
      <c r="AA61" s="98"/>
      <c r="AB61" s="98"/>
      <c r="AC61" s="98"/>
      <c r="AD61" s="98"/>
      <c r="AE61" s="98"/>
      <c r="AF61" s="98"/>
      <c r="AG61" s="98"/>
      <c r="AH61" s="98"/>
      <c r="AI61" s="98"/>
      <c r="AJ61" s="98"/>
      <c r="AK61" s="98"/>
      <c r="AL61" s="98"/>
      <c r="AM61" s="98"/>
      <c r="AN61" s="7"/>
      <c r="AO61" s="148"/>
      <c r="AP61" s="163"/>
      <c r="AQ61" s="39"/>
      <c r="AR61" s="39"/>
      <c r="AS61" s="39"/>
      <c r="AT61" s="39"/>
      <c r="AU61" s="39"/>
      <c r="AV61" s="39"/>
      <c r="AW61" s="39"/>
      <c r="AX61" s="39"/>
      <c r="AY61" s="39"/>
      <c r="AZ61" s="39"/>
      <c r="BA61" s="39"/>
      <c r="BB61" s="39"/>
      <c r="BC61" s="39"/>
      <c r="BD61" s="39"/>
      <c r="BE61" s="39"/>
      <c r="BF61" s="39"/>
      <c r="BG61" s="39"/>
      <c r="BH61" s="176"/>
      <c r="BI61" s="186"/>
      <c r="BJ61" s="43"/>
      <c r="BK61" s="43"/>
      <c r="BL61" s="43"/>
      <c r="BM61" s="43"/>
      <c r="BN61" s="43"/>
      <c r="BO61" s="43"/>
      <c r="BP61" s="43"/>
      <c r="BQ61" s="43"/>
      <c r="BR61" s="43"/>
      <c r="BS61" s="43"/>
      <c r="BT61" s="43"/>
      <c r="BU61" s="43"/>
      <c r="BV61" s="43"/>
      <c r="BW61" s="43"/>
      <c r="BX61" s="43"/>
      <c r="BY61" s="43"/>
      <c r="BZ61" s="194"/>
      <c r="CA61" s="203"/>
      <c r="CB61" s="74"/>
      <c r="CC61" s="74"/>
      <c r="CD61" s="74"/>
      <c r="CE61" s="74"/>
      <c r="CF61" s="74"/>
      <c r="CG61" s="74"/>
      <c r="CH61" s="74"/>
      <c r="CI61" s="74"/>
      <c r="CJ61" s="74"/>
      <c r="CK61" s="74"/>
      <c r="CL61" s="74"/>
      <c r="CM61" s="74"/>
      <c r="CN61" s="74"/>
      <c r="CO61" s="74"/>
      <c r="CP61" s="74"/>
      <c r="CQ61" s="74"/>
      <c r="CR61" s="74"/>
      <c r="CS61" s="73"/>
      <c r="CT61" s="6"/>
      <c r="CU61" s="6"/>
      <c r="CV61" s="6"/>
      <c r="CW61" s="6"/>
      <c r="CX61" s="6"/>
      <c r="CY61" s="6"/>
      <c r="CZ61" s="6"/>
      <c r="DA61" s="6"/>
      <c r="DB61" s="6"/>
      <c r="DC61" s="6"/>
      <c r="DD61" s="6"/>
      <c r="DE61" s="6"/>
      <c r="DF61" s="6"/>
      <c r="DG61" s="6"/>
      <c r="DH61" s="6"/>
      <c r="DI61" s="6"/>
      <c r="DJ61" s="6"/>
      <c r="DK61" s="6"/>
      <c r="DL61" s="5"/>
    </row>
    <row r="62" spans="1:116">
      <c r="A62" s="206"/>
      <c r="B62" s="56"/>
      <c r="C62" s="15"/>
      <c r="D62" s="11"/>
      <c r="E62" s="11"/>
      <c r="F62" s="11"/>
      <c r="G62" s="11"/>
      <c r="H62" s="23"/>
      <c r="I62" s="23"/>
      <c r="J62" s="23"/>
      <c r="K62" s="21"/>
      <c r="L62" s="21"/>
      <c r="M62" s="21"/>
      <c r="N62" s="21"/>
      <c r="O62" s="21"/>
      <c r="P62" s="15"/>
      <c r="Q62" s="15"/>
      <c r="R62" s="94"/>
      <c r="S62" s="94"/>
      <c r="T62" s="94"/>
      <c r="U62" s="94"/>
      <c r="V62" s="98"/>
      <c r="W62" s="98"/>
      <c r="X62" s="98"/>
      <c r="Y62" s="98"/>
      <c r="Z62" s="98"/>
      <c r="AA62" s="98"/>
      <c r="AB62" s="98"/>
      <c r="AC62" s="98"/>
      <c r="AD62" s="98"/>
      <c r="AE62" s="98"/>
      <c r="AF62" s="98"/>
      <c r="AG62" s="98"/>
      <c r="AH62" s="98"/>
      <c r="AI62" s="98"/>
      <c r="AJ62" s="98"/>
      <c r="AK62" s="98"/>
      <c r="AL62" s="98"/>
      <c r="AM62" s="98"/>
      <c r="AN62" s="7"/>
      <c r="AO62" s="148"/>
      <c r="AP62" s="163"/>
      <c r="AQ62" s="39"/>
      <c r="AR62" s="39"/>
      <c r="AS62" s="39"/>
      <c r="AT62" s="39"/>
      <c r="AU62" s="39"/>
      <c r="AV62" s="39"/>
      <c r="AW62" s="39"/>
      <c r="AX62" s="39"/>
      <c r="AY62" s="39"/>
      <c r="AZ62" s="39"/>
      <c r="BA62" s="39"/>
      <c r="BB62" s="39"/>
      <c r="BC62" s="39"/>
      <c r="BD62" s="39"/>
      <c r="BE62" s="39"/>
      <c r="BF62" s="39"/>
      <c r="BG62" s="39"/>
      <c r="BH62" s="176"/>
      <c r="BI62" s="186"/>
      <c r="BJ62" s="43"/>
      <c r="BK62" s="43"/>
      <c r="BL62" s="43"/>
      <c r="BM62" s="43"/>
      <c r="BN62" s="43"/>
      <c r="BO62" s="43"/>
      <c r="BP62" s="43"/>
      <c r="BQ62" s="43"/>
      <c r="BR62" s="43"/>
      <c r="BS62" s="43"/>
      <c r="BT62" s="43"/>
      <c r="BU62" s="43"/>
      <c r="BV62" s="43"/>
      <c r="BW62" s="43"/>
      <c r="BX62" s="43"/>
      <c r="BY62" s="43"/>
      <c r="BZ62" s="194"/>
      <c r="CA62" s="203"/>
      <c r="CB62" s="74"/>
      <c r="CC62" s="74"/>
      <c r="CD62" s="74"/>
      <c r="CE62" s="74"/>
      <c r="CF62" s="74"/>
      <c r="CG62" s="74"/>
      <c r="CH62" s="74"/>
      <c r="CI62" s="74"/>
      <c r="CJ62" s="74"/>
      <c r="CK62" s="74"/>
      <c r="CL62" s="74"/>
      <c r="CM62" s="74"/>
      <c r="CN62" s="74"/>
      <c r="CO62" s="74"/>
      <c r="CP62" s="74"/>
      <c r="CQ62" s="74"/>
      <c r="CR62" s="74"/>
      <c r="CS62" s="73"/>
      <c r="CT62" s="6"/>
      <c r="CU62" s="6"/>
      <c r="CV62" s="6"/>
      <c r="CW62" s="6"/>
      <c r="CX62" s="6"/>
      <c r="CY62" s="6"/>
      <c r="CZ62" s="6"/>
      <c r="DA62" s="6"/>
      <c r="DB62" s="6"/>
      <c r="DC62" s="6"/>
      <c r="DD62" s="6"/>
      <c r="DE62" s="6"/>
      <c r="DF62" s="6"/>
      <c r="DG62" s="6"/>
      <c r="DH62" s="6"/>
      <c r="DI62" s="6"/>
      <c r="DJ62" s="6"/>
      <c r="DK62" s="6"/>
      <c r="DL62" s="5"/>
    </row>
    <row r="63" spans="1:116">
      <c r="A63" s="206"/>
      <c r="B63" s="56"/>
      <c r="C63" s="15"/>
      <c r="D63" s="11"/>
      <c r="E63" s="11"/>
      <c r="F63" s="11"/>
      <c r="G63" s="11"/>
      <c r="H63" s="23"/>
      <c r="I63" s="23"/>
      <c r="J63" s="23"/>
      <c r="K63" s="21"/>
      <c r="L63" s="21"/>
      <c r="M63" s="21"/>
      <c r="N63" s="21"/>
      <c r="O63" s="21"/>
      <c r="P63" s="15"/>
      <c r="Q63" s="15"/>
      <c r="R63" s="94"/>
      <c r="S63" s="94"/>
      <c r="T63" s="94"/>
      <c r="U63" s="94"/>
      <c r="V63" s="98"/>
      <c r="W63" s="98"/>
      <c r="X63" s="98"/>
      <c r="Y63" s="98"/>
      <c r="Z63" s="98"/>
      <c r="AA63" s="98"/>
      <c r="AB63" s="98"/>
      <c r="AC63" s="98"/>
      <c r="AD63" s="98"/>
      <c r="AE63" s="98"/>
      <c r="AF63" s="98"/>
      <c r="AG63" s="98"/>
      <c r="AH63" s="98"/>
      <c r="AI63" s="98"/>
      <c r="AJ63" s="98"/>
      <c r="AK63" s="98"/>
      <c r="AL63" s="98"/>
      <c r="AM63" s="98"/>
      <c r="AN63" s="7"/>
      <c r="AO63" s="148"/>
      <c r="AP63" s="163"/>
      <c r="AQ63" s="39"/>
      <c r="AR63" s="39"/>
      <c r="AS63" s="39"/>
      <c r="AT63" s="39"/>
      <c r="AU63" s="39"/>
      <c r="AV63" s="39"/>
      <c r="AW63" s="39"/>
      <c r="AX63" s="39"/>
      <c r="AY63" s="39"/>
      <c r="AZ63" s="39"/>
      <c r="BA63" s="39"/>
      <c r="BB63" s="39"/>
      <c r="BC63" s="39"/>
      <c r="BD63" s="39"/>
      <c r="BE63" s="39"/>
      <c r="BF63" s="39"/>
      <c r="BG63" s="39"/>
      <c r="BH63" s="176"/>
      <c r="BI63" s="186"/>
      <c r="BJ63" s="43"/>
      <c r="BK63" s="43"/>
      <c r="BL63" s="43"/>
      <c r="BM63" s="43"/>
      <c r="BN63" s="43"/>
      <c r="BO63" s="43"/>
      <c r="BP63" s="43"/>
      <c r="BQ63" s="43"/>
      <c r="BR63" s="43"/>
      <c r="BS63" s="43"/>
      <c r="BT63" s="43"/>
      <c r="BU63" s="43"/>
      <c r="BV63" s="43"/>
      <c r="BW63" s="43"/>
      <c r="BX63" s="43"/>
      <c r="BY63" s="43"/>
      <c r="BZ63" s="194"/>
      <c r="CA63" s="203"/>
      <c r="CB63" s="74"/>
      <c r="CC63" s="74"/>
      <c r="CD63" s="74"/>
      <c r="CE63" s="74"/>
      <c r="CF63" s="74"/>
      <c r="CG63" s="74"/>
      <c r="CH63" s="74"/>
      <c r="CI63" s="74"/>
      <c r="CJ63" s="74"/>
      <c r="CK63" s="74"/>
      <c r="CL63" s="74"/>
      <c r="CM63" s="74"/>
      <c r="CN63" s="74"/>
      <c r="CO63" s="74"/>
      <c r="CP63" s="74"/>
      <c r="CQ63" s="74"/>
      <c r="CR63" s="74"/>
      <c r="CS63" s="73"/>
      <c r="CT63" s="6"/>
      <c r="CU63" s="6"/>
      <c r="CV63" s="6"/>
      <c r="CW63" s="6"/>
      <c r="CX63" s="6"/>
      <c r="CY63" s="6"/>
      <c r="CZ63" s="6"/>
      <c r="DA63" s="6"/>
      <c r="DB63" s="6"/>
      <c r="DC63" s="6"/>
      <c r="DD63" s="6"/>
      <c r="DE63" s="6"/>
      <c r="DF63" s="6"/>
      <c r="DG63" s="6"/>
      <c r="DH63" s="6"/>
      <c r="DI63" s="6"/>
      <c r="DJ63" s="6"/>
      <c r="DK63" s="6"/>
      <c r="DL63" s="5"/>
    </row>
    <row r="64" spans="1:116" s="70" customFormat="1" ht="17" thickBot="1">
      <c r="A64" s="207"/>
      <c r="B64" s="63"/>
      <c r="C64" s="116"/>
      <c r="D64" s="64"/>
      <c r="E64" s="64"/>
      <c r="F64" s="64"/>
      <c r="G64" s="64"/>
      <c r="H64" s="62"/>
      <c r="I64" s="62"/>
      <c r="J64" s="62"/>
      <c r="K64" s="65"/>
      <c r="L64" s="65"/>
      <c r="M64" s="65"/>
      <c r="N64" s="65"/>
      <c r="O64" s="65"/>
      <c r="P64" s="116"/>
      <c r="Q64" s="116"/>
      <c r="R64" s="96"/>
      <c r="S64" s="96"/>
      <c r="T64" s="96"/>
      <c r="U64" s="96"/>
      <c r="V64" s="99"/>
      <c r="W64" s="99"/>
      <c r="X64" s="99"/>
      <c r="Y64" s="99"/>
      <c r="Z64" s="99"/>
      <c r="AA64" s="99"/>
      <c r="AB64" s="99"/>
      <c r="AC64" s="99"/>
      <c r="AD64" s="99"/>
      <c r="AE64" s="99"/>
      <c r="AF64" s="99"/>
      <c r="AG64" s="99"/>
      <c r="AH64" s="99"/>
      <c r="AI64" s="99"/>
      <c r="AJ64" s="99"/>
      <c r="AK64" s="99"/>
      <c r="AL64" s="99"/>
      <c r="AM64" s="99"/>
      <c r="AN64" s="66"/>
      <c r="AO64" s="149"/>
      <c r="AP64" s="164"/>
      <c r="AQ64" s="67"/>
      <c r="AR64" s="67"/>
      <c r="AS64" s="67"/>
      <c r="AT64" s="67"/>
      <c r="AU64" s="67"/>
      <c r="AV64" s="67"/>
      <c r="AW64" s="67"/>
      <c r="AX64" s="67"/>
      <c r="AY64" s="67"/>
      <c r="AZ64" s="67"/>
      <c r="BA64" s="67"/>
      <c r="BB64" s="67"/>
      <c r="BC64" s="67"/>
      <c r="BD64" s="67"/>
      <c r="BE64" s="67"/>
      <c r="BF64" s="67"/>
      <c r="BG64" s="67"/>
      <c r="BH64" s="177"/>
      <c r="BI64" s="187"/>
      <c r="BJ64" s="68"/>
      <c r="BK64" s="68"/>
      <c r="BL64" s="68"/>
      <c r="BM64" s="68"/>
      <c r="BN64" s="68"/>
      <c r="BO64" s="68"/>
      <c r="BP64" s="68"/>
      <c r="BQ64" s="68"/>
      <c r="BR64" s="68"/>
      <c r="BS64" s="68"/>
      <c r="BT64" s="68"/>
      <c r="BU64" s="68"/>
      <c r="BV64" s="68"/>
      <c r="BW64" s="68"/>
      <c r="BX64" s="68"/>
      <c r="BY64" s="68"/>
      <c r="BZ64" s="195"/>
      <c r="CA64" s="204"/>
      <c r="CB64" s="75"/>
      <c r="CC64" s="75"/>
      <c r="CD64" s="75"/>
      <c r="CE64" s="75"/>
      <c r="CF64" s="75"/>
      <c r="CG64" s="75"/>
      <c r="CH64" s="75"/>
      <c r="CI64" s="75"/>
      <c r="CJ64" s="75"/>
      <c r="CK64" s="75"/>
      <c r="CL64" s="75"/>
      <c r="CM64" s="75"/>
      <c r="CN64" s="75"/>
      <c r="CO64" s="75"/>
      <c r="CP64" s="75"/>
      <c r="CQ64" s="75"/>
      <c r="CR64" s="75"/>
      <c r="CS64" s="76"/>
      <c r="CT64" s="69"/>
      <c r="CU64" s="69"/>
      <c r="CV64" s="69"/>
      <c r="CW64" s="69"/>
      <c r="CX64" s="69"/>
      <c r="CY64" s="69"/>
      <c r="CZ64" s="69"/>
      <c r="DA64" s="69"/>
      <c r="DB64" s="69"/>
      <c r="DC64" s="69"/>
      <c r="DD64" s="69"/>
      <c r="DE64" s="69"/>
      <c r="DF64" s="69"/>
      <c r="DG64" s="69"/>
      <c r="DH64" s="69"/>
      <c r="DI64" s="69"/>
      <c r="DJ64" s="69"/>
      <c r="DK64" s="69"/>
      <c r="DL64" s="71"/>
    </row>
    <row r="65" spans="1:79" s="61" customFormat="1">
      <c r="A65" s="57"/>
      <c r="B65" s="57"/>
      <c r="C65" s="115"/>
      <c r="D65" s="58"/>
      <c r="E65" s="58"/>
      <c r="F65" s="59"/>
      <c r="G65" s="59"/>
      <c r="H65" s="57"/>
      <c r="I65" s="57"/>
      <c r="J65" s="57"/>
      <c r="K65" s="60"/>
      <c r="L65" s="60"/>
      <c r="M65" s="60"/>
      <c r="N65" s="60"/>
      <c r="O65" s="60"/>
      <c r="P65" s="115"/>
      <c r="Q65" s="115"/>
      <c r="R65" s="60"/>
      <c r="S65" s="60"/>
      <c r="T65" s="60"/>
      <c r="U65" s="60"/>
      <c r="AO65" s="150"/>
      <c r="AP65" s="165"/>
      <c r="BH65" s="178"/>
      <c r="BI65" s="165"/>
      <c r="BZ65" s="178"/>
      <c r="CA65" s="165"/>
    </row>
    <row r="66" spans="1:79">
      <c r="C66" s="8"/>
      <c r="F66" s="9"/>
      <c r="G66" s="9"/>
      <c r="H66" s="1"/>
      <c r="I66" s="1"/>
      <c r="J66" s="1"/>
      <c r="K66" s="8"/>
      <c r="V66" s="1"/>
      <c r="AO66" s="151"/>
      <c r="AP66" s="166"/>
    </row>
    <row r="67" spans="1:79">
      <c r="C67" s="8"/>
      <c r="F67" s="9"/>
      <c r="G67" s="9"/>
      <c r="H67" s="1"/>
      <c r="I67" s="1"/>
      <c r="J67" s="1"/>
      <c r="K67" s="8"/>
      <c r="V67" s="1"/>
      <c r="AO67" s="151"/>
      <c r="AP67" s="166"/>
    </row>
    <row r="68" spans="1:79">
      <c r="C68" s="8"/>
      <c r="F68" s="9"/>
      <c r="G68" s="9"/>
      <c r="H68" s="1"/>
      <c r="I68" s="1"/>
      <c r="J68" s="1"/>
      <c r="K68" s="8"/>
      <c r="V68" s="1"/>
      <c r="AO68" s="151"/>
      <c r="AP68" s="166"/>
    </row>
    <row r="69" spans="1:79">
      <c r="C69" s="8"/>
      <c r="F69" s="9"/>
      <c r="G69" s="9"/>
      <c r="H69" s="1"/>
      <c r="I69" s="1"/>
      <c r="J69" s="1"/>
      <c r="K69" s="8"/>
      <c r="V69" s="1"/>
      <c r="AO69" s="151"/>
      <c r="AP69" s="166"/>
    </row>
    <row r="70" spans="1:79">
      <c r="C70" s="8"/>
      <c r="F70" s="9"/>
      <c r="G70" s="9"/>
      <c r="H70" s="1"/>
      <c r="I70" s="1"/>
      <c r="J70" s="1"/>
      <c r="K70" s="8"/>
      <c r="V70" s="1"/>
      <c r="AO70" s="151"/>
      <c r="AP70" s="166"/>
    </row>
    <row r="71" spans="1:79">
      <c r="C71" s="8"/>
      <c r="F71" s="9"/>
      <c r="G71" s="9"/>
      <c r="H71" s="1"/>
      <c r="I71" s="1"/>
      <c r="J71" s="1"/>
      <c r="K71" s="8"/>
      <c r="V71" s="1"/>
      <c r="AO71" s="151"/>
      <c r="AP71" s="166"/>
    </row>
    <row r="72" spans="1:79">
      <c r="C72" s="8"/>
      <c r="F72" s="9"/>
      <c r="G72" s="9"/>
      <c r="H72" s="1"/>
      <c r="I72" s="1"/>
      <c r="J72" s="1"/>
      <c r="K72" s="8"/>
      <c r="V72" s="1"/>
      <c r="AO72" s="151"/>
      <c r="AP72" s="166"/>
    </row>
    <row r="73" spans="1:79">
      <c r="C73" s="8"/>
      <c r="F73" s="9"/>
      <c r="G73" s="9"/>
      <c r="H73" s="1"/>
      <c r="I73" s="1"/>
      <c r="J73" s="1"/>
      <c r="K73" s="8"/>
      <c r="V73" s="1"/>
      <c r="AO73" s="151"/>
      <c r="AP73" s="166"/>
    </row>
    <row r="74" spans="1:79">
      <c r="C74" s="8"/>
      <c r="F74" s="9"/>
      <c r="G74" s="9"/>
      <c r="H74" s="1"/>
      <c r="I74" s="1"/>
      <c r="J74" s="1"/>
      <c r="K74" s="8"/>
      <c r="V74" s="1"/>
      <c r="AO74" s="151"/>
      <c r="AP74" s="166"/>
    </row>
    <row r="75" spans="1:79">
      <c r="C75" s="8"/>
      <c r="F75" s="9"/>
      <c r="G75" s="9"/>
      <c r="H75" s="1"/>
      <c r="I75" s="1"/>
      <c r="J75" s="1"/>
      <c r="K75" s="8"/>
      <c r="V75" s="1"/>
      <c r="AO75" s="151"/>
      <c r="AP75" s="166"/>
    </row>
    <row r="76" spans="1:79">
      <c r="C76" s="8"/>
      <c r="F76" s="9"/>
      <c r="G76" s="9"/>
      <c r="H76" s="1"/>
      <c r="I76" s="1"/>
      <c r="J76" s="1"/>
      <c r="K76" s="8"/>
      <c r="V76" s="1"/>
      <c r="AO76" s="151"/>
      <c r="AP76" s="166"/>
    </row>
    <row r="77" spans="1:79">
      <c r="D77" s="8"/>
      <c r="I77" s="1"/>
      <c r="J77" s="1"/>
    </row>
    <row r="78" spans="1:79">
      <c r="D78" s="8"/>
      <c r="I78" s="1"/>
      <c r="J78" s="1"/>
    </row>
    <row r="79" spans="1:79">
      <c r="D79" s="8"/>
      <c r="I79" s="1"/>
      <c r="J79" s="1"/>
    </row>
    <row r="80" spans="1:79">
      <c r="D80" s="8"/>
      <c r="I80" s="1"/>
      <c r="J80" s="1"/>
    </row>
    <row r="81" spans="4:11">
      <c r="D81" s="8"/>
      <c r="I81" s="1"/>
      <c r="J81" s="1"/>
    </row>
    <row r="82" spans="4:11">
      <c r="D82" s="8"/>
      <c r="I82" s="1"/>
      <c r="J82" s="1"/>
    </row>
    <row r="83" spans="4:11">
      <c r="D83" s="8"/>
      <c r="I83" s="1"/>
      <c r="J83" s="1"/>
    </row>
    <row r="84" spans="4:11">
      <c r="I84" s="1"/>
      <c r="J84" s="1"/>
      <c r="K84" s="8"/>
    </row>
    <row r="85" spans="4:11">
      <c r="I85" s="1"/>
      <c r="J85" s="1"/>
      <c r="K85" s="8"/>
    </row>
    <row r="86" spans="4:11">
      <c r="I86" s="1"/>
      <c r="J86" s="1"/>
    </row>
    <row r="87" spans="4:11">
      <c r="I87" s="1"/>
      <c r="J87" s="1"/>
    </row>
    <row r="88" spans="4:11">
      <c r="I88" s="1"/>
      <c r="J88" s="1"/>
    </row>
    <row r="89" spans="4:11">
      <c r="I89" s="1"/>
      <c r="J89" s="1"/>
    </row>
    <row r="90" spans="4:11">
      <c r="I90" s="1"/>
      <c r="J90" s="1"/>
    </row>
    <row r="91" spans="4:11">
      <c r="I91" s="1"/>
      <c r="J91" s="1"/>
    </row>
    <row r="92" spans="4:11">
      <c r="I92" s="1"/>
      <c r="J92" s="1"/>
    </row>
    <row r="93" spans="4:11">
      <c r="I93" s="1"/>
      <c r="J93" s="1"/>
    </row>
    <row r="94" spans="4:11">
      <c r="I94" s="1"/>
      <c r="J94" s="1"/>
    </row>
    <row r="95" spans="4:11">
      <c r="I95" s="1"/>
      <c r="J95" s="1"/>
    </row>
    <row r="96" spans="4:11">
      <c r="I96" s="1"/>
      <c r="J96" s="1"/>
    </row>
    <row r="97" spans="9:10">
      <c r="I97" s="1"/>
      <c r="J97" s="1"/>
    </row>
    <row r="98" spans="9:10">
      <c r="I98" s="1"/>
      <c r="J98" s="1"/>
    </row>
    <row r="99" spans="9:10">
      <c r="I99" s="1"/>
      <c r="J99" s="1"/>
    </row>
    <row r="100" spans="9:10">
      <c r="I100" s="1"/>
      <c r="J100" s="1"/>
    </row>
    <row r="101" spans="9:10">
      <c r="I101" s="1"/>
      <c r="J101" s="1"/>
    </row>
    <row r="102" spans="9:10">
      <c r="I102" s="1"/>
      <c r="J102" s="1"/>
    </row>
    <row r="103" spans="9:10">
      <c r="I103" s="1"/>
      <c r="J103" s="1"/>
    </row>
    <row r="104" spans="9:10">
      <c r="I104" s="1"/>
      <c r="J104" s="1"/>
    </row>
    <row r="105" spans="9:10">
      <c r="I105" s="1"/>
      <c r="J105" s="1"/>
    </row>
    <row r="106" spans="9:10">
      <c r="I106" s="1"/>
      <c r="J106" s="1"/>
    </row>
    <row r="107" spans="9:10">
      <c r="I107" s="1"/>
      <c r="J107" s="1"/>
    </row>
    <row r="108" spans="9:10">
      <c r="I108" s="1"/>
      <c r="J108" s="1"/>
    </row>
    <row r="109" spans="9:10">
      <c r="I109" s="1"/>
      <c r="J109" s="1"/>
    </row>
    <row r="110" spans="9:10">
      <c r="I110" s="1"/>
      <c r="J110" s="1"/>
    </row>
    <row r="111" spans="9:10">
      <c r="I111" s="1"/>
      <c r="J111" s="1"/>
    </row>
    <row r="112" spans="9:10">
      <c r="I112" s="1"/>
      <c r="J112" s="1"/>
    </row>
    <row r="113" spans="9:10">
      <c r="I113" s="1"/>
      <c r="J113" s="1"/>
    </row>
    <row r="114" spans="9:10">
      <c r="I114" s="1"/>
      <c r="J114" s="1"/>
    </row>
    <row r="115" spans="9:10">
      <c r="I115" s="1"/>
      <c r="J115" s="1"/>
    </row>
    <row r="116" spans="9:10">
      <c r="I116" s="1"/>
      <c r="J116" s="1"/>
    </row>
    <row r="117" spans="9:10">
      <c r="I117" s="1"/>
      <c r="J117" s="1"/>
    </row>
    <row r="118" spans="9:10">
      <c r="I118" s="1"/>
      <c r="J118" s="1"/>
    </row>
    <row r="119" spans="9:10">
      <c r="I119" s="1"/>
      <c r="J119" s="1"/>
    </row>
    <row r="120" spans="9:10">
      <c r="I120" s="1"/>
      <c r="J120" s="1"/>
    </row>
    <row r="121" spans="9:10">
      <c r="I121" s="1"/>
      <c r="J121" s="1"/>
    </row>
    <row r="122" spans="9:10">
      <c r="I122" s="1"/>
      <c r="J122" s="1"/>
    </row>
    <row r="123" spans="9:10">
      <c r="I123" s="1"/>
      <c r="J123" s="1"/>
    </row>
    <row r="124" spans="9:10">
      <c r="I124" s="1"/>
      <c r="J124" s="1"/>
    </row>
    <row r="125" spans="9:10">
      <c r="I125" s="1"/>
      <c r="J125" s="1"/>
    </row>
    <row r="126" spans="9:10">
      <c r="I126" s="1"/>
      <c r="J126" s="1"/>
    </row>
    <row r="127" spans="9:10">
      <c r="I127" s="1"/>
      <c r="J127" s="1"/>
    </row>
    <row r="128" spans="9:10">
      <c r="I128" s="1"/>
      <c r="J128" s="1"/>
    </row>
    <row r="129" spans="9:10">
      <c r="I129" s="1"/>
      <c r="J129" s="1"/>
    </row>
    <row r="130" spans="9:10">
      <c r="I130" s="1"/>
      <c r="J130" s="1"/>
    </row>
    <row r="131" spans="9:10">
      <c r="I131" s="1"/>
      <c r="J131" s="1"/>
    </row>
    <row r="132" spans="9:10">
      <c r="I132" s="1"/>
      <c r="J132" s="1"/>
    </row>
    <row r="133" spans="9:10">
      <c r="I133" s="1"/>
      <c r="J133" s="1"/>
    </row>
    <row r="134" spans="9:10">
      <c r="I134" s="1"/>
      <c r="J134" s="1"/>
    </row>
    <row r="135" spans="9:10">
      <c r="I135" s="1"/>
      <c r="J135" s="1"/>
    </row>
    <row r="136" spans="9:10">
      <c r="I136" s="1"/>
      <c r="J136" s="1"/>
    </row>
    <row r="137" spans="9:10">
      <c r="I137" s="1"/>
      <c r="J137" s="1"/>
    </row>
    <row r="138" spans="9:10">
      <c r="I138" s="1"/>
      <c r="J138" s="1"/>
    </row>
    <row r="139" spans="9:10">
      <c r="I139" s="1"/>
      <c r="J139" s="1"/>
    </row>
    <row r="140" spans="9:10">
      <c r="I140" s="1"/>
      <c r="J140" s="1"/>
    </row>
    <row r="141" spans="9:10">
      <c r="I141" s="1"/>
      <c r="J141" s="1"/>
    </row>
    <row r="142" spans="9:10">
      <c r="I142" s="1"/>
      <c r="J142" s="1"/>
    </row>
    <row r="143" spans="9:10">
      <c r="I143" s="1"/>
      <c r="J143" s="1"/>
    </row>
    <row r="144" spans="9:10">
      <c r="I144" s="1"/>
      <c r="J144" s="1"/>
    </row>
    <row r="145" spans="9:10">
      <c r="I145" s="1"/>
      <c r="J145" s="1"/>
    </row>
    <row r="146" spans="9:10">
      <c r="I146" s="1"/>
      <c r="J146" s="1"/>
    </row>
    <row r="147" spans="9:10">
      <c r="I147" s="1"/>
      <c r="J147" s="1"/>
    </row>
    <row r="148" spans="9:10">
      <c r="I148" s="1"/>
      <c r="J148" s="1"/>
    </row>
    <row r="149" spans="9:10">
      <c r="I149" s="1"/>
      <c r="J149" s="1"/>
    </row>
    <row r="150" spans="9:10">
      <c r="I150" s="1"/>
      <c r="J150" s="1"/>
    </row>
    <row r="151" spans="9:10">
      <c r="I151" s="1"/>
      <c r="J151" s="1"/>
    </row>
    <row r="152" spans="9:10">
      <c r="I152" s="1"/>
      <c r="J152" s="1"/>
    </row>
    <row r="153" spans="9:10">
      <c r="I153" s="1"/>
      <c r="J153" s="1"/>
    </row>
  </sheetData>
  <phoneticPr fontId="0" type="noConversion"/>
  <conditionalFormatting sqref="B15:B33 B35:B40">
    <cfRule type="cellIs" dxfId="0" priority="2" stopIfTrue="1" operator="greaterThan">
      <formula>0.0001</formula>
    </cfRule>
  </conditionalFormatting>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2"/>
  <sheetViews>
    <sheetView workbookViewId="0">
      <selection activeCell="A23" sqref="A23"/>
    </sheetView>
  </sheetViews>
  <sheetFormatPr baseColWidth="10" defaultColWidth="8.7109375" defaultRowHeight="16"/>
  <cols>
    <col min="1" max="1" width="32.140625" style="138" bestFit="1" customWidth="1"/>
    <col min="2" max="4" width="5.28515625" style="277" bestFit="1" customWidth="1"/>
    <col min="5" max="5" width="6.7109375" style="277" hidden="1" customWidth="1"/>
    <col min="6" max="6" width="5.28515625" style="277" bestFit="1" customWidth="1"/>
    <col min="7" max="7" width="6.140625" style="277" bestFit="1" customWidth="1"/>
    <col min="8" max="8" width="6.7109375" style="277" hidden="1" customWidth="1"/>
    <col min="9" max="9" width="6.140625" style="277" bestFit="1" customWidth="1"/>
    <col min="10" max="12" width="5.28515625" style="277" bestFit="1" customWidth="1"/>
    <col min="13" max="13" width="8.7109375" style="277" customWidth="1"/>
    <col min="14" max="14" width="6.140625" style="277" bestFit="1" customWidth="1"/>
    <col min="15" max="15" width="5" style="277" customWidth="1"/>
    <col min="16" max="16" width="5.28515625" style="277" bestFit="1" customWidth="1"/>
    <col min="17" max="17" width="5.42578125" style="277" bestFit="1" customWidth="1"/>
    <col min="18" max="19" width="6.140625" style="277" hidden="1" customWidth="1"/>
    <col min="20" max="20" width="6.140625" style="277" customWidth="1"/>
    <col min="21" max="16384" width="8.7109375" style="138"/>
  </cols>
  <sheetData>
    <row r="1" spans="1:20">
      <c r="A1" s="138" t="s">
        <v>133</v>
      </c>
    </row>
    <row r="2" spans="1:20" s="277" customFormat="1">
      <c r="A2" s="278" t="s">
        <v>130</v>
      </c>
      <c r="B2" s="276" t="s">
        <v>17</v>
      </c>
      <c r="C2" s="276" t="s">
        <v>49</v>
      </c>
      <c r="D2" s="276" t="s">
        <v>18</v>
      </c>
      <c r="E2" s="276" t="s">
        <v>96</v>
      </c>
      <c r="F2" s="276" t="s">
        <v>19</v>
      </c>
      <c r="G2" s="276" t="s">
        <v>41</v>
      </c>
      <c r="H2" s="276" t="s">
        <v>21</v>
      </c>
      <c r="I2" s="276" t="s">
        <v>20</v>
      </c>
      <c r="J2" s="276" t="s">
        <v>22</v>
      </c>
      <c r="K2" s="276" t="s">
        <v>23</v>
      </c>
      <c r="L2" s="276" t="s">
        <v>24</v>
      </c>
      <c r="M2" s="276"/>
      <c r="N2" s="276" t="s">
        <v>25</v>
      </c>
      <c r="O2" s="276" t="s">
        <v>26</v>
      </c>
      <c r="P2" s="276" t="s">
        <v>94</v>
      </c>
      <c r="Q2" s="276" t="s">
        <v>100</v>
      </c>
      <c r="R2" s="276" t="s">
        <v>27</v>
      </c>
      <c r="S2" s="276" t="s">
        <v>57</v>
      </c>
      <c r="T2" s="276" t="s">
        <v>39</v>
      </c>
    </row>
    <row r="3" spans="1:20" s="277" customFormat="1">
      <c r="A3" s="276" t="s">
        <v>84</v>
      </c>
      <c r="B3" s="276">
        <v>72.316005065747419</v>
      </c>
      <c r="C3" s="276">
        <v>0.42878841622857211</v>
      </c>
      <c r="D3" s="276">
        <v>11.39971507723212</v>
      </c>
      <c r="E3" s="276">
        <v>0</v>
      </c>
      <c r="F3" s="276">
        <v>0.13399770398659247</v>
      </c>
      <c r="G3" s="276">
        <v>3.6089030703537208</v>
      </c>
      <c r="H3" s="276">
        <v>0</v>
      </c>
      <c r="I3" s="276">
        <v>1.2660760310736674</v>
      </c>
      <c r="J3" s="276">
        <v>0.6042207773948377</v>
      </c>
      <c r="K3" s="276">
        <v>1.080183867855864</v>
      </c>
      <c r="L3" s="276">
        <v>7.3182275633627913</v>
      </c>
      <c r="M3" s="276"/>
      <c r="N3" s="276">
        <v>1.5036304532611604</v>
      </c>
      <c r="O3" s="276">
        <v>0.19296151743137421</v>
      </c>
      <c r="P3" s="276">
        <v>0.11799371284541517</v>
      </c>
      <c r="Q3" s="276">
        <v>2.9296743226441869E-2</v>
      </c>
      <c r="R3" s="276">
        <v>0</v>
      </c>
      <c r="S3" s="276">
        <v>0</v>
      </c>
      <c r="T3" s="276">
        <v>99.999999999999986</v>
      </c>
    </row>
    <row r="4" spans="1:20" s="277" customFormat="1">
      <c r="A4" s="276" t="s">
        <v>122</v>
      </c>
      <c r="B4" s="276">
        <v>18.162399838033615</v>
      </c>
      <c r="C4" s="280">
        <v>1.1786107186361815E-3</v>
      </c>
      <c r="D4" s="276">
        <v>5.8327725910505901</v>
      </c>
      <c r="E4" s="276">
        <v>0</v>
      </c>
      <c r="F4" s="276">
        <v>5.4672244056342019E-4</v>
      </c>
      <c r="G4" s="276">
        <v>7.5222831034772559</v>
      </c>
      <c r="H4" s="276">
        <v>0</v>
      </c>
      <c r="I4" s="276">
        <v>1.9999878724981039</v>
      </c>
      <c r="J4" s="276">
        <v>0.42497333099507967</v>
      </c>
      <c r="K4" s="276">
        <v>0.99597121691475787</v>
      </c>
      <c r="L4" s="276">
        <v>3.8554145936136606</v>
      </c>
      <c r="M4" s="276"/>
      <c r="N4" s="276">
        <v>1.98627394489132</v>
      </c>
      <c r="O4" s="276">
        <v>3.2738271913276703E-3</v>
      </c>
      <c r="P4" s="276">
        <v>1.2179189764492067E-2</v>
      </c>
      <c r="Q4" s="276">
        <v>1.5125951423879687E-2</v>
      </c>
      <c r="R4" s="276">
        <v>0</v>
      </c>
      <c r="S4" s="276">
        <v>0</v>
      </c>
      <c r="T4" s="276"/>
    </row>
    <row r="5" spans="1:20" s="277" customFormat="1">
      <c r="A5" s="276" t="s">
        <v>123</v>
      </c>
      <c r="B5" s="276">
        <v>25.115325191872724</v>
      </c>
      <c r="C5" s="276">
        <v>0.27486999975482207</v>
      </c>
      <c r="D5" s="276">
        <v>51.165950653450906</v>
      </c>
      <c r="E5" s="276">
        <v>0</v>
      </c>
      <c r="F5" s="276">
        <v>0.40800881231377223</v>
      </c>
      <c r="G5" s="276">
        <v>208.43682849980149</v>
      </c>
      <c r="H5" s="276">
        <v>0</v>
      </c>
      <c r="I5" s="276">
        <v>157.96743824318821</v>
      </c>
      <c r="J5" s="276">
        <v>70.334114101040598</v>
      </c>
      <c r="K5" s="276">
        <v>92.203859597693679</v>
      </c>
      <c r="L5" s="276">
        <v>52.682354576058884</v>
      </c>
      <c r="M5" s="276"/>
      <c r="N5" s="276">
        <v>132.0985445980676</v>
      </c>
      <c r="O5" s="276">
        <v>1.6966218108706521</v>
      </c>
      <c r="P5" s="276">
        <v>20.643794437502201</v>
      </c>
      <c r="Q5" s="276">
        <v>51.630146419236503</v>
      </c>
      <c r="R5" s="276">
        <v>0</v>
      </c>
      <c r="S5" s="276">
        <v>0</v>
      </c>
      <c r="T5" s="276"/>
    </row>
    <row r="7" spans="1:20">
      <c r="A7" s="278" t="s">
        <v>131</v>
      </c>
      <c r="B7" s="277" t="s">
        <v>17</v>
      </c>
      <c r="C7" s="277" t="s">
        <v>49</v>
      </c>
      <c r="D7" s="277" t="s">
        <v>18</v>
      </c>
      <c r="E7" s="277" t="s">
        <v>96</v>
      </c>
      <c r="F7" s="277" t="s">
        <v>19</v>
      </c>
      <c r="G7" s="277" t="s">
        <v>41</v>
      </c>
      <c r="H7" s="277" t="s">
        <v>21</v>
      </c>
      <c r="I7" s="277" t="s">
        <v>20</v>
      </c>
      <c r="J7" s="277" t="s">
        <v>22</v>
      </c>
      <c r="K7" s="277" t="s">
        <v>23</v>
      </c>
      <c r="L7" s="277" t="s">
        <v>24</v>
      </c>
      <c r="N7" s="277" t="s">
        <v>25</v>
      </c>
      <c r="O7" s="277" t="s">
        <v>26</v>
      </c>
      <c r="P7" s="277" t="s">
        <v>94</v>
      </c>
      <c r="Q7" s="277" t="s">
        <v>100</v>
      </c>
      <c r="R7" s="277" t="s">
        <v>27</v>
      </c>
      <c r="S7" s="277" t="s">
        <v>57</v>
      </c>
      <c r="T7" s="277" t="s">
        <v>39</v>
      </c>
    </row>
    <row r="8" spans="1:20" s="276" customFormat="1">
      <c r="A8" s="276" t="s">
        <v>84</v>
      </c>
      <c r="B8" s="276">
        <v>72.316005065747419</v>
      </c>
      <c r="C8" s="276">
        <v>0.42878841622857211</v>
      </c>
      <c r="D8" s="276">
        <v>11.39971507723212</v>
      </c>
      <c r="E8" s="276">
        <v>0</v>
      </c>
      <c r="F8" s="276">
        <v>0.13399770398659247</v>
      </c>
      <c r="G8" s="276">
        <v>3.6089030703537208</v>
      </c>
      <c r="H8" s="276">
        <v>0</v>
      </c>
      <c r="I8" s="276">
        <v>1.2660760310736674</v>
      </c>
      <c r="J8" s="276">
        <v>0.6042207773948377</v>
      </c>
      <c r="K8" s="276">
        <v>1.080183867855864</v>
      </c>
      <c r="L8" s="276">
        <v>7.3182275633627913</v>
      </c>
      <c r="N8" s="276">
        <v>1.5036304532611604</v>
      </c>
      <c r="O8" s="276">
        <v>0.19296151743137421</v>
      </c>
      <c r="P8" s="276">
        <v>0.11799371284541517</v>
      </c>
      <c r="Q8" s="276">
        <v>2.9296743226441869E-2</v>
      </c>
      <c r="R8" s="276">
        <v>0</v>
      </c>
      <c r="S8" s="276">
        <v>0</v>
      </c>
      <c r="T8" s="276">
        <v>99.999999999999986</v>
      </c>
    </row>
    <row r="9" spans="1:20" s="276" customFormat="1">
      <c r="A9" s="276" t="s">
        <v>122</v>
      </c>
      <c r="B9" s="276">
        <v>18.162399838033615</v>
      </c>
      <c r="C9" s="280">
        <v>1.1786107186361815E-3</v>
      </c>
      <c r="D9" s="276">
        <v>5.8327725910505901</v>
      </c>
      <c r="E9" s="276">
        <v>0</v>
      </c>
      <c r="F9" s="276">
        <v>5.4672244056342019E-4</v>
      </c>
      <c r="G9" s="276">
        <v>7.5222831034772559</v>
      </c>
      <c r="H9" s="276">
        <v>0</v>
      </c>
      <c r="I9" s="276">
        <v>1.9999878724981039</v>
      </c>
      <c r="J9" s="276">
        <v>0.42497333099507967</v>
      </c>
      <c r="K9" s="276">
        <v>0.99597121691475787</v>
      </c>
      <c r="L9" s="276">
        <v>3.8554145936136606</v>
      </c>
      <c r="N9" s="276">
        <v>1.98627394489132</v>
      </c>
      <c r="O9" s="276">
        <v>3.2738271913276703E-3</v>
      </c>
      <c r="P9" s="276">
        <v>1.2179189764492067E-2</v>
      </c>
      <c r="Q9" s="276">
        <v>1.5125951423879687E-2</v>
      </c>
      <c r="R9" s="276">
        <v>0</v>
      </c>
      <c r="S9" s="276">
        <v>0</v>
      </c>
    </row>
    <row r="10" spans="1:20" s="276" customFormat="1">
      <c r="A10" s="276" t="s">
        <v>123</v>
      </c>
      <c r="B10" s="276">
        <v>25.115325191872724</v>
      </c>
      <c r="C10" s="276">
        <v>0.27486999975482207</v>
      </c>
      <c r="D10" s="276">
        <v>51.165950653450906</v>
      </c>
      <c r="E10" s="276">
        <v>0</v>
      </c>
      <c r="F10" s="276">
        <v>0.40800881231377223</v>
      </c>
      <c r="G10" s="276">
        <v>208.43682849980149</v>
      </c>
      <c r="H10" s="276">
        <v>0</v>
      </c>
      <c r="I10" s="276">
        <v>157.96743824318821</v>
      </c>
      <c r="J10" s="276">
        <v>70.334114101040598</v>
      </c>
      <c r="K10" s="276">
        <v>92.203859597693679</v>
      </c>
      <c r="L10" s="276">
        <v>52.682354576058884</v>
      </c>
      <c r="N10" s="276">
        <v>132.0985445980676</v>
      </c>
      <c r="O10" s="276">
        <v>1.6966218108706521</v>
      </c>
      <c r="P10" s="276">
        <v>20.643794437502201</v>
      </c>
      <c r="Q10" s="276">
        <v>51.630146419236503</v>
      </c>
      <c r="R10" s="276">
        <v>0</v>
      </c>
      <c r="S10" s="276">
        <v>0</v>
      </c>
    </row>
    <row r="12" spans="1:20">
      <c r="A12" s="279" t="s">
        <v>132</v>
      </c>
      <c r="B12" s="276" t="s">
        <v>17</v>
      </c>
      <c r="C12" s="276" t="s">
        <v>49</v>
      </c>
      <c r="D12" s="276" t="s">
        <v>18</v>
      </c>
      <c r="E12" s="276" t="s">
        <v>96</v>
      </c>
      <c r="F12" s="276" t="s">
        <v>19</v>
      </c>
      <c r="G12" s="276" t="s">
        <v>41</v>
      </c>
      <c r="H12" s="276" t="s">
        <v>21</v>
      </c>
      <c r="I12" s="276" t="s">
        <v>20</v>
      </c>
      <c r="J12" s="276" t="s">
        <v>22</v>
      </c>
      <c r="K12" s="276" t="s">
        <v>23</v>
      </c>
      <c r="L12" s="276" t="s">
        <v>24</v>
      </c>
      <c r="M12" s="276"/>
      <c r="N12" s="276" t="s">
        <v>25</v>
      </c>
      <c r="O12" s="276" t="s">
        <v>26</v>
      </c>
      <c r="P12" s="276" t="s">
        <v>94</v>
      </c>
      <c r="Q12" s="276" t="s">
        <v>100</v>
      </c>
      <c r="R12" s="276" t="s">
        <v>27</v>
      </c>
      <c r="S12" s="276" t="s">
        <v>57</v>
      </c>
      <c r="T12" s="276" t="s">
        <v>39</v>
      </c>
    </row>
    <row r="13" spans="1:20">
      <c r="A13" s="276" t="s">
        <v>84</v>
      </c>
      <c r="B13" s="276">
        <v>72.316005065747419</v>
      </c>
      <c r="C13" s="276">
        <v>0.42878841622857211</v>
      </c>
      <c r="D13" s="276">
        <v>11.39971507723212</v>
      </c>
      <c r="E13" s="276">
        <v>0</v>
      </c>
      <c r="F13" s="276">
        <v>0.13399770398659247</v>
      </c>
      <c r="G13" s="276">
        <v>3.6089030703537208</v>
      </c>
      <c r="H13" s="276">
        <v>0</v>
      </c>
      <c r="I13" s="276">
        <v>1.2660760310736674</v>
      </c>
      <c r="J13" s="276">
        <v>0.6042207773948377</v>
      </c>
      <c r="K13" s="276">
        <v>1.080183867855864</v>
      </c>
      <c r="L13" s="276">
        <v>7.3182275633627913</v>
      </c>
      <c r="M13" s="276"/>
      <c r="N13" s="276">
        <v>1.5036304532611604</v>
      </c>
      <c r="O13" s="276">
        <v>0.19296151743137421</v>
      </c>
      <c r="P13" s="276">
        <v>0.11799371284541517</v>
      </c>
      <c r="Q13" s="276">
        <v>2.9296743226441869E-2</v>
      </c>
      <c r="R13" s="276">
        <v>0</v>
      </c>
      <c r="S13" s="276">
        <v>0</v>
      </c>
      <c r="T13" s="276">
        <v>99.999999999999986</v>
      </c>
    </row>
    <row r="14" spans="1:20">
      <c r="A14" s="276" t="s">
        <v>122</v>
      </c>
      <c r="B14" s="276">
        <v>22.011679024857852</v>
      </c>
      <c r="C14" s="280">
        <v>1.1808657340259085E-3</v>
      </c>
      <c r="D14" s="276">
        <v>6.7601617204027162</v>
      </c>
      <c r="E14" s="276">
        <v>0</v>
      </c>
      <c r="F14" s="276">
        <v>5.4699649319493043E-4</v>
      </c>
      <c r="G14" s="276">
        <v>7.9735947212202243</v>
      </c>
      <c r="H14" s="276">
        <v>0</v>
      </c>
      <c r="I14" s="276">
        <v>2.1199075638391629</v>
      </c>
      <c r="J14" s="276">
        <v>0.4337368504849517</v>
      </c>
      <c r="K14" s="276">
        <v>1.0526460788726044</v>
      </c>
      <c r="L14" s="276">
        <v>4.6456725779058203</v>
      </c>
      <c r="M14" s="276"/>
      <c r="N14" s="276">
        <v>2.1053669719252293</v>
      </c>
      <c r="O14" s="276">
        <v>3.2741738733968739E-3</v>
      </c>
      <c r="P14" s="276">
        <v>1.2185294761642224E-2</v>
      </c>
      <c r="Q14" s="276">
        <v>1.5127477691884952E-2</v>
      </c>
      <c r="R14" s="276">
        <v>0</v>
      </c>
      <c r="S14" s="276">
        <v>0</v>
      </c>
      <c r="T14" s="276"/>
    </row>
    <row r="15" spans="1:20">
      <c r="A15" s="276" t="s">
        <v>123</v>
      </c>
      <c r="B15" s="282">
        <v>30.438184472227871</v>
      </c>
      <c r="C15" s="282">
        <v>0.27539590374485079</v>
      </c>
      <c r="D15" s="282">
        <v>59.301146340967158</v>
      </c>
      <c r="E15" s="282">
        <v>0</v>
      </c>
      <c r="F15" s="282">
        <v>0.40821333270729904</v>
      </c>
      <c r="G15" s="282">
        <v>220.94233526861404</v>
      </c>
      <c r="H15" s="282">
        <v>0</v>
      </c>
      <c r="I15" s="282">
        <v>167.4391988956163</v>
      </c>
      <c r="J15" s="282">
        <v>71.784497771667901</v>
      </c>
      <c r="K15" s="282">
        <v>97.450638747464239</v>
      </c>
      <c r="L15" s="282">
        <v>63.480843382944649</v>
      </c>
      <c r="M15" s="282"/>
      <c r="N15" s="282">
        <v>140.01891005592418</v>
      </c>
      <c r="O15" s="282">
        <v>1.6968014747092344</v>
      </c>
      <c r="P15" s="282">
        <v>20.654142441650787</v>
      </c>
      <c r="Q15" s="282">
        <v>51.635356104126963</v>
      </c>
      <c r="R15" s="276">
        <v>0</v>
      </c>
      <c r="S15" s="276">
        <v>0</v>
      </c>
      <c r="T15" s="276"/>
    </row>
    <row r="17" spans="1:20">
      <c r="A17" s="283" t="s">
        <v>135</v>
      </c>
      <c r="B17" s="284">
        <f>B15/B10</f>
        <v>1.2119367055648402</v>
      </c>
      <c r="C17" s="284">
        <f t="shared" ref="C17:S17" si="0">C15/C10</f>
        <v>1.0019132826081341</v>
      </c>
      <c r="D17" s="284">
        <f t="shared" si="0"/>
        <v>1.1589962774778928</v>
      </c>
      <c r="E17" s="284" t="e">
        <f t="shared" si="0"/>
        <v>#DIV/0!</v>
      </c>
      <c r="F17" s="284">
        <f t="shared" si="0"/>
        <v>1.0005012646476115</v>
      </c>
      <c r="G17" s="284">
        <f t="shared" si="0"/>
        <v>1.0599966275577084</v>
      </c>
      <c r="H17" s="284" t="e">
        <f t="shared" si="0"/>
        <v>#DIV/0!</v>
      </c>
      <c r="I17" s="284">
        <f t="shared" si="0"/>
        <v>1.0599602092543052</v>
      </c>
      <c r="J17" s="284">
        <f t="shared" si="0"/>
        <v>1.0206213398599677</v>
      </c>
      <c r="K17" s="284">
        <f t="shared" si="0"/>
        <v>1.0569041162990731</v>
      </c>
      <c r="L17" s="284">
        <f t="shared" si="0"/>
        <v>1.2049735417823002</v>
      </c>
      <c r="M17" s="284"/>
      <c r="N17" s="284">
        <f t="shared" si="0"/>
        <v>1.0599580069708991</v>
      </c>
      <c r="O17" s="284">
        <f t="shared" si="0"/>
        <v>1.0001058950423902</v>
      </c>
      <c r="P17" s="284">
        <f t="shared" si="0"/>
        <v>1.0005012646381417</v>
      </c>
      <c r="Q17" s="284">
        <f t="shared" si="0"/>
        <v>1.0001009039340729</v>
      </c>
      <c r="R17" s="276" t="e">
        <f t="shared" si="0"/>
        <v>#DIV/0!</v>
      </c>
      <c r="S17" s="276" t="e">
        <f t="shared" si="0"/>
        <v>#DIV/0!</v>
      </c>
    </row>
    <row r="19" spans="1:20">
      <c r="A19" s="281" t="s">
        <v>134</v>
      </c>
      <c r="B19" s="277" t="s">
        <v>17</v>
      </c>
      <c r="C19" s="277" t="s">
        <v>49</v>
      </c>
      <c r="D19" s="277" t="s">
        <v>18</v>
      </c>
      <c r="E19" s="277" t="s">
        <v>96</v>
      </c>
      <c r="F19" s="277" t="s">
        <v>19</v>
      </c>
      <c r="G19" s="277" t="s">
        <v>41</v>
      </c>
      <c r="H19" s="277" t="s">
        <v>21</v>
      </c>
      <c r="I19" s="277" t="s">
        <v>20</v>
      </c>
      <c r="J19" s="277" t="s">
        <v>22</v>
      </c>
      <c r="K19" s="277" t="s">
        <v>23</v>
      </c>
      <c r="L19" s="277" t="s">
        <v>24</v>
      </c>
      <c r="N19" s="277" t="s">
        <v>25</v>
      </c>
      <c r="O19" s="277" t="s">
        <v>26</v>
      </c>
      <c r="P19" s="277" t="s">
        <v>94</v>
      </c>
      <c r="Q19" s="277" t="s">
        <v>100</v>
      </c>
      <c r="R19" s="138" t="s">
        <v>27</v>
      </c>
      <c r="S19" s="138" t="s">
        <v>57</v>
      </c>
      <c r="T19" s="138" t="s">
        <v>39</v>
      </c>
    </row>
    <row r="20" spans="1:20">
      <c r="A20" s="277" t="s">
        <v>84</v>
      </c>
      <c r="B20" s="276">
        <v>72.316005065747419</v>
      </c>
      <c r="C20" s="276">
        <v>0.42878841622857211</v>
      </c>
      <c r="D20" s="276">
        <v>11.39971507723212</v>
      </c>
      <c r="E20" s="276">
        <v>0</v>
      </c>
      <c r="F20" s="276">
        <v>0.13399770398659247</v>
      </c>
      <c r="G20" s="276">
        <v>3.6089030703537208</v>
      </c>
      <c r="H20" s="276">
        <v>0</v>
      </c>
      <c r="I20" s="276">
        <v>1.2660760310736674</v>
      </c>
      <c r="J20" s="276">
        <v>0.6042207773948377</v>
      </c>
      <c r="K20" s="276">
        <v>1.080183867855864</v>
      </c>
      <c r="L20" s="276">
        <v>7.3182275633627913</v>
      </c>
      <c r="M20" s="276"/>
      <c r="N20" s="276">
        <v>1.5036304532611604</v>
      </c>
      <c r="O20" s="276">
        <v>0.19296151743137421</v>
      </c>
      <c r="P20" s="276">
        <v>0.11799371284541517</v>
      </c>
      <c r="Q20" s="276">
        <v>2.9296743226441869E-2</v>
      </c>
      <c r="R20" s="275">
        <v>0</v>
      </c>
      <c r="S20" s="275">
        <v>0</v>
      </c>
      <c r="T20" s="275">
        <v>99.999999999999986</v>
      </c>
    </row>
    <row r="21" spans="1:20">
      <c r="A21" s="277" t="s">
        <v>122</v>
      </c>
      <c r="B21" s="276">
        <v>18.162399838033615</v>
      </c>
      <c r="C21" s="280">
        <v>1.1786107186361815E-3</v>
      </c>
      <c r="D21" s="276">
        <v>5.8327725910505901</v>
      </c>
      <c r="E21" s="276">
        <v>0</v>
      </c>
      <c r="F21" s="276">
        <v>5.4672244056342019E-4</v>
      </c>
      <c r="G21" s="276">
        <v>7.5222831034772559</v>
      </c>
      <c r="H21" s="276">
        <v>0</v>
      </c>
      <c r="I21" s="276">
        <v>1.9999878724981039</v>
      </c>
      <c r="J21" s="276">
        <v>0.42497333099507967</v>
      </c>
      <c r="K21" s="276">
        <v>0.99597121691475787</v>
      </c>
      <c r="L21" s="276">
        <v>3.8554145936136606</v>
      </c>
      <c r="M21" s="276"/>
      <c r="N21" s="276">
        <v>1.98627394489132</v>
      </c>
      <c r="O21" s="276">
        <v>3.2738271913276703E-3</v>
      </c>
      <c r="P21" s="276">
        <v>1.2179189764492067E-2</v>
      </c>
      <c r="Q21" s="276">
        <v>1.5125951423879687E-2</v>
      </c>
      <c r="R21" s="275">
        <v>0</v>
      </c>
      <c r="S21" s="275">
        <v>0</v>
      </c>
      <c r="T21" s="275"/>
    </row>
    <row r="22" spans="1:20">
      <c r="A22" s="277" t="s">
        <v>123</v>
      </c>
      <c r="B22" s="276">
        <v>25.115325191872724</v>
      </c>
      <c r="C22" s="276">
        <v>0.27486999975482207</v>
      </c>
      <c r="D22" s="276">
        <v>51.165950653450906</v>
      </c>
      <c r="E22" s="276">
        <v>0</v>
      </c>
      <c r="F22" s="276">
        <v>0.40800881231377223</v>
      </c>
      <c r="G22" s="276">
        <v>208.43682849980149</v>
      </c>
      <c r="H22" s="276">
        <v>0</v>
      </c>
      <c r="I22" s="276">
        <v>157.96743824318821</v>
      </c>
      <c r="J22" s="276">
        <v>70.334114101040598</v>
      </c>
      <c r="K22" s="276">
        <v>92.203859597693679</v>
      </c>
      <c r="L22" s="276">
        <v>52.682354576058884</v>
      </c>
      <c r="M22" s="276"/>
      <c r="N22" s="276">
        <v>132.0985445980676</v>
      </c>
      <c r="O22" s="276">
        <v>1.6966218108706521</v>
      </c>
      <c r="P22" s="276">
        <v>20.643794437502201</v>
      </c>
      <c r="Q22" s="276">
        <v>51.630146419236503</v>
      </c>
      <c r="R22" s="275">
        <v>0</v>
      </c>
      <c r="S22" s="275">
        <v>0</v>
      </c>
      <c r="T22" s="27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3</vt:i4>
      </vt:variant>
      <vt:variant>
        <vt:lpstr>Charts</vt:lpstr>
      </vt:variant>
      <vt:variant>
        <vt:i4>1</vt:i4>
      </vt:variant>
      <vt:variant>
        <vt:lpstr>Named Ranges</vt:lpstr>
      </vt:variant>
      <vt:variant>
        <vt:i4>2</vt:i4>
      </vt:variant>
    </vt:vector>
  </HeadingPairs>
  <TitlesOfParts>
    <vt:vector size="6" baseType="lpstr">
      <vt:lpstr>Notes</vt:lpstr>
      <vt:lpstr>Size</vt:lpstr>
      <vt:lpstr>CompareResults</vt:lpstr>
      <vt:lpstr>Chart1</vt:lpstr>
      <vt:lpstr>Size!Print_Area</vt:lpstr>
      <vt:lpstr>Size!Print_Area_MI</vt:lpstr>
    </vt:vector>
  </TitlesOfParts>
  <Company>Acadia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 User</dc:creator>
  <cp:lastModifiedBy>Microsoft Office User</cp:lastModifiedBy>
  <dcterms:created xsi:type="dcterms:W3CDTF">1999-06-17T11:56:42Z</dcterms:created>
  <dcterms:modified xsi:type="dcterms:W3CDTF">2023-08-15T14:41:05Z</dcterms:modified>
</cp:coreProperties>
</file>