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0" yWindow="-48" windowWidth="23256" windowHeight="9600" tabRatio="1000" firstSheet="2" activeTab="7"/>
  </bookViews>
  <sheets>
    <sheet name="Plan de trésorerie" sheetId="19" r:id="rId1"/>
    <sheet name="Plan de financement initial" sheetId="12" r:id="rId2"/>
    <sheet name="Remboursement d'emprunt" sheetId="8" r:id="rId3"/>
    <sheet name="Compte de résultat N1" sheetId="15" r:id="rId4"/>
    <sheet name="Compte de résultat N2" sheetId="13" r:id="rId5"/>
    <sheet name="Bilan final" sheetId="4" state="hidden" r:id="rId6"/>
    <sheet name="Bilan initial" sheetId="1" state="hidden" r:id="rId7"/>
    <sheet name="Compte de résultat N3" sheetId="14" r:id="rId8"/>
    <sheet name="Tableau d'amortissements" sheetId="9" r:id="rId9"/>
    <sheet name="Plan de financement sur 3 ans" sheetId="7" r:id="rId10"/>
    <sheet name="Seuil de rentabilité" sheetId="11" r:id="rId11"/>
    <sheet name="SIG" sheetId="10" r:id="rId12"/>
    <sheet name="Saisonnalité ventes" sheetId="16" r:id="rId13"/>
  </sheets>
  <externalReferences>
    <externalReference r:id="rId14"/>
  </externalReferences>
  <definedNames>
    <definedName name="capital_restant_du">'Remboursement d''emprunt'!$D$12:$D$371</definedName>
    <definedName name="champs_date">'Remboursement d''emprunt'!$C$12:$C$371</definedName>
    <definedName name="colonneA">'Remboursement d''emprunt'!$B$12:$B$371</definedName>
    <definedName name="duree_du_pret">'Remboursement d''emprunt'!$D$7</definedName>
    <definedName name="Durée1" localSheetId="4">'Remboursement d''emprunt'!#REF!</definedName>
    <definedName name="Durée1" localSheetId="7">'Remboursement d''emprunt'!#REF!</definedName>
    <definedName name="Durée1">'Remboursement d''emprunt'!#REF!</definedName>
    <definedName name="jjjj">'Remboursement d''emprunt'!$B$5</definedName>
    <definedName name="Mens2">[1]Emprunt!$E$11</definedName>
    <definedName name="mensualite">'Remboursement d''emprunt'!$H$5</definedName>
    <definedName name="Mode" localSheetId="4">'Remboursement d''emprunt'!#REF!</definedName>
    <definedName name="Mode" localSheetId="7">'Remboursement d''emprunt'!#REF!</definedName>
    <definedName name="Mode">'Remboursement d''emprunt'!#REF!</definedName>
    <definedName name="montant_du_pret">'Remboursement d''emprunt'!$B$5</definedName>
    <definedName name="montant_du_pretd">'Remboursement d''emprunt'!$D$5</definedName>
    <definedName name="Montant1" localSheetId="4">'Remboursement d''emprunt'!#REF!</definedName>
    <definedName name="Montant1" localSheetId="7">'Remboursement d''emprunt'!#REF!</definedName>
    <definedName name="Montant1">'Remboursement d''emprunt'!#REF!</definedName>
    <definedName name="nombre_versements_an">'Remboursement d''emprunt'!$D$8</definedName>
    <definedName name="taux_interet_annuel">'Remboursement d''emprunt'!$B$6</definedName>
    <definedName name="taux_interet_annueld">'Remboursement d''emprunt'!$D$6</definedName>
    <definedName name="Valeurs_saisies">IF('Remboursement d''emprunt'!$D$5*'Remboursement d''emprunt'!$D$6*'Remboursement d''emprunt'!$D$7*'Remboursement d''emprunt'!$D$8*'Remboursement d''emprunt'!$D$9&gt;0,1,0)</definedName>
    <definedName name="_xlnm.Print_Area" localSheetId="6">'Bilan initial'!$B$2:$E$35</definedName>
  </definedNames>
  <calcPr calcId="124519"/>
  <fileRecoveryPr repairLoad="1"/>
</workbook>
</file>

<file path=xl/calcChain.xml><?xml version="1.0" encoding="utf-8"?>
<calcChain xmlns="http://schemas.openxmlformats.org/spreadsheetml/2006/main">
  <c r="C28" i="14"/>
  <c r="C29" s="1"/>
  <c r="C29" i="15"/>
  <c r="I14" i="19"/>
  <c r="J14"/>
  <c r="K14"/>
  <c r="L14"/>
  <c r="M14"/>
  <c r="N14"/>
  <c r="O14"/>
  <c r="P14"/>
  <c r="Q14"/>
  <c r="R14"/>
  <c r="S14"/>
  <c r="H14"/>
  <c r="H33" s="1"/>
  <c r="H35" s="1"/>
  <c r="C30" i="14"/>
  <c r="C31" s="1"/>
  <c r="C29" i="13"/>
  <c r="I10"/>
  <c r="C21" s="1"/>
  <c r="C11" s="1"/>
  <c r="C31" i="15"/>
  <c r="I10" i="14"/>
  <c r="C21" s="1"/>
  <c r="C11" s="1"/>
  <c r="I11" i="15"/>
  <c r="C21" s="1"/>
  <c r="C11" s="1"/>
  <c r="T14" i="16"/>
  <c r="S14"/>
  <c r="U14" s="1"/>
  <c r="N14"/>
  <c r="M9"/>
  <c r="O9" s="1"/>
  <c r="M14"/>
  <c r="O14" s="1"/>
  <c r="K9"/>
  <c r="N9" s="1"/>
  <c r="H10" i="19"/>
  <c r="I10"/>
  <c r="I11" s="1"/>
  <c r="J10"/>
  <c r="K10"/>
  <c r="L10"/>
  <c r="N10"/>
  <c r="E10" s="1"/>
  <c r="O10"/>
  <c r="P10"/>
  <c r="Q10"/>
  <c r="R10"/>
  <c r="S10"/>
  <c r="G11"/>
  <c r="H11"/>
  <c r="J11"/>
  <c r="K11"/>
  <c r="L11"/>
  <c r="M11"/>
  <c r="N11"/>
  <c r="O11"/>
  <c r="P11"/>
  <c r="Q11"/>
  <c r="R11"/>
  <c r="S11"/>
  <c r="E13"/>
  <c r="C15"/>
  <c r="D15" s="1"/>
  <c r="E15"/>
  <c r="H15"/>
  <c r="E16"/>
  <c r="H17"/>
  <c r="I17"/>
  <c r="J17"/>
  <c r="E17" s="1"/>
  <c r="K17"/>
  <c r="L17"/>
  <c r="M17"/>
  <c r="N17"/>
  <c r="O17"/>
  <c r="P17"/>
  <c r="Q17"/>
  <c r="R17"/>
  <c r="S17"/>
  <c r="C18"/>
  <c r="D18" s="1"/>
  <c r="E18"/>
  <c r="C19"/>
  <c r="E19"/>
  <c r="E20"/>
  <c r="C20" s="1"/>
  <c r="C21"/>
  <c r="D21" s="1"/>
  <c r="E21"/>
  <c r="C22"/>
  <c r="E22"/>
  <c r="D22" s="1"/>
  <c r="E23"/>
  <c r="C24"/>
  <c r="E24"/>
  <c r="D24" s="1"/>
  <c r="E25"/>
  <c r="C25" s="1"/>
  <c r="E26"/>
  <c r="C26" s="1"/>
  <c r="C27"/>
  <c r="E27"/>
  <c r="E28"/>
  <c r="C28" s="1"/>
  <c r="E29"/>
  <c r="C29" s="1"/>
  <c r="E30"/>
  <c r="C30" s="1"/>
  <c r="C31"/>
  <c r="E31"/>
  <c r="H32"/>
  <c r="I32"/>
  <c r="J32"/>
  <c r="E32" s="1"/>
  <c r="C32" s="1"/>
  <c r="K32"/>
  <c r="L32"/>
  <c r="M32"/>
  <c r="N32"/>
  <c r="O32"/>
  <c r="P32"/>
  <c r="Q32"/>
  <c r="R32"/>
  <c r="S32"/>
  <c r="G33"/>
  <c r="G36" s="1"/>
  <c r="I33"/>
  <c r="J33"/>
  <c r="J35" s="1"/>
  <c r="K33"/>
  <c r="K35" s="1"/>
  <c r="L33"/>
  <c r="L35" s="1"/>
  <c r="M33"/>
  <c r="M35" s="1"/>
  <c r="N33"/>
  <c r="O33"/>
  <c r="O35" s="1"/>
  <c r="P33"/>
  <c r="Q33"/>
  <c r="Q35" s="1"/>
  <c r="R33"/>
  <c r="R35" s="1"/>
  <c r="S33"/>
  <c r="S35" s="1"/>
  <c r="N35"/>
  <c r="P35"/>
  <c r="I14" i="16"/>
  <c r="H14"/>
  <c r="H16" i="12"/>
  <c r="H32" s="1"/>
  <c r="C31" i="13"/>
  <c r="B14" i="16"/>
  <c r="C9" s="1"/>
  <c r="E9" s="1"/>
  <c r="H9" s="1"/>
  <c r="I17" i="15"/>
  <c r="I16" s="1"/>
  <c r="F8" s="1"/>
  <c r="F7" s="1"/>
  <c r="C33"/>
  <c r="C33" i="14"/>
  <c r="I17"/>
  <c r="I16" s="1"/>
  <c r="F7" s="1"/>
  <c r="I28" s="1"/>
  <c r="C33" i="13"/>
  <c r="I17"/>
  <c r="I16" s="1"/>
  <c r="F8" s="1"/>
  <c r="F7" s="1"/>
  <c r="I28" s="1"/>
  <c r="D7"/>
  <c r="D7" i="12"/>
  <c r="D23"/>
  <c r="D15"/>
  <c r="D18"/>
  <c r="C38" i="10"/>
  <c r="C42"/>
  <c r="C34"/>
  <c r="C41"/>
  <c r="C14"/>
  <c r="C17"/>
  <c r="C9"/>
  <c r="C16"/>
  <c r="B12" i="8"/>
  <c r="L25"/>
  <c r="L26"/>
  <c r="L27"/>
  <c r="L39"/>
  <c r="L51"/>
  <c r="L28"/>
  <c r="L29"/>
  <c r="L30"/>
  <c r="L31"/>
  <c r="L32"/>
  <c r="L33"/>
  <c r="L34"/>
  <c r="L35"/>
  <c r="L47"/>
  <c r="L59"/>
  <c r="L71"/>
  <c r="L83"/>
  <c r="L95"/>
  <c r="L107"/>
  <c r="L119"/>
  <c r="L42"/>
  <c r="L43"/>
  <c r="L54"/>
  <c r="L24"/>
  <c r="D12"/>
  <c r="H5"/>
  <c r="H6"/>
  <c r="C5" i="1"/>
  <c r="A16" i="9"/>
  <c r="A17"/>
  <c r="A18"/>
  <c r="A19"/>
  <c r="A20"/>
  <c r="A21"/>
  <c r="A22"/>
  <c r="A23"/>
  <c r="A24"/>
  <c r="A25"/>
  <c r="A26"/>
  <c r="A27"/>
  <c r="A28"/>
  <c r="A29"/>
  <c r="A30"/>
  <c r="C16"/>
  <c r="G38" i="7"/>
  <c r="F38"/>
  <c r="E38"/>
  <c r="D38"/>
  <c r="D20"/>
  <c r="D26"/>
  <c r="D40"/>
  <c r="D41"/>
  <c r="E20"/>
  <c r="E26"/>
  <c r="E40"/>
  <c r="F20"/>
  <c r="G20"/>
  <c r="G8"/>
  <c r="F8"/>
  <c r="E8"/>
  <c r="D8"/>
  <c r="G12"/>
  <c r="G26"/>
  <c r="F12"/>
  <c r="F26"/>
  <c r="F40"/>
  <c r="E12"/>
  <c r="D12"/>
  <c r="E33" i="4"/>
  <c r="E23"/>
  <c r="E5"/>
  <c r="C25"/>
  <c r="C33"/>
  <c r="C20"/>
  <c r="C23"/>
  <c r="C11"/>
  <c r="C5"/>
  <c r="E33" i="1"/>
  <c r="E35"/>
  <c r="C20"/>
  <c r="C23"/>
  <c r="C35"/>
  <c r="C25"/>
  <c r="C33"/>
  <c r="C11"/>
  <c r="E5"/>
  <c r="E23"/>
  <c r="L46" i="8"/>
  <c r="L38"/>
  <c r="L50"/>
  <c r="L62"/>
  <c r="L74"/>
  <c r="L86"/>
  <c r="L98"/>
  <c r="L110"/>
  <c r="L63"/>
  <c r="L75"/>
  <c r="L87"/>
  <c r="L99"/>
  <c r="L111"/>
  <c r="L123"/>
  <c r="L135"/>
  <c r="L147"/>
  <c r="L159"/>
  <c r="L171"/>
  <c r="L183"/>
  <c r="L195"/>
  <c r="L207"/>
  <c r="L55"/>
  <c r="L67"/>
  <c r="L79"/>
  <c r="L91"/>
  <c r="L103"/>
  <c r="L37"/>
  <c r="L45"/>
  <c r="L41"/>
  <c r="L44"/>
  <c r="L40"/>
  <c r="L66"/>
  <c r="L36"/>
  <c r="B16" i="9"/>
  <c r="D16"/>
  <c r="E16"/>
  <c r="F16"/>
  <c r="C17"/>
  <c r="L57" i="8"/>
  <c r="L53"/>
  <c r="L52"/>
  <c r="L64"/>
  <c r="L76"/>
  <c r="L69"/>
  <c r="L81"/>
  <c r="L93"/>
  <c r="L105"/>
  <c r="L78"/>
  <c r="L90"/>
  <c r="L102"/>
  <c r="L114"/>
  <c r="L126"/>
  <c r="L138"/>
  <c r="L150"/>
  <c r="L162"/>
  <c r="L88"/>
  <c r="L100"/>
  <c r="L112"/>
  <c r="L124"/>
  <c r="L136"/>
  <c r="L148"/>
  <c r="L160"/>
  <c r="L172"/>
  <c r="L184"/>
  <c r="L196"/>
  <c r="L208"/>
  <c r="G40" i="7"/>
  <c r="L65" i="8"/>
  <c r="L48"/>
  <c r="L56"/>
  <c r="L49"/>
  <c r="L61"/>
  <c r="L73"/>
  <c r="L85"/>
  <c r="L97"/>
  <c r="L109"/>
  <c r="L58"/>
  <c r="L70"/>
  <c r="L60"/>
  <c r="L77"/>
  <c r="L68"/>
  <c r="L115"/>
  <c r="L127"/>
  <c r="L117"/>
  <c r="L129"/>
  <c r="L89"/>
  <c r="L101"/>
  <c r="L113"/>
  <c r="L72"/>
  <c r="L82"/>
  <c r="L94"/>
  <c r="L106"/>
  <c r="L80"/>
  <c r="L92"/>
  <c r="L104"/>
  <c r="L84"/>
  <c r="L96"/>
  <c r="L108"/>
  <c r="L122"/>
  <c r="L134"/>
  <c r="L146"/>
  <c r="L158"/>
  <c r="L170"/>
  <c r="L182"/>
  <c r="L194"/>
  <c r="L206"/>
  <c r="L218"/>
  <c r="L131"/>
  <c r="L139"/>
  <c r="L151"/>
  <c r="L141"/>
  <c r="L153"/>
  <c r="L174"/>
  <c r="L186"/>
  <c r="L198"/>
  <c r="L210"/>
  <c r="L222"/>
  <c r="L143"/>
  <c r="L116"/>
  <c r="L118"/>
  <c r="L130"/>
  <c r="L142"/>
  <c r="L154"/>
  <c r="L166"/>
  <c r="L125"/>
  <c r="L137"/>
  <c r="L149"/>
  <c r="L161"/>
  <c r="L173"/>
  <c r="L185"/>
  <c r="L120"/>
  <c r="L121"/>
  <c r="L128"/>
  <c r="L140"/>
  <c r="L152"/>
  <c r="L164"/>
  <c r="L176"/>
  <c r="L188"/>
  <c r="L155"/>
  <c r="L163"/>
  <c r="L165"/>
  <c r="L177"/>
  <c r="L189"/>
  <c r="L201"/>
  <c r="L213"/>
  <c r="L225"/>
  <c r="L175"/>
  <c r="L167"/>
  <c r="L133"/>
  <c r="L132"/>
  <c r="L144"/>
  <c r="L156"/>
  <c r="L168"/>
  <c r="L180"/>
  <c r="L192"/>
  <c r="L204"/>
  <c r="L145"/>
  <c r="L179"/>
  <c r="L191"/>
  <c r="L187"/>
  <c r="L199"/>
  <c r="L157"/>
  <c r="L169"/>
  <c r="L181"/>
  <c r="L178"/>
  <c r="L203"/>
  <c r="L215"/>
  <c r="L211"/>
  <c r="L234"/>
  <c r="L246"/>
  <c r="L223"/>
  <c r="L235"/>
  <c r="L247"/>
  <c r="L220"/>
  <c r="L232"/>
  <c r="L190"/>
  <c r="L202"/>
  <c r="L214"/>
  <c r="L197"/>
  <c r="L209"/>
  <c r="L221"/>
  <c r="L193"/>
  <c r="L219"/>
  <c r="L231"/>
  <c r="L243"/>
  <c r="L200"/>
  <c r="L227"/>
  <c r="L239"/>
  <c r="L258"/>
  <c r="L270"/>
  <c r="L237"/>
  <c r="L249"/>
  <c r="L261"/>
  <c r="L273"/>
  <c r="L244"/>
  <c r="L256"/>
  <c r="L268"/>
  <c r="L280"/>
  <c r="L292"/>
  <c r="L304"/>
  <c r="L316"/>
  <c r="L328"/>
  <c r="L340"/>
  <c r="L352"/>
  <c r="L364"/>
  <c r="L212"/>
  <c r="L224"/>
  <c r="L236"/>
  <c r="L248"/>
  <c r="L260"/>
  <c r="L272"/>
  <c r="L284"/>
  <c r="L296"/>
  <c r="L308"/>
  <c r="L320"/>
  <c r="L332"/>
  <c r="L344"/>
  <c r="L356"/>
  <c r="L368"/>
  <c r="L230"/>
  <c r="L242"/>
  <c r="L205"/>
  <c r="L217"/>
  <c r="L229"/>
  <c r="L241"/>
  <c r="L253"/>
  <c r="L265"/>
  <c r="L277"/>
  <c r="L289"/>
  <c r="L301"/>
  <c r="L313"/>
  <c r="L325"/>
  <c r="L337"/>
  <c r="L349"/>
  <c r="L361"/>
  <c r="L233"/>
  <c r="L216"/>
  <c r="L226"/>
  <c r="L251"/>
  <c r="L263"/>
  <c r="L259"/>
  <c r="L282"/>
  <c r="L294"/>
  <c r="L271"/>
  <c r="L254"/>
  <c r="L238"/>
  <c r="L255"/>
  <c r="L267"/>
  <c r="L279"/>
  <c r="L291"/>
  <c r="L303"/>
  <c r="L315"/>
  <c r="L327"/>
  <c r="L339"/>
  <c r="L351"/>
  <c r="L363"/>
  <c r="L228"/>
  <c r="L245"/>
  <c r="L257"/>
  <c r="L240"/>
  <c r="L250"/>
  <c r="L266"/>
  <c r="L275"/>
  <c r="L283"/>
  <c r="L306"/>
  <c r="L285"/>
  <c r="L297"/>
  <c r="L318"/>
  <c r="L295"/>
  <c r="L287"/>
  <c r="L278"/>
  <c r="L262"/>
  <c r="L274"/>
  <c r="L286"/>
  <c r="L298"/>
  <c r="L310"/>
  <c r="L322"/>
  <c r="L334"/>
  <c r="L346"/>
  <c r="L358"/>
  <c r="L370"/>
  <c r="L252"/>
  <c r="L269"/>
  <c r="L281"/>
  <c r="L293"/>
  <c r="L305"/>
  <c r="L317"/>
  <c r="L329"/>
  <c r="L341"/>
  <c r="L353"/>
  <c r="L365"/>
  <c r="L264"/>
  <c r="L276"/>
  <c r="L288"/>
  <c r="L300"/>
  <c r="L312"/>
  <c r="L324"/>
  <c r="L336"/>
  <c r="L348"/>
  <c r="L360"/>
  <c r="L290"/>
  <c r="L299"/>
  <c r="L307"/>
  <c r="L330"/>
  <c r="L309"/>
  <c r="L321"/>
  <c r="L333"/>
  <c r="L345"/>
  <c r="L357"/>
  <c r="L369"/>
  <c r="L342"/>
  <c r="L319"/>
  <c r="L311"/>
  <c r="L302"/>
  <c r="L314"/>
  <c r="L326"/>
  <c r="L338"/>
  <c r="L350"/>
  <c r="L362"/>
  <c r="L323"/>
  <c r="L331"/>
  <c r="L354"/>
  <c r="L366"/>
  <c r="L343"/>
  <c r="L335"/>
  <c r="L347"/>
  <c r="L355"/>
  <c r="L367"/>
  <c r="L359"/>
  <c r="L371"/>
  <c r="C20" i="10"/>
  <c r="C24"/>
  <c r="C30"/>
  <c r="C40"/>
  <c r="C43"/>
  <c r="C35" i="4"/>
  <c r="E35"/>
  <c r="E41" i="7"/>
  <c r="F41"/>
  <c r="G41"/>
  <c r="B17" i="9"/>
  <c r="D17"/>
  <c r="F17"/>
  <c r="E17"/>
  <c r="C18"/>
  <c r="D18"/>
  <c r="F18"/>
  <c r="C19"/>
  <c r="D19"/>
  <c r="F19"/>
  <c r="B18"/>
  <c r="E18"/>
  <c r="C20"/>
  <c r="D20"/>
  <c r="F20"/>
  <c r="E19"/>
  <c r="B19"/>
  <c r="D21"/>
  <c r="F21"/>
  <c r="C21"/>
  <c r="B20"/>
  <c r="E20"/>
  <c r="D22"/>
  <c r="C22"/>
  <c r="F22"/>
  <c r="E21"/>
  <c r="B21"/>
  <c r="C23"/>
  <c r="D23"/>
  <c r="F23"/>
  <c r="B22"/>
  <c r="E22"/>
  <c r="D24"/>
  <c r="F24"/>
  <c r="C24"/>
  <c r="E23"/>
  <c r="B23"/>
  <c r="B24"/>
  <c r="E24"/>
  <c r="C25"/>
  <c r="D25"/>
  <c r="F25"/>
  <c r="C26"/>
  <c r="D26"/>
  <c r="F26"/>
  <c r="B25"/>
  <c r="E25"/>
  <c r="D27"/>
  <c r="F27"/>
  <c r="C27"/>
  <c r="B26"/>
  <c r="E26"/>
  <c r="D28"/>
  <c r="F28"/>
  <c r="C28"/>
  <c r="E27"/>
  <c r="B27"/>
  <c r="C29"/>
  <c r="D29"/>
  <c r="F29"/>
  <c r="B28"/>
  <c r="E28"/>
  <c r="C30"/>
  <c r="D30"/>
  <c r="F30"/>
  <c r="B29"/>
  <c r="E29"/>
  <c r="E30"/>
  <c r="B30"/>
  <c r="B72" i="8"/>
  <c r="E72" s="1"/>
  <c r="B73"/>
  <c r="E73" s="1"/>
  <c r="B74"/>
  <c r="E74" s="1"/>
  <c r="B75"/>
  <c r="E75" s="1"/>
  <c r="B76"/>
  <c r="E76" s="1"/>
  <c r="B77"/>
  <c r="E77" s="1"/>
  <c r="B78"/>
  <c r="E78" s="1"/>
  <c r="B79"/>
  <c r="E79" s="1"/>
  <c r="B80"/>
  <c r="E80" s="1"/>
  <c r="F75"/>
  <c r="B81"/>
  <c r="E81" s="1"/>
  <c r="H76"/>
  <c r="B82"/>
  <c r="E82" s="1"/>
  <c r="B83"/>
  <c r="E83" s="1"/>
  <c r="B84"/>
  <c r="E84" s="1"/>
  <c r="G78"/>
  <c r="G79"/>
  <c r="B85"/>
  <c r="E85" s="1"/>
  <c r="B86"/>
  <c r="E86" s="1"/>
  <c r="G81"/>
  <c r="B87"/>
  <c r="E87" s="1"/>
  <c r="B88"/>
  <c r="E88" s="1"/>
  <c r="G82"/>
  <c r="B89"/>
  <c r="E89" s="1"/>
  <c r="B90"/>
  <c r="E90" s="1"/>
  <c r="B91"/>
  <c r="E91" s="1"/>
  <c r="G86"/>
  <c r="B92"/>
  <c r="E92" s="1"/>
  <c r="B93"/>
  <c r="E93" s="1"/>
  <c r="B94"/>
  <c r="E94" s="1"/>
  <c r="B95"/>
  <c r="E95" s="1"/>
  <c r="B96"/>
  <c r="E96" s="1"/>
  <c r="B97"/>
  <c r="E97" s="1"/>
  <c r="B98"/>
  <c r="E98" s="1"/>
  <c r="B99"/>
  <c r="E99" s="1"/>
  <c r="B100"/>
  <c r="E100" s="1"/>
  <c r="B101"/>
  <c r="E101" s="1"/>
  <c r="B102"/>
  <c r="E102" s="1"/>
  <c r="B103"/>
  <c r="E103" s="1"/>
  <c r="G98"/>
  <c r="B104"/>
  <c r="E104" s="1"/>
  <c r="B105"/>
  <c r="E105" s="1"/>
  <c r="B106"/>
  <c r="E106" s="1"/>
  <c r="B107"/>
  <c r="E107" s="1"/>
  <c r="B108"/>
  <c r="E108" s="1"/>
  <c r="G103"/>
  <c r="B109"/>
  <c r="E109" s="1"/>
  <c r="B110"/>
  <c r="E110" s="1"/>
  <c r="B111"/>
  <c r="E111" s="1"/>
  <c r="B112"/>
  <c r="E112" s="1"/>
  <c r="B113"/>
  <c r="E113" s="1"/>
  <c r="B114"/>
  <c r="E114" s="1"/>
  <c r="B115"/>
  <c r="E115" s="1"/>
  <c r="B116"/>
  <c r="E116" s="1"/>
  <c r="B117"/>
  <c r="E117" s="1"/>
  <c r="B118"/>
  <c r="E118" s="1"/>
  <c r="B119"/>
  <c r="E119" s="1"/>
  <c r="B120"/>
  <c r="E120" s="1"/>
  <c r="B121"/>
  <c r="E121" s="1"/>
  <c r="B122"/>
  <c r="E122" s="1"/>
  <c r="B123"/>
  <c r="E123" s="1"/>
  <c r="B124"/>
  <c r="E124" s="1"/>
  <c r="B125"/>
  <c r="E125" s="1"/>
  <c r="B126"/>
  <c r="E126" s="1"/>
  <c r="B127"/>
  <c r="E127" s="1"/>
  <c r="B128"/>
  <c r="E128" s="1"/>
  <c r="B129"/>
  <c r="E129" s="1"/>
  <c r="B130"/>
  <c r="E130" s="1"/>
  <c r="B131"/>
  <c r="E131" s="1"/>
  <c r="B132"/>
  <c r="E132" s="1"/>
  <c r="B133"/>
  <c r="E133" s="1"/>
  <c r="B134"/>
  <c r="E134" s="1"/>
  <c r="B135"/>
  <c r="E135" s="1"/>
  <c r="B136"/>
  <c r="E136" s="1"/>
  <c r="B137"/>
  <c r="E137" s="1"/>
  <c r="B138"/>
  <c r="E138" s="1"/>
  <c r="B139"/>
  <c r="E139" s="1"/>
  <c r="B140"/>
  <c r="E140" s="1"/>
  <c r="B141"/>
  <c r="E141" s="1"/>
  <c r="B142"/>
  <c r="E142" s="1"/>
  <c r="B143"/>
  <c r="E143" s="1"/>
  <c r="B144"/>
  <c r="E144" s="1"/>
  <c r="B145"/>
  <c r="E145" s="1"/>
  <c r="B146"/>
  <c r="E146" s="1"/>
  <c r="B147"/>
  <c r="E147" s="1"/>
  <c r="B148"/>
  <c r="E148" s="1"/>
  <c r="B149"/>
  <c r="E149" s="1"/>
  <c r="B150"/>
  <c r="E150" s="1"/>
  <c r="B151"/>
  <c r="E151" s="1"/>
  <c r="B152"/>
  <c r="E152" s="1"/>
  <c r="B153"/>
  <c r="E153" s="1"/>
  <c r="B154"/>
  <c r="E154" s="1"/>
  <c r="B155"/>
  <c r="E155" s="1"/>
  <c r="B156"/>
  <c r="E156" s="1"/>
  <c r="B157"/>
  <c r="E157" s="1"/>
  <c r="B158"/>
  <c r="E158" s="1"/>
  <c r="B159"/>
  <c r="E159" s="1"/>
  <c r="B160"/>
  <c r="E160" s="1"/>
  <c r="B161"/>
  <c r="E161" s="1"/>
  <c r="B162"/>
  <c r="E162" s="1"/>
  <c r="B163"/>
  <c r="E163" s="1"/>
  <c r="B164"/>
  <c r="H164" s="1"/>
  <c r="B165"/>
  <c r="D165" s="1"/>
  <c r="B166"/>
  <c r="E166" s="1"/>
  <c r="B167"/>
  <c r="E167" s="1"/>
  <c r="B168"/>
  <c r="E168" s="1"/>
  <c r="B169"/>
  <c r="G169" s="1"/>
  <c r="B170"/>
  <c r="E170" s="1"/>
  <c r="B171"/>
  <c r="E171" s="1"/>
  <c r="B172"/>
  <c r="E172" s="1"/>
  <c r="B173"/>
  <c r="E173" s="1"/>
  <c r="B174"/>
  <c r="E174" s="1"/>
  <c r="B175"/>
  <c r="E175" s="1"/>
  <c r="B176"/>
  <c r="E176" s="1"/>
  <c r="B177"/>
  <c r="E177" s="1"/>
  <c r="B178"/>
  <c r="E178" s="1"/>
  <c r="B179"/>
  <c r="E179" s="1"/>
  <c r="B180"/>
  <c r="E180" s="1"/>
  <c r="B181"/>
  <c r="E181" s="1"/>
  <c r="B182"/>
  <c r="E182" s="1"/>
  <c r="B183"/>
  <c r="E183" s="1"/>
  <c r="D178"/>
  <c r="B184"/>
  <c r="E184" s="1"/>
  <c r="B185"/>
  <c r="E185" s="1"/>
  <c r="B186"/>
  <c r="E186" s="1"/>
  <c r="B187"/>
  <c r="E187" s="1"/>
  <c r="B188"/>
  <c r="E188" s="1"/>
  <c r="F183"/>
  <c r="B189"/>
  <c r="E189" s="1"/>
  <c r="B190"/>
  <c r="E190" s="1"/>
  <c r="B191"/>
  <c r="E191" s="1"/>
  <c r="B192"/>
  <c r="E192" s="1"/>
  <c r="B193"/>
  <c r="E193" s="1"/>
  <c r="B194"/>
  <c r="E194" s="1"/>
  <c r="B195"/>
  <c r="E195" s="1"/>
  <c r="B196"/>
  <c r="E196" s="1"/>
  <c r="B197"/>
  <c r="E197" s="1"/>
  <c r="B198"/>
  <c r="E198" s="1"/>
  <c r="B199"/>
  <c r="E199" s="1"/>
  <c r="B200"/>
  <c r="E200" s="1"/>
  <c r="B201"/>
  <c r="E201" s="1"/>
  <c r="B202"/>
  <c r="E202" s="1"/>
  <c r="B203"/>
  <c r="E203" s="1"/>
  <c r="B204"/>
  <c r="E204" s="1"/>
  <c r="B205"/>
  <c r="E205" s="1"/>
  <c r="B206"/>
  <c r="E206" s="1"/>
  <c r="B207"/>
  <c r="E207" s="1"/>
  <c r="B208"/>
  <c r="E208" s="1"/>
  <c r="B209"/>
  <c r="E209" s="1"/>
  <c r="B210"/>
  <c r="E210" s="1"/>
  <c r="B211"/>
  <c r="E211" s="1"/>
  <c r="B212"/>
  <c r="E212" s="1"/>
  <c r="B213"/>
  <c r="E213" s="1"/>
  <c r="B214"/>
  <c r="E214" s="1"/>
  <c r="B215"/>
  <c r="E215" s="1"/>
  <c r="B216"/>
  <c r="E216" s="1"/>
  <c r="B217"/>
  <c r="E217" s="1"/>
  <c r="B218"/>
  <c r="E218" s="1"/>
  <c r="B219"/>
  <c r="E219" s="1"/>
  <c r="B220"/>
  <c r="E220" s="1"/>
  <c r="B221"/>
  <c r="E221" s="1"/>
  <c r="B222"/>
  <c r="E222" s="1"/>
  <c r="B223"/>
  <c r="E223" s="1"/>
  <c r="B224"/>
  <c r="E224" s="1"/>
  <c r="B225"/>
  <c r="E225" s="1"/>
  <c r="B226"/>
  <c r="E226" s="1"/>
  <c r="B227"/>
  <c r="E227" s="1"/>
  <c r="B228"/>
  <c r="E228" s="1"/>
  <c r="B229"/>
  <c r="E229" s="1"/>
  <c r="B230"/>
  <c r="E230" s="1"/>
  <c r="B231"/>
  <c r="E231" s="1"/>
  <c r="B232"/>
  <c r="E232" s="1"/>
  <c r="B233"/>
  <c r="E233" s="1"/>
  <c r="B234"/>
  <c r="E234" s="1"/>
  <c r="B235"/>
  <c r="E235" s="1"/>
  <c r="B236"/>
  <c r="E236" s="1"/>
  <c r="B237"/>
  <c r="E237" s="1"/>
  <c r="B238"/>
  <c r="E238" s="1"/>
  <c r="B239"/>
  <c r="E239" s="1"/>
  <c r="B240"/>
  <c r="E240" s="1"/>
  <c r="B241"/>
  <c r="E241" s="1"/>
  <c r="B242"/>
  <c r="E242" s="1"/>
  <c r="B243"/>
  <c r="E243" s="1"/>
  <c r="D239"/>
  <c r="B244"/>
  <c r="E244" s="1"/>
  <c r="B245"/>
  <c r="E245" s="1"/>
  <c r="B246"/>
  <c r="E246" s="1"/>
  <c r="B247"/>
  <c r="E247" s="1"/>
  <c r="B248"/>
  <c r="E248" s="1"/>
  <c r="B249"/>
  <c r="E249" s="1"/>
  <c r="B250"/>
  <c r="E250" s="1"/>
  <c r="B251"/>
  <c r="E251" s="1"/>
  <c r="B252"/>
  <c r="E252" s="1"/>
  <c r="B253"/>
  <c r="E253" s="1"/>
  <c r="B254"/>
  <c r="E254" s="1"/>
  <c r="B255"/>
  <c r="E255" s="1"/>
  <c r="B256"/>
  <c r="E256" s="1"/>
  <c r="B257"/>
  <c r="E257" s="1"/>
  <c r="B258"/>
  <c r="E258" s="1"/>
  <c r="B259"/>
  <c r="E259" s="1"/>
  <c r="B260"/>
  <c r="E260" s="1"/>
  <c r="B261"/>
  <c r="E261" s="1"/>
  <c r="B262"/>
  <c r="E262" s="1"/>
  <c r="B263"/>
  <c r="E263" s="1"/>
  <c r="B264"/>
  <c r="E264" s="1"/>
  <c r="B265"/>
  <c r="E265" s="1"/>
  <c r="B266"/>
  <c r="E266" s="1"/>
  <c r="B267"/>
  <c r="E267" s="1"/>
  <c r="B268"/>
  <c r="E268" s="1"/>
  <c r="B269"/>
  <c r="E269" s="1"/>
  <c r="B270"/>
  <c r="E270" s="1"/>
  <c r="B271"/>
  <c r="E271" s="1"/>
  <c r="B272"/>
  <c r="E272" s="1"/>
  <c r="H267"/>
  <c r="B273"/>
  <c r="E273" s="1"/>
  <c r="B274"/>
  <c r="E274" s="1"/>
  <c r="B275"/>
  <c r="E275" s="1"/>
  <c r="B276"/>
  <c r="E276" s="1"/>
  <c r="B277"/>
  <c r="E277" s="1"/>
  <c r="B278"/>
  <c r="E278" s="1"/>
  <c r="B279"/>
  <c r="E279" s="1"/>
  <c r="B280"/>
  <c r="E280" s="1"/>
  <c r="B281"/>
  <c r="E281" s="1"/>
  <c r="B282"/>
  <c r="E282" s="1"/>
  <c r="B283"/>
  <c r="E283" s="1"/>
  <c r="B284"/>
  <c r="E284" s="1"/>
  <c r="B285"/>
  <c r="E285" s="1"/>
  <c r="B286"/>
  <c r="E286" s="1"/>
  <c r="B287"/>
  <c r="E287" s="1"/>
  <c r="B288"/>
  <c r="E288" s="1"/>
  <c r="B289"/>
  <c r="E289" s="1"/>
  <c r="B290"/>
  <c r="E290" s="1"/>
  <c r="B291"/>
  <c r="E291" s="1"/>
  <c r="B292"/>
  <c r="E292" s="1"/>
  <c r="B293"/>
  <c r="E293" s="1"/>
  <c r="B294"/>
  <c r="E294" s="1"/>
  <c r="B295"/>
  <c r="E295" s="1"/>
  <c r="B296"/>
  <c r="E296" s="1"/>
  <c r="B297"/>
  <c r="E297" s="1"/>
  <c r="B298"/>
  <c r="E298" s="1"/>
  <c r="B299"/>
  <c r="E299" s="1"/>
  <c r="B300"/>
  <c r="E300" s="1"/>
  <c r="B301"/>
  <c r="E301" s="1"/>
  <c r="B302"/>
  <c r="E302" s="1"/>
  <c r="B303"/>
  <c r="E303" s="1"/>
  <c r="D298"/>
  <c r="B304"/>
  <c r="E304" s="1"/>
  <c r="B305"/>
  <c r="E305" s="1"/>
  <c r="B306"/>
  <c r="E306" s="1"/>
  <c r="B307"/>
  <c r="E307" s="1"/>
  <c r="B308"/>
  <c r="E308" s="1"/>
  <c r="B309"/>
  <c r="E309" s="1"/>
  <c r="B310"/>
  <c r="E310" s="1"/>
  <c r="B311"/>
  <c r="E311" s="1"/>
  <c r="H306"/>
  <c r="B312"/>
  <c r="G312" s="1"/>
  <c r="B313"/>
  <c r="E313" s="1"/>
  <c r="B314"/>
  <c r="E314" s="1"/>
  <c r="B315"/>
  <c r="E315" s="1"/>
  <c r="B316"/>
  <c r="E316" s="1"/>
  <c r="B317"/>
  <c r="E317" s="1"/>
  <c r="B318"/>
  <c r="E318" s="1"/>
  <c r="B319"/>
  <c r="E319" s="1"/>
  <c r="B320"/>
  <c r="E320" s="1"/>
  <c r="B321"/>
  <c r="E321" s="1"/>
  <c r="B322"/>
  <c r="E322" s="1"/>
  <c r="B323"/>
  <c r="E323" s="1"/>
  <c r="B324"/>
  <c r="E324" s="1"/>
  <c r="B325"/>
  <c r="E325" s="1"/>
  <c r="B326"/>
  <c r="E326" s="1"/>
  <c r="B327"/>
  <c r="E327" s="1"/>
  <c r="B328"/>
  <c r="E328" s="1"/>
  <c r="B329"/>
  <c r="E329" s="1"/>
  <c r="B330"/>
  <c r="E330" s="1"/>
  <c r="B331"/>
  <c r="E331" s="1"/>
  <c r="B332"/>
  <c r="E332" s="1"/>
  <c r="B333"/>
  <c r="E333" s="1"/>
  <c r="B334"/>
  <c r="E334" s="1"/>
  <c r="B335"/>
  <c r="E335" s="1"/>
  <c r="B336"/>
  <c r="E336" s="1"/>
  <c r="B337"/>
  <c r="E337" s="1"/>
  <c r="B338"/>
  <c r="E338" s="1"/>
  <c r="B339"/>
  <c r="E339" s="1"/>
  <c r="B340"/>
  <c r="E340" s="1"/>
  <c r="B341"/>
  <c r="E341" s="1"/>
  <c r="G336"/>
  <c r="B342"/>
  <c r="E342" s="1"/>
  <c r="B343"/>
  <c r="E343" s="1"/>
  <c r="B344"/>
  <c r="E344" s="1"/>
  <c r="B345"/>
  <c r="E345" s="1"/>
  <c r="B346"/>
  <c r="E346" s="1"/>
  <c r="B347"/>
  <c r="E347" s="1"/>
  <c r="B348"/>
  <c r="E348" s="1"/>
  <c r="B349"/>
  <c r="E349" s="1"/>
  <c r="B350"/>
  <c r="E350" s="1"/>
  <c r="B351"/>
  <c r="E351" s="1"/>
  <c r="B352"/>
  <c r="E352" s="1"/>
  <c r="B353"/>
  <c r="E353" s="1"/>
  <c r="B354"/>
  <c r="E354" s="1"/>
  <c r="B355"/>
  <c r="E355" s="1"/>
  <c r="B356"/>
  <c r="E356" s="1"/>
  <c r="B357"/>
  <c r="E357" s="1"/>
  <c r="B358"/>
  <c r="E358" s="1"/>
  <c r="B359"/>
  <c r="E359" s="1"/>
  <c r="B360"/>
  <c r="E360" s="1"/>
  <c r="B361"/>
  <c r="E361" s="1"/>
  <c r="B362"/>
  <c r="E362" s="1"/>
  <c r="B363"/>
  <c r="E363" s="1"/>
  <c r="B364"/>
  <c r="E364" s="1"/>
  <c r="B365"/>
  <c r="E365" s="1"/>
  <c r="B366"/>
  <c r="E366" s="1"/>
  <c r="B367"/>
  <c r="E367" s="1"/>
  <c r="B368"/>
  <c r="E368" s="1"/>
  <c r="B369"/>
  <c r="E369" s="1"/>
  <c r="B370"/>
  <c r="E370" s="1"/>
  <c r="B371"/>
  <c r="E371" s="1"/>
  <c r="H366"/>
  <c r="D241" l="1"/>
  <c r="F194"/>
  <c r="F182"/>
  <c r="C194"/>
  <c r="H80"/>
  <c r="H338"/>
  <c r="Q9" i="16"/>
  <c r="T9" s="1"/>
  <c r="S9"/>
  <c r="U9" s="1"/>
  <c r="C13"/>
  <c r="G327" i="8"/>
  <c r="G238"/>
  <c r="F77"/>
  <c r="G77"/>
  <c r="G343"/>
  <c r="C342"/>
  <c r="G161"/>
  <c r="G130"/>
  <c r="G116"/>
  <c r="G95"/>
  <c r="F343"/>
  <c r="G236"/>
  <c r="D179"/>
  <c r="F198"/>
  <c r="F189"/>
  <c r="H163"/>
  <c r="F106"/>
  <c r="G75"/>
  <c r="C238"/>
  <c r="G84"/>
  <c r="F355"/>
  <c r="D338"/>
  <c r="G147"/>
  <c r="H84"/>
  <c r="D356"/>
  <c r="G248"/>
  <c r="D189"/>
  <c r="D75"/>
  <c r="G350"/>
  <c r="F231"/>
  <c r="G200"/>
  <c r="H156"/>
  <c r="F142"/>
  <c r="G93"/>
  <c r="C27" i="15"/>
  <c r="I35" i="19"/>
  <c r="E14"/>
  <c r="C14" s="1"/>
  <c r="D14" s="1"/>
  <c r="H36"/>
  <c r="C27" i="13"/>
  <c r="C27" i="14"/>
  <c r="G362" i="8"/>
  <c r="D324"/>
  <c r="G352"/>
  <c r="F130"/>
  <c r="C130"/>
  <c r="C104"/>
  <c r="C352"/>
  <c r="F331"/>
  <c r="H289"/>
  <c r="D269"/>
  <c r="C267"/>
  <c r="G241"/>
  <c r="G218"/>
  <c r="H130"/>
  <c r="G126"/>
  <c r="G106"/>
  <c r="D84"/>
  <c r="C84"/>
  <c r="G368"/>
  <c r="G304"/>
  <c r="H298"/>
  <c r="G269"/>
  <c r="F227"/>
  <c r="G178"/>
  <c r="F164"/>
  <c r="E164"/>
  <c r="H146"/>
  <c r="H132"/>
  <c r="C199"/>
  <c r="G215"/>
  <c r="G208"/>
  <c r="G339"/>
  <c r="F267"/>
  <c r="F229"/>
  <c r="H179"/>
  <c r="F326"/>
  <c r="C317"/>
  <c r="C247"/>
  <c r="C86"/>
  <c r="H165"/>
  <c r="D80"/>
  <c r="F332"/>
  <c r="G225"/>
  <c r="G219"/>
  <c r="F214"/>
  <c r="G186"/>
  <c r="D183"/>
  <c r="G156"/>
  <c r="G138"/>
  <c r="G133"/>
  <c r="F113"/>
  <c r="H106"/>
  <c r="C106"/>
  <c r="F92"/>
  <c r="H86"/>
  <c r="G292"/>
  <c r="D289"/>
  <c r="F281"/>
  <c r="G275"/>
  <c r="C248"/>
  <c r="G118"/>
  <c r="G192"/>
  <c r="G183"/>
  <c r="G174"/>
  <c r="G151"/>
  <c r="G146"/>
  <c r="F140"/>
  <c r="C138"/>
  <c r="C118"/>
  <c r="G370"/>
  <c r="G317"/>
  <c r="H304"/>
  <c r="H312"/>
  <c r="F300"/>
  <c r="G295"/>
  <c r="D247"/>
  <c r="C246"/>
  <c r="H227"/>
  <c r="H183"/>
  <c r="H126"/>
  <c r="C126"/>
  <c r="G94"/>
  <c r="D364"/>
  <c r="F340"/>
  <c r="G289"/>
  <c r="G278"/>
  <c r="G272"/>
  <c r="D243"/>
  <c r="D224"/>
  <c r="G212"/>
  <c r="F199"/>
  <c r="C174"/>
  <c r="G100"/>
  <c r="H318"/>
  <c r="F318"/>
  <c r="F221"/>
  <c r="G205"/>
  <c r="F157"/>
  <c r="G73"/>
  <c r="C334"/>
  <c r="H283"/>
  <c r="F254"/>
  <c r="D362"/>
  <c r="F353"/>
  <c r="H336"/>
  <c r="C338"/>
  <c r="D302"/>
  <c r="F274"/>
  <c r="G266"/>
  <c r="G247"/>
  <c r="F230"/>
  <c r="F161"/>
  <c r="F118"/>
  <c r="F96"/>
  <c r="D78"/>
  <c r="F336"/>
  <c r="C354"/>
  <c r="G319"/>
  <c r="F316"/>
  <c r="D314"/>
  <c r="C314"/>
  <c r="F356"/>
  <c r="D354"/>
  <c r="D340"/>
  <c r="F330"/>
  <c r="F319"/>
  <c r="C318"/>
  <c r="C310"/>
  <c r="C306"/>
  <c r="H292"/>
  <c r="C289"/>
  <c r="H274"/>
  <c r="C275"/>
  <c r="D263"/>
  <c r="D252"/>
  <c r="H247"/>
  <c r="F243"/>
  <c r="C226"/>
  <c r="F201"/>
  <c r="C180"/>
  <c r="G166"/>
  <c r="F162"/>
  <c r="C158"/>
  <c r="G144"/>
  <c r="H138"/>
  <c r="G134"/>
  <c r="G131"/>
  <c r="G122"/>
  <c r="G119"/>
  <c r="H110"/>
  <c r="C88"/>
  <c r="G176"/>
  <c r="F171"/>
  <c r="G159"/>
  <c r="H144"/>
  <c r="C124"/>
  <c r="F362"/>
  <c r="C362"/>
  <c r="G354"/>
  <c r="H350"/>
  <c r="D318"/>
  <c r="D276"/>
  <c r="H167"/>
  <c r="G124"/>
  <c r="G88"/>
  <c r="G283"/>
  <c r="G334"/>
  <c r="G314"/>
  <c r="D307"/>
  <c r="H362"/>
  <c r="F354"/>
  <c r="D336"/>
  <c r="C336"/>
  <c r="F314"/>
  <c r="F311"/>
  <c r="C298"/>
  <c r="F289"/>
  <c r="G258"/>
  <c r="G253"/>
  <c r="F248"/>
  <c r="H219"/>
  <c r="G180"/>
  <c r="H136"/>
  <c r="D133"/>
  <c r="D118"/>
  <c r="G113"/>
  <c r="F78"/>
  <c r="G254"/>
  <c r="G338"/>
  <c r="H314"/>
  <c r="F307"/>
  <c r="D291"/>
  <c r="C291"/>
  <c r="C268"/>
  <c r="C253"/>
  <c r="G242"/>
  <c r="G224"/>
  <c r="D205"/>
  <c r="C182"/>
  <c r="C178"/>
  <c r="G120"/>
  <c r="G99"/>
  <c r="C78"/>
  <c r="C17" i="19"/>
  <c r="D17" s="1"/>
  <c r="C10"/>
  <c r="C11" s="1"/>
  <c r="E11"/>
  <c r="C23"/>
  <c r="D23" s="1"/>
  <c r="D20"/>
  <c r="C16"/>
  <c r="D16" s="1"/>
  <c r="C13"/>
  <c r="C14" i="16"/>
  <c r="C3"/>
  <c r="C4"/>
  <c r="C5"/>
  <c r="C6"/>
  <c r="C10"/>
  <c r="C11"/>
  <c r="C12"/>
  <c r="G9"/>
  <c r="I9" s="1"/>
  <c r="G11"/>
  <c r="I11" s="1"/>
  <c r="G13"/>
  <c r="I13" s="1"/>
  <c r="F301" i="8"/>
  <c r="C283"/>
  <c r="D277"/>
  <c r="F261"/>
  <c r="G240"/>
  <c r="C241"/>
  <c r="C219"/>
  <c r="F211"/>
  <c r="F128"/>
  <c r="F108"/>
  <c r="C100"/>
  <c r="G92"/>
  <c r="G90"/>
  <c r="F366"/>
  <c r="F352"/>
  <c r="D348"/>
  <c r="G323"/>
  <c r="F304"/>
  <c r="C304"/>
  <c r="C300"/>
  <c r="D293"/>
  <c r="C287"/>
  <c r="D280"/>
  <c r="D272"/>
  <c r="F264"/>
  <c r="D259"/>
  <c r="F240"/>
  <c r="D235"/>
  <c r="C225"/>
  <c r="G201"/>
  <c r="D181"/>
  <c r="D167"/>
  <c r="G164"/>
  <c r="F156"/>
  <c r="H145"/>
  <c r="H142"/>
  <c r="C144"/>
  <c r="G137"/>
  <c r="H128"/>
  <c r="F115"/>
  <c r="H90"/>
  <c r="G277"/>
  <c r="C364"/>
  <c r="F350"/>
  <c r="G341"/>
  <c r="F338"/>
  <c r="F327"/>
  <c r="C328"/>
  <c r="D321"/>
  <c r="F312"/>
  <c r="C312"/>
  <c r="G300"/>
  <c r="C292"/>
  <c r="F283"/>
  <c r="G280"/>
  <c r="H277"/>
  <c r="C276"/>
  <c r="D260"/>
  <c r="D256"/>
  <c r="F235"/>
  <c r="H231"/>
  <c r="F225"/>
  <c r="F219"/>
  <c r="F215"/>
  <c r="C214"/>
  <c r="H201"/>
  <c r="C203"/>
  <c r="F190"/>
  <c r="F181"/>
  <c r="D172"/>
  <c r="F167"/>
  <c r="C164"/>
  <c r="G153"/>
  <c r="F146"/>
  <c r="H140"/>
  <c r="H134"/>
  <c r="G132"/>
  <c r="C134"/>
  <c r="H96"/>
  <c r="D92"/>
  <c r="C92"/>
  <c r="D74"/>
  <c r="G210"/>
  <c r="H181"/>
  <c r="F348"/>
  <c r="F308"/>
  <c r="D349"/>
  <c r="D342"/>
  <c r="G337"/>
  <c r="F334"/>
  <c r="D332"/>
  <c r="F328"/>
  <c r="G321"/>
  <c r="G306"/>
  <c r="H300"/>
  <c r="H297"/>
  <c r="H294"/>
  <c r="G287"/>
  <c r="C282"/>
  <c r="D267"/>
  <c r="F263"/>
  <c r="G260"/>
  <c r="H253"/>
  <c r="C254"/>
  <c r="F247"/>
  <c r="H243"/>
  <c r="H241"/>
  <c r="C243"/>
  <c r="C240"/>
  <c r="H229"/>
  <c r="D227"/>
  <c r="D220"/>
  <c r="G216"/>
  <c r="G214"/>
  <c r="F210"/>
  <c r="D207"/>
  <c r="G202"/>
  <c r="G196"/>
  <c r="G188"/>
  <c r="C183"/>
  <c r="C181"/>
  <c r="D166"/>
  <c r="C167"/>
  <c r="F160"/>
  <c r="C162"/>
  <c r="D156"/>
  <c r="F151"/>
  <c r="F144"/>
  <c r="D142"/>
  <c r="F138"/>
  <c r="C128"/>
  <c r="D115"/>
  <c r="G110"/>
  <c r="G107"/>
  <c r="G104"/>
  <c r="H100"/>
  <c r="G97"/>
  <c r="C96"/>
  <c r="F85"/>
  <c r="H82"/>
  <c r="C82"/>
  <c r="C80"/>
  <c r="G74"/>
  <c r="D72"/>
  <c r="F341"/>
  <c r="G364"/>
  <c r="C366"/>
  <c r="F357"/>
  <c r="D352"/>
  <c r="C350"/>
  <c r="F337"/>
  <c r="H328"/>
  <c r="F325"/>
  <c r="F321"/>
  <c r="D316"/>
  <c r="C308"/>
  <c r="D295"/>
  <c r="G276"/>
  <c r="C277"/>
  <c r="G270"/>
  <c r="D264"/>
  <c r="F260"/>
  <c r="F256"/>
  <c r="G250"/>
  <c r="D240"/>
  <c r="F233"/>
  <c r="D211"/>
  <c r="D203"/>
  <c r="C201"/>
  <c r="C186"/>
  <c r="H160"/>
  <c r="C160"/>
  <c r="C156"/>
  <c r="D128"/>
  <c r="F104"/>
  <c r="G83"/>
  <c r="F80"/>
  <c r="G76"/>
  <c r="F74"/>
  <c r="C76"/>
  <c r="D350"/>
  <c r="F346"/>
  <c r="H342"/>
  <c r="G301"/>
  <c r="D283"/>
  <c r="F276"/>
  <c r="C258"/>
  <c r="F250"/>
  <c r="G230"/>
  <c r="G227"/>
  <c r="F220"/>
  <c r="D215"/>
  <c r="D201"/>
  <c r="C188"/>
  <c r="G182"/>
  <c r="C170"/>
  <c r="D164"/>
  <c r="G158"/>
  <c r="F147"/>
  <c r="G142"/>
  <c r="G139"/>
  <c r="D137"/>
  <c r="G128"/>
  <c r="F120"/>
  <c r="H118"/>
  <c r="C120"/>
  <c r="C116"/>
  <c r="G108"/>
  <c r="F101"/>
  <c r="D96"/>
  <c r="H92"/>
  <c r="H89"/>
  <c r="H74"/>
  <c r="G330"/>
  <c r="D329"/>
  <c r="D325"/>
  <c r="F310"/>
  <c r="G308"/>
  <c r="C302"/>
  <c r="G291"/>
  <c r="C290"/>
  <c r="D279"/>
  <c r="D275"/>
  <c r="F272"/>
  <c r="D271"/>
  <c r="G255"/>
  <c r="G252"/>
  <c r="D249"/>
  <c r="G244"/>
  <c r="G234"/>
  <c r="D232"/>
  <c r="H225"/>
  <c r="C228"/>
  <c r="F212"/>
  <c r="F207"/>
  <c r="F202"/>
  <c r="G199"/>
  <c r="F197"/>
  <c r="G195"/>
  <c r="G190"/>
  <c r="F188"/>
  <c r="D187"/>
  <c r="F180"/>
  <c r="D177"/>
  <c r="C179"/>
  <c r="G172"/>
  <c r="G162"/>
  <c r="C154"/>
  <c r="C150"/>
  <c r="H124"/>
  <c r="C122"/>
  <c r="G115"/>
  <c r="G111"/>
  <c r="H108"/>
  <c r="H104"/>
  <c r="H102"/>
  <c r="H88"/>
  <c r="C90"/>
  <c r="F172"/>
  <c r="C175"/>
  <c r="G154"/>
  <c r="G150"/>
  <c r="C148"/>
  <c r="C140"/>
  <c r="D127"/>
  <c r="D125"/>
  <c r="C102"/>
  <c r="G91"/>
  <c r="G72"/>
  <c r="C72"/>
  <c r="F259"/>
  <c r="D253"/>
  <c r="D251"/>
  <c r="F239"/>
  <c r="C239"/>
  <c r="G232"/>
  <c r="C230"/>
  <c r="F224"/>
  <c r="G222"/>
  <c r="C224"/>
  <c r="F218"/>
  <c r="F205"/>
  <c r="C205"/>
  <c r="H199"/>
  <c r="C202"/>
  <c r="H195"/>
  <c r="C198"/>
  <c r="D191"/>
  <c r="G187"/>
  <c r="G184"/>
  <c r="G179"/>
  <c r="G175"/>
  <c r="D171"/>
  <c r="D169"/>
  <c r="E169"/>
  <c r="H162"/>
  <c r="H158"/>
  <c r="F154"/>
  <c r="G152"/>
  <c r="F150"/>
  <c r="H143"/>
  <c r="C146"/>
  <c r="D140"/>
  <c r="F137"/>
  <c r="D136"/>
  <c r="F133"/>
  <c r="F122"/>
  <c r="G114"/>
  <c r="G109"/>
  <c r="F72"/>
  <c r="H255"/>
  <c r="C294"/>
  <c r="F217"/>
  <c r="D175"/>
  <c r="D344"/>
  <c r="F339"/>
  <c r="G367"/>
  <c r="F322"/>
  <c r="G286"/>
  <c r="F255"/>
  <c r="F252"/>
  <c r="G239"/>
  <c r="F367"/>
  <c r="H364"/>
  <c r="D361"/>
  <c r="C363"/>
  <c r="D357"/>
  <c r="H352"/>
  <c r="C351"/>
  <c r="F344"/>
  <c r="G342"/>
  <c r="H334"/>
  <c r="H330"/>
  <c r="C333"/>
  <c r="C329"/>
  <c r="G315"/>
  <c r="G313"/>
  <c r="H308"/>
  <c r="F302"/>
  <c r="H291"/>
  <c r="H287"/>
  <c r="F286"/>
  <c r="C286"/>
  <c r="F275"/>
  <c r="F269"/>
  <c r="H367"/>
  <c r="G361"/>
  <c r="G359"/>
  <c r="H354"/>
  <c r="D353"/>
  <c r="C353"/>
  <c r="G347"/>
  <c r="F342"/>
  <c r="D337"/>
  <c r="G329"/>
  <c r="D328"/>
  <c r="G325"/>
  <c r="C327"/>
  <c r="F320"/>
  <c r="F315"/>
  <c r="G307"/>
  <c r="G305"/>
  <c r="H302"/>
  <c r="G298"/>
  <c r="H293"/>
  <c r="C296"/>
  <c r="D288"/>
  <c r="D287"/>
  <c r="G282"/>
  <c r="F279"/>
  <c r="F277"/>
  <c r="H275"/>
  <c r="F273"/>
  <c r="F271"/>
  <c r="H269"/>
  <c r="G267"/>
  <c r="G264"/>
  <c r="C266"/>
  <c r="H259"/>
  <c r="D255"/>
  <c r="G249"/>
  <c r="D248"/>
  <c r="F245"/>
  <c r="G243"/>
  <c r="F241"/>
  <c r="H239"/>
  <c r="C242"/>
  <c r="F232"/>
  <c r="D231"/>
  <c r="D229"/>
  <c r="G226"/>
  <c r="D225"/>
  <c r="D223"/>
  <c r="G220"/>
  <c r="D219"/>
  <c r="H215"/>
  <c r="C218"/>
  <c r="C215"/>
  <c r="H205"/>
  <c r="G203"/>
  <c r="D200"/>
  <c r="G198"/>
  <c r="G194"/>
  <c r="G189"/>
  <c r="F187"/>
  <c r="C189"/>
  <c r="C187"/>
  <c r="G181"/>
  <c r="F179"/>
  <c r="F175"/>
  <c r="F173"/>
  <c r="G170"/>
  <c r="F166"/>
  <c r="C169"/>
  <c r="E165"/>
  <c r="D157"/>
  <c r="H154"/>
  <c r="H152"/>
  <c r="H150"/>
  <c r="C152"/>
  <c r="D146"/>
  <c r="D144"/>
  <c r="C142"/>
  <c r="G135"/>
  <c r="C136"/>
  <c r="G129"/>
  <c r="C132"/>
  <c r="G125"/>
  <c r="H122"/>
  <c r="H120"/>
  <c r="H116"/>
  <c r="H114"/>
  <c r="C114"/>
  <c r="D108"/>
  <c r="C110"/>
  <c r="D104"/>
  <c r="G101"/>
  <c r="H98"/>
  <c r="G96"/>
  <c r="C98"/>
  <c r="C94"/>
  <c r="F84"/>
  <c r="F82"/>
  <c r="G80"/>
  <c r="H78"/>
  <c r="H72"/>
  <c r="C74"/>
  <c r="G371"/>
  <c r="G259"/>
  <c r="C249"/>
  <c r="G363"/>
  <c r="F359"/>
  <c r="C361"/>
  <c r="C337"/>
  <c r="F329"/>
  <c r="C313"/>
  <c r="F305"/>
  <c r="G296"/>
  <c r="D294"/>
  <c r="G290"/>
  <c r="C288"/>
  <c r="C255"/>
  <c r="F249"/>
  <c r="C229"/>
  <c r="F209"/>
  <c r="F203"/>
  <c r="C200"/>
  <c r="C195"/>
  <c r="H187"/>
  <c r="H175"/>
  <c r="F169"/>
  <c r="C165"/>
  <c r="G155"/>
  <c r="D151"/>
  <c r="G148"/>
  <c r="G136"/>
  <c r="F125"/>
  <c r="G123"/>
  <c r="G121"/>
  <c r="H112"/>
  <c r="C112"/>
  <c r="H105"/>
  <c r="G87"/>
  <c r="F270"/>
  <c r="F200"/>
  <c r="G102"/>
  <c r="F371"/>
  <c r="F364"/>
  <c r="C365"/>
  <c r="D320"/>
  <c r="H310"/>
  <c r="G302"/>
  <c r="F291"/>
  <c r="F195"/>
  <c r="G365"/>
  <c r="F361"/>
  <c r="G349"/>
  <c r="F347"/>
  <c r="C349"/>
  <c r="D341"/>
  <c r="G335"/>
  <c r="C335"/>
  <c r="H288"/>
  <c r="F282"/>
  <c r="C259"/>
  <c r="G369"/>
  <c r="D366"/>
  <c r="F363"/>
  <c r="D360"/>
  <c r="G357"/>
  <c r="G355"/>
  <c r="G353"/>
  <c r="G351"/>
  <c r="F349"/>
  <c r="G345"/>
  <c r="C341"/>
  <c r="F335"/>
  <c r="D334"/>
  <c r="G331"/>
  <c r="D330"/>
  <c r="G328"/>
  <c r="C330"/>
  <c r="G318"/>
  <c r="D312"/>
  <c r="D310"/>
  <c r="E312"/>
  <c r="H296"/>
  <c r="G294"/>
  <c r="H290"/>
  <c r="C274"/>
  <c r="C269"/>
  <c r="F253"/>
  <c r="F251"/>
  <c r="H249"/>
  <c r="C252"/>
  <c r="G246"/>
  <c r="F238"/>
  <c r="G231"/>
  <c r="G229"/>
  <c r="C231"/>
  <c r="C227"/>
  <c r="D212"/>
  <c r="G206"/>
  <c r="H203"/>
  <c r="C204"/>
  <c r="D199"/>
  <c r="D195"/>
  <c r="F191"/>
  <c r="H189"/>
  <c r="D188"/>
  <c r="F185"/>
  <c r="D180"/>
  <c r="H171"/>
  <c r="H169"/>
  <c r="C171"/>
  <c r="F165"/>
  <c r="G157"/>
  <c r="H148"/>
  <c r="G140"/>
  <c r="F136"/>
  <c r="H127"/>
  <c r="F121"/>
  <c r="G117"/>
  <c r="G112"/>
  <c r="D106"/>
  <c r="C108"/>
  <c r="H94"/>
  <c r="D90"/>
  <c r="G85"/>
  <c r="F213"/>
  <c r="D326"/>
  <c r="D322"/>
  <c r="G303"/>
  <c r="D261"/>
  <c r="D221"/>
  <c r="D217"/>
  <c r="D209"/>
  <c r="G141"/>
  <c r="H356"/>
  <c r="H348"/>
  <c r="H344"/>
  <c r="H324"/>
  <c r="D301"/>
  <c r="F299"/>
  <c r="G284"/>
  <c r="C285"/>
  <c r="H279"/>
  <c r="C281"/>
  <c r="C279"/>
  <c r="H271"/>
  <c r="H263"/>
  <c r="G262"/>
  <c r="H256"/>
  <c r="H251"/>
  <c r="H235"/>
  <c r="C237"/>
  <c r="H223"/>
  <c r="C217"/>
  <c r="H211"/>
  <c r="C213"/>
  <c r="H207"/>
  <c r="C209"/>
  <c r="C197"/>
  <c r="H191"/>
  <c r="C193"/>
  <c r="D159"/>
  <c r="F149"/>
  <c r="D147"/>
  <c r="D143"/>
  <c r="F141"/>
  <c r="F135"/>
  <c r="D135"/>
  <c r="F129"/>
  <c r="D119"/>
  <c r="F117"/>
  <c r="D111"/>
  <c r="F109"/>
  <c r="D107"/>
  <c r="D103"/>
  <c r="D99"/>
  <c r="F97"/>
  <c r="D95"/>
  <c r="F93"/>
  <c r="D91"/>
  <c r="D87"/>
  <c r="F81"/>
  <c r="D79"/>
  <c r="F358"/>
  <c r="D358"/>
  <c r="F324"/>
  <c r="D281"/>
  <c r="D265"/>
  <c r="D245"/>
  <c r="D233"/>
  <c r="F223"/>
  <c r="D197"/>
  <c r="D193"/>
  <c r="D173"/>
  <c r="G149"/>
  <c r="F369"/>
  <c r="C358"/>
  <c r="H332"/>
  <c r="D297"/>
  <c r="H371"/>
  <c r="H369"/>
  <c r="F323"/>
  <c r="C322"/>
  <c r="D317"/>
  <c r="D313"/>
  <c r="C316"/>
  <c r="H299"/>
  <c r="C301"/>
  <c r="H295"/>
  <c r="C273"/>
  <c r="D268"/>
  <c r="F262"/>
  <c r="C265"/>
  <c r="F258"/>
  <c r="D257"/>
  <c r="C257"/>
  <c r="F246"/>
  <c r="D244"/>
  <c r="F242"/>
  <c r="C245"/>
  <c r="D236"/>
  <c r="F234"/>
  <c r="C233"/>
  <c r="D228"/>
  <c r="F226"/>
  <c r="F222"/>
  <c r="C221"/>
  <c r="D216"/>
  <c r="D208"/>
  <c r="F206"/>
  <c r="D204"/>
  <c r="D196"/>
  <c r="D192"/>
  <c r="F186"/>
  <c r="D184"/>
  <c r="C185"/>
  <c r="F178"/>
  <c r="D176"/>
  <c r="F174"/>
  <c r="C177"/>
  <c r="C173"/>
  <c r="D168"/>
  <c r="H157"/>
  <c r="H153"/>
  <c r="C155"/>
  <c r="H149"/>
  <c r="G145"/>
  <c r="H141"/>
  <c r="H137"/>
  <c r="C139"/>
  <c r="H133"/>
  <c r="H129"/>
  <c r="H125"/>
  <c r="H121"/>
  <c r="H117"/>
  <c r="H113"/>
  <c r="C117"/>
  <c r="H109"/>
  <c r="G105"/>
  <c r="C107"/>
  <c r="H101"/>
  <c r="C103"/>
  <c r="H97"/>
  <c r="H93"/>
  <c r="C95"/>
  <c r="G89"/>
  <c r="C91"/>
  <c r="H85"/>
  <c r="H81"/>
  <c r="H77"/>
  <c r="C79"/>
  <c r="H73"/>
  <c r="B13"/>
  <c r="F237"/>
  <c r="D346"/>
  <c r="G299"/>
  <c r="D285"/>
  <c r="D273"/>
  <c r="D237"/>
  <c r="D213"/>
  <c r="D185"/>
  <c r="G360"/>
  <c r="C346"/>
  <c r="H340"/>
  <c r="C326"/>
  <c r="H320"/>
  <c r="H316"/>
  <c r="F303"/>
  <c r="F295"/>
  <c r="C370"/>
  <c r="D365"/>
  <c r="F360"/>
  <c r="F351"/>
  <c r="D345"/>
  <c r="D333"/>
  <c r="D309"/>
  <c r="H307"/>
  <c r="H303"/>
  <c r="F284"/>
  <c r="D284"/>
  <c r="F278"/>
  <c r="F266"/>
  <c r="D370"/>
  <c r="D368"/>
  <c r="G366"/>
  <c r="C369"/>
  <c r="H363"/>
  <c r="H360"/>
  <c r="H359"/>
  <c r="G358"/>
  <c r="H355"/>
  <c r="C357"/>
  <c r="H351"/>
  <c r="H347"/>
  <c r="G346"/>
  <c r="H343"/>
  <c r="C345"/>
  <c r="H339"/>
  <c r="H335"/>
  <c r="H331"/>
  <c r="H327"/>
  <c r="G326"/>
  <c r="H323"/>
  <c r="G322"/>
  <c r="C325"/>
  <c r="H319"/>
  <c r="C323"/>
  <c r="C321"/>
  <c r="H315"/>
  <c r="G311"/>
  <c r="G310"/>
  <c r="D308"/>
  <c r="F306"/>
  <c r="D305"/>
  <c r="D304"/>
  <c r="C305"/>
  <c r="D300"/>
  <c r="F298"/>
  <c r="D296"/>
  <c r="F294"/>
  <c r="F292"/>
  <c r="D292"/>
  <c r="F290"/>
  <c r="C293"/>
  <c r="F287"/>
  <c r="H286"/>
  <c r="G285"/>
  <c r="H282"/>
  <c r="G281"/>
  <c r="C284"/>
  <c r="H278"/>
  <c r="C280"/>
  <c r="G274"/>
  <c r="G273"/>
  <c r="H270"/>
  <c r="C272"/>
  <c r="H266"/>
  <c r="G265"/>
  <c r="H262"/>
  <c r="G261"/>
  <c r="C264"/>
  <c r="H258"/>
  <c r="G257"/>
  <c r="C260"/>
  <c r="H254"/>
  <c r="C256"/>
  <c r="H250"/>
  <c r="H246"/>
  <c r="G245"/>
  <c r="H242"/>
  <c r="C244"/>
  <c r="H238"/>
  <c r="G237"/>
  <c r="H234"/>
  <c r="G233"/>
  <c r="C236"/>
  <c r="H230"/>
  <c r="C232"/>
  <c r="H226"/>
  <c r="H222"/>
  <c r="G221"/>
  <c r="H218"/>
  <c r="G217"/>
  <c r="C220"/>
  <c r="H214"/>
  <c r="G213"/>
  <c r="C216"/>
  <c r="H210"/>
  <c r="G209"/>
  <c r="C212"/>
  <c r="H206"/>
  <c r="C208"/>
  <c r="H202"/>
  <c r="H198"/>
  <c r="G197"/>
  <c r="H194"/>
  <c r="G193"/>
  <c r="C196"/>
  <c r="H190"/>
  <c r="C192"/>
  <c r="H186"/>
  <c r="G185"/>
  <c r="H182"/>
  <c r="C184"/>
  <c r="H178"/>
  <c r="H174"/>
  <c r="G173"/>
  <c r="G171"/>
  <c r="H170"/>
  <c r="C172"/>
  <c r="H166"/>
  <c r="G165"/>
  <c r="C168"/>
  <c r="D163"/>
  <c r="C166"/>
  <c r="G160"/>
  <c r="C163"/>
  <c r="D158"/>
  <c r="D155"/>
  <c r="D154"/>
  <c r="F152"/>
  <c r="D150"/>
  <c r="F148"/>
  <c r="C151"/>
  <c r="F145"/>
  <c r="C147"/>
  <c r="D139"/>
  <c r="D138"/>
  <c r="D134"/>
  <c r="F132"/>
  <c r="D131"/>
  <c r="D130"/>
  <c r="C131"/>
  <c r="D126"/>
  <c r="F124"/>
  <c r="D123"/>
  <c r="D122"/>
  <c r="C125"/>
  <c r="F116"/>
  <c r="C119"/>
  <c r="D114"/>
  <c r="F110"/>
  <c r="D110"/>
  <c r="C111"/>
  <c r="F105"/>
  <c r="D102"/>
  <c r="F100"/>
  <c r="D98"/>
  <c r="F94"/>
  <c r="D94"/>
  <c r="C97"/>
  <c r="F89"/>
  <c r="F88"/>
  <c r="D86"/>
  <c r="C89"/>
  <c r="D83"/>
  <c r="D82"/>
  <c r="C85"/>
  <c r="F76"/>
  <c r="C75"/>
  <c r="F370"/>
  <c r="H358"/>
  <c r="H346"/>
  <c r="D303"/>
  <c r="H285"/>
  <c r="H257"/>
  <c r="H245"/>
  <c r="H237"/>
  <c r="G204"/>
  <c r="H193"/>
  <c r="H185"/>
  <c r="G177"/>
  <c r="H173"/>
  <c r="G168"/>
  <c r="F159"/>
  <c r="F155"/>
  <c r="F153"/>
  <c r="D153"/>
  <c r="D149"/>
  <c r="D145"/>
  <c r="D141"/>
  <c r="F139"/>
  <c r="F131"/>
  <c r="D129"/>
  <c r="F123"/>
  <c r="F119"/>
  <c r="D117"/>
  <c r="D113"/>
  <c r="F111"/>
  <c r="D109"/>
  <c r="F107"/>
  <c r="D105"/>
  <c r="F103"/>
  <c r="D101"/>
  <c r="F99"/>
  <c r="D97"/>
  <c r="F95"/>
  <c r="D93"/>
  <c r="F91"/>
  <c r="D89"/>
  <c r="F87"/>
  <c r="F83"/>
  <c r="F79"/>
  <c r="D77"/>
  <c r="F73"/>
  <c r="D73"/>
  <c r="F265"/>
  <c r="F257"/>
  <c r="F193"/>
  <c r="H322"/>
  <c r="C320"/>
  <c r="H311"/>
  <c r="D299"/>
  <c r="H273"/>
  <c r="G268"/>
  <c r="C263"/>
  <c r="H233"/>
  <c r="G228"/>
  <c r="H209"/>
  <c r="C211"/>
  <c r="H197"/>
  <c r="H368"/>
  <c r="F365"/>
  <c r="D363"/>
  <c r="D359"/>
  <c r="D355"/>
  <c r="D347"/>
  <c r="F345"/>
  <c r="C344"/>
  <c r="C332"/>
  <c r="D327"/>
  <c r="D323"/>
  <c r="D319"/>
  <c r="F317"/>
  <c r="D315"/>
  <c r="F313"/>
  <c r="D311"/>
  <c r="F309"/>
  <c r="H305"/>
  <c r="C309"/>
  <c r="C307"/>
  <c r="H301"/>
  <c r="C303"/>
  <c r="G297"/>
  <c r="C299"/>
  <c r="G293"/>
  <c r="G288"/>
  <c r="D286"/>
  <c r="D282"/>
  <c r="F280"/>
  <c r="D278"/>
  <c r="D274"/>
  <c r="D270"/>
  <c r="F268"/>
  <c r="D266"/>
  <c r="D262"/>
  <c r="D258"/>
  <c r="C261"/>
  <c r="D254"/>
  <c r="D250"/>
  <c r="D246"/>
  <c r="F244"/>
  <c r="D242"/>
  <c r="D238"/>
  <c r="F236"/>
  <c r="D234"/>
  <c r="C235"/>
  <c r="D230"/>
  <c r="F228"/>
  <c r="D226"/>
  <c r="D222"/>
  <c r="D218"/>
  <c r="F216"/>
  <c r="D214"/>
  <c r="D210"/>
  <c r="F208"/>
  <c r="D206"/>
  <c r="F204"/>
  <c r="C207"/>
  <c r="D202"/>
  <c r="D198"/>
  <c r="F196"/>
  <c r="D194"/>
  <c r="F192"/>
  <c r="D190"/>
  <c r="C191"/>
  <c r="D186"/>
  <c r="F184"/>
  <c r="D182"/>
  <c r="F177"/>
  <c r="F176"/>
  <c r="D174"/>
  <c r="F170"/>
  <c r="D170"/>
  <c r="F168"/>
  <c r="G163"/>
  <c r="H161"/>
  <c r="D161"/>
  <c r="H159"/>
  <c r="H155"/>
  <c r="H151"/>
  <c r="C153"/>
  <c r="H147"/>
  <c r="C149"/>
  <c r="G143"/>
  <c r="C145"/>
  <c r="H139"/>
  <c r="C143"/>
  <c r="C141"/>
  <c r="H135"/>
  <c r="H131"/>
  <c r="C135"/>
  <c r="G127"/>
  <c r="H123"/>
  <c r="C127"/>
  <c r="H119"/>
  <c r="H115"/>
  <c r="H111"/>
  <c r="H107"/>
  <c r="H103"/>
  <c r="C105"/>
  <c r="H99"/>
  <c r="H95"/>
  <c r="H91"/>
  <c r="H87"/>
  <c r="H83"/>
  <c r="H79"/>
  <c r="C83"/>
  <c r="H75"/>
  <c r="C73"/>
  <c r="F285"/>
  <c r="F368"/>
  <c r="C360"/>
  <c r="C356"/>
  <c r="C348"/>
  <c r="C340"/>
  <c r="G333"/>
  <c r="H326"/>
  <c r="C324"/>
  <c r="G309"/>
  <c r="H281"/>
  <c r="C271"/>
  <c r="H265"/>
  <c r="H261"/>
  <c r="C251"/>
  <c r="H221"/>
  <c r="C223"/>
  <c r="H217"/>
  <c r="H213"/>
  <c r="H370"/>
  <c r="D367"/>
  <c r="C368"/>
  <c r="D351"/>
  <c r="D343"/>
  <c r="D339"/>
  <c r="D335"/>
  <c r="F333"/>
  <c r="D331"/>
  <c r="D371"/>
  <c r="D369"/>
  <c r="C371"/>
  <c r="H365"/>
  <c r="C367"/>
  <c r="H361"/>
  <c r="H357"/>
  <c r="G356"/>
  <c r="C359"/>
  <c r="H353"/>
  <c r="C355"/>
  <c r="H349"/>
  <c r="G348"/>
  <c r="H345"/>
  <c r="G344"/>
  <c r="C347"/>
  <c r="H341"/>
  <c r="G340"/>
  <c r="C343"/>
  <c r="H337"/>
  <c r="C339"/>
  <c r="H333"/>
  <c r="G332"/>
  <c r="H329"/>
  <c r="C331"/>
  <c r="H325"/>
  <c r="G324"/>
  <c r="H321"/>
  <c r="G320"/>
  <c r="H317"/>
  <c r="G316"/>
  <c r="C319"/>
  <c r="H313"/>
  <c r="C315"/>
  <c r="H309"/>
  <c r="C311"/>
  <c r="D306"/>
  <c r="F297"/>
  <c r="F296"/>
  <c r="F293"/>
  <c r="C297"/>
  <c r="C295"/>
  <c r="D290"/>
  <c r="F288"/>
  <c r="H284"/>
  <c r="H280"/>
  <c r="G279"/>
  <c r="H276"/>
  <c r="C278"/>
  <c r="H272"/>
  <c r="G271"/>
  <c r="H268"/>
  <c r="C270"/>
  <c r="H264"/>
  <c r="G263"/>
  <c r="H260"/>
  <c r="C262"/>
  <c r="G256"/>
  <c r="H252"/>
  <c r="G251"/>
  <c r="H248"/>
  <c r="C250"/>
  <c r="H244"/>
  <c r="H240"/>
  <c r="H236"/>
  <c r="G235"/>
  <c r="H232"/>
  <c r="C234"/>
  <c r="H228"/>
  <c r="H224"/>
  <c r="G223"/>
  <c r="H220"/>
  <c r="C222"/>
  <c r="H216"/>
  <c r="H212"/>
  <c r="G211"/>
  <c r="H208"/>
  <c r="G207"/>
  <c r="C210"/>
  <c r="H204"/>
  <c r="C206"/>
  <c r="H200"/>
  <c r="H196"/>
  <c r="H192"/>
  <c r="G191"/>
  <c r="H188"/>
  <c r="C190"/>
  <c r="H184"/>
  <c r="H180"/>
  <c r="H177"/>
  <c r="H176"/>
  <c r="H172"/>
  <c r="C176"/>
  <c r="H168"/>
  <c r="G167"/>
  <c r="F163"/>
  <c r="D162"/>
  <c r="D160"/>
  <c r="F158"/>
  <c r="C161"/>
  <c r="C159"/>
  <c r="C157"/>
  <c r="D152"/>
  <c r="D148"/>
  <c r="F143"/>
  <c r="F134"/>
  <c r="C137"/>
  <c r="D132"/>
  <c r="C133"/>
  <c r="F127"/>
  <c r="F126"/>
  <c r="C129"/>
  <c r="D124"/>
  <c r="D121"/>
  <c r="D120"/>
  <c r="C123"/>
  <c r="C121"/>
  <c r="D116"/>
  <c r="F114"/>
  <c r="F112"/>
  <c r="D112"/>
  <c r="C115"/>
  <c r="C113"/>
  <c r="C109"/>
  <c r="F102"/>
  <c r="D100"/>
  <c r="F98"/>
  <c r="C101"/>
  <c r="C99"/>
  <c r="F90"/>
  <c r="C93"/>
  <c r="D88"/>
  <c r="F86"/>
  <c r="D85"/>
  <c r="C87"/>
  <c r="D81"/>
  <c r="C81"/>
  <c r="D76"/>
  <c r="C77"/>
  <c r="C12"/>
  <c r="I33" i="14"/>
  <c r="I33" i="13"/>
  <c r="C2" i="16"/>
  <c r="C7"/>
  <c r="C8"/>
  <c r="C8" i="15"/>
  <c r="C7" s="1"/>
  <c r="I29" s="1"/>
  <c r="F41"/>
  <c r="I28"/>
  <c r="C8" i="14"/>
  <c r="C7" s="1"/>
  <c r="F41"/>
  <c r="C8" i="13"/>
  <c r="C7" s="1"/>
  <c r="F41"/>
  <c r="G12" i="8"/>
  <c r="F12" s="1"/>
  <c r="H12" s="1"/>
  <c r="E12"/>
  <c r="E4" s="1"/>
  <c r="D29" i="12"/>
  <c r="D34" s="1"/>
  <c r="E5" i="16" l="1"/>
  <c r="H5" s="1"/>
  <c r="Q5"/>
  <c r="T5" s="1"/>
  <c r="M5"/>
  <c r="O5" s="1"/>
  <c r="K5"/>
  <c r="N5" s="1"/>
  <c r="S5"/>
  <c r="U5" s="1"/>
  <c r="E6"/>
  <c r="H6" s="1"/>
  <c r="M6"/>
  <c r="O6" s="1"/>
  <c r="K6"/>
  <c r="N6" s="1"/>
  <c r="S6"/>
  <c r="U6" s="1"/>
  <c r="Q6"/>
  <c r="T6" s="1"/>
  <c r="E10"/>
  <c r="H10" s="1"/>
  <c r="S10"/>
  <c r="U10" s="1"/>
  <c r="Q10"/>
  <c r="T10" s="1"/>
  <c r="M10"/>
  <c r="O10" s="1"/>
  <c r="K10"/>
  <c r="N10" s="1"/>
  <c r="E13"/>
  <c r="H13" s="1"/>
  <c r="Q13"/>
  <c r="T13" s="1"/>
  <c r="M13"/>
  <c r="O13" s="1"/>
  <c r="K13"/>
  <c r="N13" s="1"/>
  <c r="S13"/>
  <c r="U13" s="1"/>
  <c r="E11"/>
  <c r="H11" s="1"/>
  <c r="S11"/>
  <c r="U11" s="1"/>
  <c r="Q11"/>
  <c r="T11" s="1"/>
  <c r="M11"/>
  <c r="O11" s="1"/>
  <c r="K11"/>
  <c r="N11" s="1"/>
  <c r="S12"/>
  <c r="U12" s="1"/>
  <c r="Q12"/>
  <c r="T12" s="1"/>
  <c r="M12"/>
  <c r="O12" s="1"/>
  <c r="K12"/>
  <c r="N12" s="1"/>
  <c r="E2"/>
  <c r="M2"/>
  <c r="O2" s="1"/>
  <c r="K2"/>
  <c r="S2"/>
  <c r="U2" s="1"/>
  <c r="Q2"/>
  <c r="S7"/>
  <c r="U7" s="1"/>
  <c r="Q7"/>
  <c r="T7" s="1"/>
  <c r="M7"/>
  <c r="O7" s="1"/>
  <c r="K7"/>
  <c r="N7" s="1"/>
  <c r="E3"/>
  <c r="H3" s="1"/>
  <c r="S3"/>
  <c r="U3" s="1"/>
  <c r="Q3"/>
  <c r="T3" s="1"/>
  <c r="M3"/>
  <c r="O3" s="1"/>
  <c r="K3"/>
  <c r="N3" s="1"/>
  <c r="E8"/>
  <c r="H8" s="1"/>
  <c r="S8"/>
  <c r="U8" s="1"/>
  <c r="Q8"/>
  <c r="T8" s="1"/>
  <c r="M8"/>
  <c r="O8" s="1"/>
  <c r="K8"/>
  <c r="N8" s="1"/>
  <c r="E4"/>
  <c r="H4" s="1"/>
  <c r="S4"/>
  <c r="U4" s="1"/>
  <c r="Q4"/>
  <c r="T4" s="1"/>
  <c r="M4"/>
  <c r="O4" s="1"/>
  <c r="K4"/>
  <c r="N4" s="1"/>
  <c r="G3"/>
  <c r="I3" s="1"/>
  <c r="I36" i="19"/>
  <c r="J36" s="1"/>
  <c r="K36" s="1"/>
  <c r="L36" s="1"/>
  <c r="M36" s="1"/>
  <c r="N36" s="1"/>
  <c r="O36" s="1"/>
  <c r="P36" s="1"/>
  <c r="Q36" s="1"/>
  <c r="R36" s="1"/>
  <c r="S36" s="1"/>
  <c r="E33"/>
  <c r="G4" i="16"/>
  <c r="I4" s="1"/>
  <c r="G5"/>
  <c r="I5" s="1"/>
  <c r="G2"/>
  <c r="I2" s="1"/>
  <c r="G6"/>
  <c r="I6" s="1"/>
  <c r="G8"/>
  <c r="I8" s="1"/>
  <c r="D10" i="19"/>
  <c r="D11" s="1"/>
  <c r="C33"/>
  <c r="D13"/>
  <c r="D33" s="1"/>
  <c r="G10" i="16"/>
  <c r="I10" s="1"/>
  <c r="E7"/>
  <c r="H7" s="1"/>
  <c r="G7"/>
  <c r="I7" s="1"/>
  <c r="E12"/>
  <c r="H12" s="1"/>
  <c r="G12"/>
  <c r="I12" s="1"/>
  <c r="E13" i="8"/>
  <c r="D13"/>
  <c r="G13" s="1"/>
  <c r="B14"/>
  <c r="C13"/>
  <c r="C42" i="14"/>
  <c r="I36" s="1"/>
  <c r="I29"/>
  <c r="I30" s="1"/>
  <c r="I32" s="1"/>
  <c r="I34" s="1"/>
  <c r="I37" s="1"/>
  <c r="C42" i="13"/>
  <c r="I29"/>
  <c r="I30" s="1"/>
  <c r="I32" s="1"/>
  <c r="I34" s="1"/>
  <c r="I37" s="1"/>
  <c r="I7" i="15"/>
  <c r="I33"/>
  <c r="I30"/>
  <c r="I32" s="1"/>
  <c r="I7" i="13"/>
  <c r="I7" i="14"/>
  <c r="R2" i="16" l="1"/>
  <c r="R3" s="1"/>
  <c r="R4" s="1"/>
  <c r="R5" s="1"/>
  <c r="R6" s="1"/>
  <c r="R7" s="1"/>
  <c r="R8" s="1"/>
  <c r="R9" s="1"/>
  <c r="R10" s="1"/>
  <c r="R11" s="1"/>
  <c r="R12" s="1"/>
  <c r="R13" s="1"/>
  <c r="T2"/>
  <c r="H2"/>
  <c r="F2"/>
  <c r="F3" s="1"/>
  <c r="F4" s="1"/>
  <c r="F5" s="1"/>
  <c r="F6" s="1"/>
  <c r="F7" s="1"/>
  <c r="F8" s="1"/>
  <c r="F9" s="1"/>
  <c r="F10" s="1"/>
  <c r="F11" s="1"/>
  <c r="F12" s="1"/>
  <c r="F13" s="1"/>
  <c r="N2"/>
  <c r="L2"/>
  <c r="L3" s="1"/>
  <c r="L4" s="1"/>
  <c r="L5" s="1"/>
  <c r="L6" s="1"/>
  <c r="L7" s="1"/>
  <c r="L8" s="1"/>
  <c r="L9" s="1"/>
  <c r="L10" s="1"/>
  <c r="L11" s="1"/>
  <c r="L12" s="1"/>
  <c r="L13" s="1"/>
  <c r="I36" i="13"/>
  <c r="I38" s="1"/>
  <c r="H43" s="1"/>
  <c r="F13" i="8"/>
  <c r="H13" s="1"/>
  <c r="D14" s="1"/>
  <c r="E14"/>
  <c r="C14"/>
  <c r="B15"/>
  <c r="I38" i="14"/>
  <c r="H43" s="1"/>
  <c r="C43"/>
  <c r="C44" s="1"/>
  <c r="C45" s="1"/>
  <c r="F45" s="1"/>
  <c r="C43" i="13"/>
  <c r="C44" s="1"/>
  <c r="C45" s="1"/>
  <c r="F45" s="1"/>
  <c r="I34" i="15"/>
  <c r="I37" s="1"/>
  <c r="G14" i="8" l="1"/>
  <c r="E15"/>
  <c r="B16"/>
  <c r="C15"/>
  <c r="F14" l="1"/>
  <c r="H14" s="1"/>
  <c r="D15" s="1"/>
  <c r="E16"/>
  <c r="B17"/>
  <c r="C16"/>
  <c r="E17" l="1"/>
  <c r="B18"/>
  <c r="C17"/>
  <c r="G15"/>
  <c r="E18" l="1"/>
  <c r="B19"/>
  <c r="C18"/>
  <c r="F15"/>
  <c r="H15" s="1"/>
  <c r="D16" s="1"/>
  <c r="E19" l="1"/>
  <c r="B20"/>
  <c r="C19"/>
  <c r="G16"/>
  <c r="F16" s="1"/>
  <c r="H16" s="1"/>
  <c r="D17" s="1"/>
  <c r="G17" l="1"/>
  <c r="F17" s="1"/>
  <c r="H17" s="1"/>
  <c r="D18" s="1"/>
  <c r="E20"/>
  <c r="B21"/>
  <c r="C20"/>
  <c r="G18" l="1"/>
  <c r="F18" s="1"/>
  <c r="H18" s="1"/>
  <c r="D19" s="1"/>
  <c r="E21"/>
  <c r="B22"/>
  <c r="C21"/>
  <c r="G19" l="1"/>
  <c r="F19" s="1"/>
  <c r="H19" s="1"/>
  <c r="D20" s="1"/>
  <c r="E22"/>
  <c r="C22"/>
  <c r="B23"/>
  <c r="G20" l="1"/>
  <c r="F20" s="1"/>
  <c r="H20" s="1"/>
  <c r="D21" s="1"/>
  <c r="E23"/>
  <c r="C23"/>
  <c r="B24"/>
  <c r="G21" l="1"/>
  <c r="F21" s="1"/>
  <c r="H21" s="1"/>
  <c r="D22" s="1"/>
  <c r="E24"/>
  <c r="C24"/>
  <c r="B25"/>
  <c r="G22" l="1"/>
  <c r="F22" s="1"/>
  <c r="H22" s="1"/>
  <c r="D23" s="1"/>
  <c r="E25"/>
  <c r="C25"/>
  <c r="B26"/>
  <c r="G23" l="1"/>
  <c r="F23" s="1"/>
  <c r="H23" s="1"/>
  <c r="D24" s="1"/>
  <c r="E26"/>
  <c r="B27"/>
  <c r="C26"/>
  <c r="G24" l="1"/>
  <c r="F24" s="1"/>
  <c r="H24" s="1"/>
  <c r="D25" s="1"/>
  <c r="E27"/>
  <c r="B28"/>
  <c r="C27"/>
  <c r="G25" l="1"/>
  <c r="F25" s="1"/>
  <c r="H25" s="1"/>
  <c r="D26" s="1"/>
  <c r="E28"/>
  <c r="B29"/>
  <c r="C28"/>
  <c r="G26" l="1"/>
  <c r="F26" s="1"/>
  <c r="H26" s="1"/>
  <c r="D27" s="1"/>
  <c r="E29"/>
  <c r="C29"/>
  <c r="B30"/>
  <c r="G27" l="1"/>
  <c r="F27" s="1"/>
  <c r="H27" s="1"/>
  <c r="D28" s="1"/>
  <c r="E30"/>
  <c r="C30"/>
  <c r="B31"/>
  <c r="G28" l="1"/>
  <c r="F28" s="1"/>
  <c r="H28" s="1"/>
  <c r="D29" s="1"/>
  <c r="E31"/>
  <c r="C31"/>
  <c r="B32"/>
  <c r="G29" l="1"/>
  <c r="F29" s="1"/>
  <c r="H29" s="1"/>
  <c r="D30" s="1"/>
  <c r="E32"/>
  <c r="C32"/>
  <c r="B33"/>
  <c r="G30" l="1"/>
  <c r="F30" s="1"/>
  <c r="H30" s="1"/>
  <c r="D31" s="1"/>
  <c r="E33"/>
  <c r="C33"/>
  <c r="B34"/>
  <c r="G31" l="1"/>
  <c r="F31" s="1"/>
  <c r="H31" s="1"/>
  <c r="D32" s="1"/>
  <c r="E34"/>
  <c r="C34"/>
  <c r="B35"/>
  <c r="G32" l="1"/>
  <c r="F32" s="1"/>
  <c r="H32" s="1"/>
  <c r="D33" s="1"/>
  <c r="E35"/>
  <c r="C35"/>
  <c r="B36"/>
  <c r="G33" l="1"/>
  <c r="F33" s="1"/>
  <c r="H33" s="1"/>
  <c r="D34" s="1"/>
  <c r="E36"/>
  <c r="C36"/>
  <c r="B37"/>
  <c r="G34" l="1"/>
  <c r="F34" s="1"/>
  <c r="H34" s="1"/>
  <c r="D35" s="1"/>
  <c r="E37"/>
  <c r="C37"/>
  <c r="B38"/>
  <c r="G35" l="1"/>
  <c r="F35" s="1"/>
  <c r="H35" s="1"/>
  <c r="D36" s="1"/>
  <c r="E38"/>
  <c r="B39"/>
  <c r="C38"/>
  <c r="G36" l="1"/>
  <c r="E39"/>
  <c r="B40"/>
  <c r="C39"/>
  <c r="F36" l="1"/>
  <c r="H36" s="1"/>
  <c r="D37" s="1"/>
  <c r="G37" s="1"/>
  <c r="E40"/>
  <c r="C40"/>
  <c r="B41"/>
  <c r="F37" l="1"/>
  <c r="H37" s="1"/>
  <c r="D38" s="1"/>
  <c r="G38" s="1"/>
  <c r="E41"/>
  <c r="C41"/>
  <c r="B42"/>
  <c r="F38" l="1"/>
  <c r="H38" s="1"/>
  <c r="D39" s="1"/>
  <c r="G39" s="1"/>
  <c r="E42"/>
  <c r="C42"/>
  <c r="B43"/>
  <c r="F39" l="1"/>
  <c r="H39" s="1"/>
  <c r="D40" s="1"/>
  <c r="G40" s="1"/>
  <c r="E43"/>
  <c r="B44"/>
  <c r="C43"/>
  <c r="F40" l="1"/>
  <c r="H40" s="1"/>
  <c r="D41" s="1"/>
  <c r="G41" s="1"/>
  <c r="F41" s="1"/>
  <c r="H41" s="1"/>
  <c r="D42" s="1"/>
  <c r="E44"/>
  <c r="B45"/>
  <c r="C44"/>
  <c r="G42" l="1"/>
  <c r="F42" s="1"/>
  <c r="H42" s="1"/>
  <c r="D43" s="1"/>
  <c r="E45"/>
  <c r="C45"/>
  <c r="B46"/>
  <c r="G43" l="1"/>
  <c r="F43" s="1"/>
  <c r="H43" s="1"/>
  <c r="D44" s="1"/>
  <c r="E46"/>
  <c r="C46"/>
  <c r="B47"/>
  <c r="G44" l="1"/>
  <c r="F44" s="1"/>
  <c r="H44" s="1"/>
  <c r="D45" s="1"/>
  <c r="E47"/>
  <c r="B48"/>
  <c r="C47"/>
  <c r="G45" l="1"/>
  <c r="F45" s="1"/>
  <c r="H45" s="1"/>
  <c r="D46" s="1"/>
  <c r="E48"/>
  <c r="B49"/>
  <c r="C48"/>
  <c r="G46" l="1"/>
  <c r="F46" s="1"/>
  <c r="H46" s="1"/>
  <c r="D47" s="1"/>
  <c r="E49"/>
  <c r="C49"/>
  <c r="B50"/>
  <c r="G47" l="1"/>
  <c r="E50"/>
  <c r="C50"/>
  <c r="B51"/>
  <c r="F47" l="1"/>
  <c r="H47" s="1"/>
  <c r="D48" s="1"/>
  <c r="G10"/>
  <c r="G48"/>
  <c r="F48" s="1"/>
  <c r="H48" s="1"/>
  <c r="D49" s="1"/>
  <c r="E51"/>
  <c r="C51"/>
  <c r="B52"/>
  <c r="G49" l="1"/>
  <c r="F49" s="1"/>
  <c r="H49" s="1"/>
  <c r="D50" s="1"/>
  <c r="E52"/>
  <c r="B53"/>
  <c r="C52"/>
  <c r="G50" l="1"/>
  <c r="F50" s="1"/>
  <c r="H50" s="1"/>
  <c r="D51" s="1"/>
  <c r="E53"/>
  <c r="B54"/>
  <c r="C53"/>
  <c r="G51" l="1"/>
  <c r="F51" s="1"/>
  <c r="H51" s="1"/>
  <c r="D52" s="1"/>
  <c r="E54"/>
  <c r="C54"/>
  <c r="B55"/>
  <c r="G52" l="1"/>
  <c r="F52" s="1"/>
  <c r="H52" s="1"/>
  <c r="D53" s="1"/>
  <c r="E55"/>
  <c r="C55"/>
  <c r="B56"/>
  <c r="G53" l="1"/>
  <c r="F53" s="1"/>
  <c r="H53" s="1"/>
  <c r="D54" s="1"/>
  <c r="E56"/>
  <c r="B57"/>
  <c r="C56"/>
  <c r="G54" l="1"/>
  <c r="F54" s="1"/>
  <c r="H54" s="1"/>
  <c r="D55" s="1"/>
  <c r="E57"/>
  <c r="C57"/>
  <c r="B58"/>
  <c r="G55" l="1"/>
  <c r="F55" s="1"/>
  <c r="H55" s="1"/>
  <c r="D56" s="1"/>
  <c r="E58"/>
  <c r="C58"/>
  <c r="B59"/>
  <c r="G56" l="1"/>
  <c r="F56" s="1"/>
  <c r="H56" s="1"/>
  <c r="D57" s="1"/>
  <c r="E59"/>
  <c r="C59"/>
  <c r="B60"/>
  <c r="G57" l="1"/>
  <c r="F57" s="1"/>
  <c r="H57" s="1"/>
  <c r="D58" s="1"/>
  <c r="E60"/>
  <c r="C60"/>
  <c r="B61"/>
  <c r="G58" l="1"/>
  <c r="F58" s="1"/>
  <c r="H58" s="1"/>
  <c r="D59" s="1"/>
  <c r="E61"/>
  <c r="B62"/>
  <c r="C61"/>
  <c r="G59" l="1"/>
  <c r="F59" s="1"/>
  <c r="H59" s="1"/>
  <c r="D60" s="1"/>
  <c r="E62"/>
  <c r="C62"/>
  <c r="B63"/>
  <c r="G60" l="1"/>
  <c r="F60" s="1"/>
  <c r="H60" s="1"/>
  <c r="D61" s="1"/>
  <c r="E63"/>
  <c r="C63"/>
  <c r="B64"/>
  <c r="G61" l="1"/>
  <c r="F61" s="1"/>
  <c r="H61" s="1"/>
  <c r="D62" s="1"/>
  <c r="E64"/>
  <c r="C64"/>
  <c r="B65"/>
  <c r="G62" l="1"/>
  <c r="F62" s="1"/>
  <c r="H62" s="1"/>
  <c r="D63" s="1"/>
  <c r="E65"/>
  <c r="C65"/>
  <c r="B66"/>
  <c r="G63" l="1"/>
  <c r="F63" s="1"/>
  <c r="H63" s="1"/>
  <c r="D64" s="1"/>
  <c r="E66"/>
  <c r="B67"/>
  <c r="C66"/>
  <c r="G64" l="1"/>
  <c r="F64" s="1"/>
  <c r="H64" s="1"/>
  <c r="D65" s="1"/>
  <c r="E67"/>
  <c r="C67"/>
  <c r="B68"/>
  <c r="G65" l="1"/>
  <c r="F65" s="1"/>
  <c r="H65" s="1"/>
  <c r="D66" s="1"/>
  <c r="E68"/>
  <c r="C68"/>
  <c r="B69"/>
  <c r="G66" l="1"/>
  <c r="F66" s="1"/>
  <c r="H66" s="1"/>
  <c r="D67" s="1"/>
  <c r="E69"/>
  <c r="B70"/>
  <c r="C69"/>
  <c r="G67" l="1"/>
  <c r="F67" s="1"/>
  <c r="H67" s="1"/>
  <c r="D68" s="1"/>
  <c r="E70"/>
  <c r="C70"/>
  <c r="B71"/>
  <c r="G68" l="1"/>
  <c r="F68" s="1"/>
  <c r="H68" s="1"/>
  <c r="D69" s="1"/>
  <c r="E71"/>
  <c r="C71"/>
  <c r="G69" l="1"/>
  <c r="F69" s="1"/>
  <c r="H69" s="1"/>
  <c r="D70" s="1"/>
  <c r="G70" l="1"/>
  <c r="F70" s="1"/>
  <c r="H70" s="1"/>
  <c r="D71" s="1"/>
  <c r="G71" l="1"/>
  <c r="H7" l="1"/>
  <c r="F71"/>
  <c r="H71" s="1"/>
  <c r="C42" i="15"/>
  <c r="C43" s="1"/>
  <c r="I36" l="1"/>
  <c r="I38" s="1"/>
  <c r="H43" s="1"/>
  <c r="C44"/>
  <c r="C45" s="1"/>
  <c r="F45" s="1"/>
</calcChain>
</file>

<file path=xl/sharedStrings.xml><?xml version="1.0" encoding="utf-8"?>
<sst xmlns="http://schemas.openxmlformats.org/spreadsheetml/2006/main" count="513" uniqueCount="291">
  <si>
    <t>Bilan Initial</t>
  </si>
  <si>
    <t>ACTIF</t>
  </si>
  <si>
    <t>PASSIF</t>
  </si>
  <si>
    <t>Immobilisations incorporelles</t>
  </si>
  <si>
    <t>Frais d'établissement</t>
  </si>
  <si>
    <t>Fonds de commerce</t>
  </si>
  <si>
    <t>Logiciels</t>
  </si>
  <si>
    <t>Autres immobilisations incorporelles</t>
  </si>
  <si>
    <t>Immobilisations corporelles</t>
  </si>
  <si>
    <t>Terrains</t>
  </si>
  <si>
    <t>Agencements</t>
  </si>
  <si>
    <t>Installations tech, matériels, out</t>
  </si>
  <si>
    <t>Matériel de transport</t>
  </si>
  <si>
    <t>Matériel de bureau, informatique</t>
  </si>
  <si>
    <t>Autres immobilisations corporelles</t>
  </si>
  <si>
    <t>Immobilisations financières</t>
  </si>
  <si>
    <t>Caution immobilière</t>
  </si>
  <si>
    <t>Total de l'actif immobilisé (I)</t>
  </si>
  <si>
    <t>Stocks</t>
  </si>
  <si>
    <t>Matières Premières</t>
  </si>
  <si>
    <t>Marchandises</t>
  </si>
  <si>
    <t>Autres créances (crédit TVA)</t>
  </si>
  <si>
    <t>Trésorerie</t>
  </si>
  <si>
    <t>Total de l'actif circulant (II)</t>
  </si>
  <si>
    <t>TOTAL GENERAL (I) + (II)</t>
  </si>
  <si>
    <t>Capital</t>
  </si>
  <si>
    <t>Apport en nature</t>
  </si>
  <si>
    <t>Réserves</t>
  </si>
  <si>
    <t>Report à nouveau</t>
  </si>
  <si>
    <t>Résultat de l'exercice</t>
  </si>
  <si>
    <t>Subventions d'investissement</t>
  </si>
  <si>
    <t>Total des capitaux propres (III)</t>
  </si>
  <si>
    <t>Comptes courants d'associés</t>
  </si>
  <si>
    <t>Dettes fournisseurs</t>
  </si>
  <si>
    <t>Dettes fiscales et sociales</t>
  </si>
  <si>
    <t>Total des dettes (IV)</t>
  </si>
  <si>
    <t>TOTAL GENERAL (III) + (IV)</t>
  </si>
  <si>
    <t>Apport en numéraire</t>
  </si>
  <si>
    <t>Constructions</t>
  </si>
  <si>
    <t>Emprunts</t>
  </si>
  <si>
    <t>PLAN DE TRESORERIE SUR 12 MOIS (ANNEE 1)</t>
  </si>
  <si>
    <t>Total</t>
  </si>
  <si>
    <t>Montant</t>
  </si>
  <si>
    <t>Début</t>
  </si>
  <si>
    <t>HT</t>
  </si>
  <si>
    <t>TVA</t>
  </si>
  <si>
    <t>TTC</t>
  </si>
  <si>
    <t>exercice</t>
  </si>
  <si>
    <t>Subventions</t>
  </si>
  <si>
    <t>TOTAL RECETTES</t>
  </si>
  <si>
    <t xml:space="preserve"> </t>
  </si>
  <si>
    <t>Achats d'immobilisations</t>
  </si>
  <si>
    <t>Loyer et charges locatives</t>
  </si>
  <si>
    <t>Transports et déplacements</t>
  </si>
  <si>
    <t>Impôts et taxes</t>
  </si>
  <si>
    <t>Charges sociales salariales et patronales</t>
  </si>
  <si>
    <t>Rémunération Gérant</t>
  </si>
  <si>
    <t>Charges sociales Gérant</t>
  </si>
  <si>
    <t>TVA à décaisser</t>
  </si>
  <si>
    <t>TOTAL DEPENSES</t>
  </si>
  <si>
    <t>TRESORERIE MENSUELLE</t>
  </si>
  <si>
    <t>TVA collectée</t>
  </si>
  <si>
    <t>TVA déductible</t>
  </si>
  <si>
    <t>Différence</t>
  </si>
  <si>
    <t>TVA à payer</t>
  </si>
  <si>
    <t>Ventes Produit 1</t>
  </si>
  <si>
    <t>Publicité, communication</t>
  </si>
  <si>
    <t>Autres dépenses</t>
  </si>
  <si>
    <t>SOLDE MENSUEL</t>
  </si>
  <si>
    <t>Remboursement emprunt bancaire (K+i)</t>
  </si>
  <si>
    <t>Mois 1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</si>
  <si>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</si>
  <si>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</si>
  <si>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</si>
  <si>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</si>
  <si>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</si>
  <si>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</si>
  <si>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</si>
  <si>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</si>
  <si>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</si>
  <si>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</si>
  <si>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</si>
  <si>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>RECETTES</t>
  </si>
  <si>
    <t>DEPENSES</t>
  </si>
  <si>
    <t>COMPTE DE RESULTAT ANNEE 1</t>
  </si>
  <si>
    <t>CHARGES</t>
  </si>
  <si>
    <t>PRODUITS</t>
  </si>
  <si>
    <t>Achats</t>
  </si>
  <si>
    <t>Chiffre d'affaires</t>
  </si>
  <si>
    <t>Charges externes</t>
  </si>
  <si>
    <t>Salaires et Charges sociales</t>
  </si>
  <si>
    <t>Charges financières</t>
  </si>
  <si>
    <t>TOTAL CHARGES</t>
  </si>
  <si>
    <t>TOTAL PRODUITS</t>
  </si>
  <si>
    <t>Bénéfice brut</t>
  </si>
  <si>
    <t>Bénéfice net</t>
  </si>
  <si>
    <t xml:space="preserve">   achats de marchandises</t>
  </si>
  <si>
    <t xml:space="preserve">   variation de stocks de marchandises</t>
  </si>
  <si>
    <t>Dotation aux Amortissements</t>
  </si>
  <si>
    <t>Produits financiers</t>
  </si>
  <si>
    <t>Salaires bruts</t>
  </si>
  <si>
    <t>Charges sociales Patronales</t>
  </si>
  <si>
    <t xml:space="preserve">   CA Produit 1</t>
  </si>
  <si>
    <t>Bilan final</t>
  </si>
  <si>
    <t>Subventions d'exploitation</t>
  </si>
  <si>
    <t>PLAN DE FINANCEMENT SUR 3 ANS</t>
  </si>
  <si>
    <t>Année 1</t>
  </si>
  <si>
    <t>Année 2</t>
  </si>
  <si>
    <t>Année 3</t>
  </si>
  <si>
    <t>Besoins</t>
  </si>
  <si>
    <t>Besoin en fonds de roulement</t>
  </si>
  <si>
    <t>Remboursement emprunts</t>
  </si>
  <si>
    <t>TOTAL DES BESOINS</t>
  </si>
  <si>
    <t>Ressources</t>
  </si>
  <si>
    <t>TOTAL DES RESSOURCES</t>
  </si>
  <si>
    <t>Ecart</t>
  </si>
  <si>
    <t>Ecart cumulé</t>
  </si>
  <si>
    <t>Démarrage</t>
  </si>
  <si>
    <t>En-cours</t>
  </si>
  <si>
    <t xml:space="preserve">   Constitution</t>
  </si>
  <si>
    <t xml:space="preserve">   Variation</t>
  </si>
  <si>
    <t xml:space="preserve">   Agencements</t>
  </si>
  <si>
    <t xml:space="preserve">   Mobilier</t>
  </si>
  <si>
    <t xml:space="preserve">   Matériel Informatique</t>
  </si>
  <si>
    <t xml:space="preserve">   Matériel technique</t>
  </si>
  <si>
    <t xml:space="preserve">   Logiciels</t>
  </si>
  <si>
    <t xml:space="preserve">   Frais d'établissement</t>
  </si>
  <si>
    <t>Subventions d'investissements</t>
  </si>
  <si>
    <t>Capacité d'autofinancement</t>
  </si>
  <si>
    <t>Comptes courant d'associés</t>
  </si>
  <si>
    <t>Remboursement Emprunt Bancaire</t>
  </si>
  <si>
    <t>Intérêts</t>
  </si>
  <si>
    <t>Linéaire</t>
  </si>
  <si>
    <t>Amortissements</t>
  </si>
  <si>
    <t>Désignation</t>
  </si>
  <si>
    <t>Type d'amortissment</t>
  </si>
  <si>
    <t>Durée d'amortissement</t>
  </si>
  <si>
    <t>………</t>
  </si>
  <si>
    <t>Valeur nette</t>
  </si>
  <si>
    <t>Base</t>
  </si>
  <si>
    <t>Cumul des</t>
  </si>
  <si>
    <t>amortissements</t>
  </si>
  <si>
    <t>comptable</t>
  </si>
  <si>
    <t>amortissement</t>
  </si>
  <si>
    <t>amortissment</t>
  </si>
  <si>
    <t>Taux d'amortissement</t>
  </si>
  <si>
    <t>Valeur d'achat HT</t>
  </si>
  <si>
    <t>SOLDES INTERMEDIAIRES DE GESTION</t>
  </si>
  <si>
    <t>Intitulé</t>
  </si>
  <si>
    <t>Ventes de marchandises</t>
  </si>
  <si>
    <t>- Achats de marchandises</t>
  </si>
  <si>
    <t>= MARGE COMMERCIALE</t>
  </si>
  <si>
    <t>Production vendue</t>
  </si>
  <si>
    <t>+ Production stockée</t>
  </si>
  <si>
    <t>+ Production immobilisée</t>
  </si>
  <si>
    <t>- Matières premières et autres approvisionnements</t>
  </si>
  <si>
    <t>- Autres achats et charges externes</t>
  </si>
  <si>
    <t>= VALEUR AJOUTEE</t>
  </si>
  <si>
    <t>+ Subventions d'exploitation</t>
  </si>
  <si>
    <t>- Impôts, taxes et versements assimilés</t>
  </si>
  <si>
    <t>- Salaires et charges sociales</t>
  </si>
  <si>
    <t>= EXCEDENT BRUT D'EXPLOITATION (EBE)</t>
  </si>
  <si>
    <t>+ Produits de gestion courante</t>
  </si>
  <si>
    <t>- Charges de gestion courante</t>
  </si>
  <si>
    <t>+ Reprises sur amortissements et provisions</t>
  </si>
  <si>
    <t>- Dotations aux amortissements</t>
  </si>
  <si>
    <t>- Dotations aux provisions</t>
  </si>
  <si>
    <t>= RESULTAT D'EXPLOITATION</t>
  </si>
  <si>
    <t>- Charges financiers</t>
  </si>
  <si>
    <t>= RESULTAT FINANCIER</t>
  </si>
  <si>
    <t>Produits exceptionnels</t>
  </si>
  <si>
    <t>- Charges exceptionnelles</t>
  </si>
  <si>
    <t>= RESULTAT EXCEPTIONNEL</t>
  </si>
  <si>
    <t>Résultat d'Exploitation</t>
  </si>
  <si>
    <t>+ Résultat financier</t>
  </si>
  <si>
    <t>+ Résultat exceptionnel</t>
  </si>
  <si>
    <t>= RESULTAT DE L'EXERCICE</t>
  </si>
  <si>
    <t>= PRODUCTION DE L'EXERCICE</t>
  </si>
  <si>
    <t>Marge commerciale</t>
  </si>
  <si>
    <t>+ Production de l'exercice</t>
  </si>
  <si>
    <t>SEUIL DE RENTABILITE</t>
  </si>
  <si>
    <t>- Charges variables</t>
  </si>
  <si>
    <t>= Marge sur coûts variables</t>
  </si>
  <si>
    <t>Marge sur coûts variables</t>
  </si>
  <si>
    <t>/ Chiffres d'affaires</t>
  </si>
  <si>
    <t>Charges fixes</t>
  </si>
  <si>
    <t>/ Marge sur coûts variables</t>
  </si>
  <si>
    <t>= SEUIL DE RENTABILITE</t>
  </si>
  <si>
    <t>= Taux de Marge sur coûts Variables</t>
  </si>
  <si>
    <t>Capital ou augmentation de capital</t>
  </si>
  <si>
    <t>Apports en CCA</t>
  </si>
  <si>
    <t>Achats de marchandises TVA 5,5%</t>
  </si>
  <si>
    <t>Date de mise en service</t>
  </si>
  <si>
    <t>Dates</t>
  </si>
  <si>
    <t>Montant du prêt</t>
  </si>
  <si>
    <t>Mensualité</t>
  </si>
  <si>
    <t>Taux d'intérêt annuel</t>
  </si>
  <si>
    <t>Nombre de mensualités prévues</t>
  </si>
  <si>
    <t>Durée du prêt en années</t>
  </si>
  <si>
    <t>Nombre de versements par an</t>
  </si>
  <si>
    <t>Date de début de l'emprunt</t>
  </si>
  <si>
    <t>Capital remboursé</t>
  </si>
  <si>
    <t>Reste à rembourser</t>
  </si>
  <si>
    <t>Date</t>
  </si>
  <si>
    <t>Coût total du crédit</t>
  </si>
  <si>
    <t>Capital restant dû</t>
  </si>
  <si>
    <t>PLAN DE FINANCEMENT INITIAL</t>
  </si>
  <si>
    <t xml:space="preserve">   Stock</t>
  </si>
  <si>
    <t>Prêt d'honneur</t>
  </si>
  <si>
    <t xml:space="preserve">   Trésorerie de départ</t>
  </si>
  <si>
    <t xml:space="preserve">   Frais de garantie s/prêt bancaire</t>
  </si>
  <si>
    <t xml:space="preserve">   Caution pour local</t>
  </si>
  <si>
    <t xml:space="preserve">   Site e-commerce</t>
  </si>
  <si>
    <t>Année 0</t>
  </si>
  <si>
    <t xml:space="preserve">   TVA</t>
  </si>
  <si>
    <t xml:space="preserve">   Prêt bancaire</t>
  </si>
  <si>
    <t xml:space="preserve">   Prêt relais TVA</t>
  </si>
  <si>
    <r>
      <t xml:space="preserve">   </t>
    </r>
    <r>
      <rPr>
        <i/>
        <sz val="10"/>
        <rFont val="Arial"/>
        <family val="2"/>
      </rPr>
      <t>Honoraires (SAS)</t>
    </r>
  </si>
  <si>
    <t>Véhicules</t>
  </si>
  <si>
    <t>Publicité au démarrage</t>
  </si>
  <si>
    <t>Dépot de marques / INPI</t>
  </si>
  <si>
    <t>Droit d'entrée groupe/ réseaux/ syndicats</t>
  </si>
  <si>
    <t>Avances remboursables</t>
  </si>
  <si>
    <t>Emprunts court , moyen termes</t>
  </si>
  <si>
    <t>Capital , Apport personnel</t>
  </si>
  <si>
    <t>MARGES BRUT</t>
  </si>
  <si>
    <t>HYPOTHESE CA</t>
  </si>
  <si>
    <t>Commandes par jour</t>
  </si>
  <si>
    <t>Commandes par an</t>
  </si>
  <si>
    <t>Panier moyen</t>
  </si>
  <si>
    <t>CA</t>
  </si>
  <si>
    <t>Fournitures livraisons</t>
  </si>
  <si>
    <t>Equipements véhicules</t>
  </si>
  <si>
    <t xml:space="preserve">Maintenace MAJ Siteweb </t>
  </si>
  <si>
    <t>Assurance (véhicules + assurances pro RCP)</t>
  </si>
  <si>
    <t>Honoraires (comptable)</t>
  </si>
  <si>
    <t>Frais postaux/téléphone/ internet</t>
  </si>
  <si>
    <t>Services bancaires</t>
  </si>
  <si>
    <t xml:space="preserve">Logiciel gestion </t>
  </si>
  <si>
    <t>Impôt sur les bénéfices (15%)</t>
  </si>
  <si>
    <t xml:space="preserve">Impôts et taxes (CFE) </t>
  </si>
  <si>
    <t>Impôts et taxes (CFE) non comprise 1ère N</t>
  </si>
  <si>
    <t>Véhicules (1/5)</t>
  </si>
  <si>
    <t xml:space="preserve">Création site e-commerce (1/3) </t>
  </si>
  <si>
    <t>Publicités (1/5)</t>
  </si>
  <si>
    <t xml:space="preserve">Frais établissements + Honoraire </t>
  </si>
  <si>
    <t>%</t>
  </si>
  <si>
    <t>Véhicules (2/5)</t>
  </si>
  <si>
    <t xml:space="preserve">Création site e-commerce (2/3) </t>
  </si>
  <si>
    <t>Publicités (2/5)</t>
  </si>
  <si>
    <t>Véhicules (3/5)</t>
  </si>
  <si>
    <t xml:space="preserve">Création site e-commerce (3/3) </t>
  </si>
  <si>
    <t>Publicités (3/5)</t>
  </si>
  <si>
    <t>Assurances (véhicules + assurances pro RCP)</t>
  </si>
  <si>
    <t>Honoraires (comptable )</t>
  </si>
  <si>
    <t xml:space="preserve">Frais postaux / téléphone / internet </t>
  </si>
  <si>
    <t>Maintenance MAJ Siteweb</t>
  </si>
  <si>
    <t xml:space="preserve">Donations aux Amortissements </t>
  </si>
  <si>
    <t>Septembre</t>
  </si>
  <si>
    <t>Octobre</t>
  </si>
  <si>
    <t>Novembre</t>
  </si>
  <si>
    <t>Décembre</t>
  </si>
  <si>
    <t>Janvier</t>
  </si>
  <si>
    <t>Février</t>
  </si>
  <si>
    <t xml:space="preserve">Mars </t>
  </si>
  <si>
    <t xml:space="preserve">Avril </t>
  </si>
  <si>
    <t>Mai</t>
  </si>
  <si>
    <t>Juin</t>
  </si>
  <si>
    <t>Juillet</t>
  </si>
  <si>
    <t>Aout</t>
  </si>
  <si>
    <t>Rémunération Président</t>
  </si>
  <si>
    <t>Charges sociales Président</t>
  </si>
  <si>
    <t>HT CA</t>
  </si>
  <si>
    <t>HT Achats</t>
  </si>
  <si>
    <t>TTC CA</t>
  </si>
  <si>
    <t>CA exemple</t>
  </si>
  <si>
    <t>TTC Achats</t>
  </si>
  <si>
    <t>Année1</t>
  </si>
  <si>
    <t>Année2</t>
  </si>
  <si>
    <t>HT CA cumulé</t>
  </si>
  <si>
    <t>PREVISION RENTABILITE</t>
  </si>
  <si>
    <t>CAF</t>
  </si>
  <si>
    <t>Stripe</t>
  </si>
  <si>
    <t>SERVICES BANCAIRE</t>
  </si>
  <si>
    <t>SERVICES BANCAIRES</t>
  </si>
  <si>
    <t>Emprunts 1an</t>
  </si>
  <si>
    <t>COMPTE DE RESULTAT ANNEE 2</t>
  </si>
  <si>
    <t>COMPTE DE RESULTAT ANNEE 3</t>
  </si>
  <si>
    <t>Répartition du CA d'une ferme</t>
  </si>
  <si>
    <t xml:space="preserve">10 ème mois </t>
  </si>
  <si>
    <t xml:space="preserve">11eme mois </t>
  </si>
</sst>
</file>

<file path=xl/styles.xml><?xml version="1.0" encoding="utf-8"?>
<styleSheet xmlns="http://schemas.openxmlformats.org/spreadsheetml/2006/main">
  <numFmts count="18">
    <numFmt numFmtId="164" formatCode="#,##0\ &quot;€&quot;;\-#,##0\ &quot;€&quot;"/>
    <numFmt numFmtId="165" formatCode="#,##0\ &quot;F&quot;;[Red]\-#,##0\ &quot;F&quot;"/>
    <numFmt numFmtId="166" formatCode="_-* #,##0.00\ _F_-;\-* #,##0.00\ _F_-;_-* &quot;-&quot;??\ _F_-;_-@_-"/>
    <numFmt numFmtId="167" formatCode="#,##0.0000"/>
    <numFmt numFmtId="168" formatCode="0.00000000000"/>
    <numFmt numFmtId="169" formatCode="#,##0.00000"/>
    <numFmt numFmtId="170" formatCode="0.0000000000000"/>
    <numFmt numFmtId="171" formatCode="#,##0\ [$€-1]"/>
    <numFmt numFmtId="172" formatCode="#,##0\ &quot;F&quot;"/>
    <numFmt numFmtId="173" formatCode="#,##0.00\ &quot;F&quot;"/>
    <numFmt numFmtId="174" formatCode="#,##0\ &quot;€&quot;"/>
    <numFmt numFmtId="175" formatCode="[$-40C]dd\-mmm\-yy;@"/>
    <numFmt numFmtId="176" formatCode="_(&quot;$&quot;* #,##0.00_);_(&quot;$&quot;* \(#,##0.00\);_(&quot;$&quot;* &quot;-&quot;??_);_(@_)"/>
    <numFmt numFmtId="177" formatCode="0_)"/>
    <numFmt numFmtId="178" formatCode="0.00?%_)"/>
    <numFmt numFmtId="179" formatCode="#,##0.00\ \€;\-\ #,##0.00\ \€"/>
    <numFmt numFmtId="180" formatCode="0.0%"/>
    <numFmt numFmtId="181" formatCode="#,##0\ [$€-200C]"/>
  </numFmts>
  <fonts count="47">
    <font>
      <sz val="10"/>
      <name val="Arial"/>
    </font>
    <font>
      <b/>
      <sz val="10"/>
      <name val="Arial"/>
      <family val="2"/>
    </font>
    <font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sz val="16"/>
      <name val="Arial"/>
      <family val="2"/>
    </font>
    <font>
      <i/>
      <sz val="10"/>
      <name val="Arial"/>
      <family val="2"/>
    </font>
    <font>
      <b/>
      <u/>
      <sz val="18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6"/>
      <color theme="0"/>
      <name val="Arial"/>
      <family val="2"/>
    </font>
    <font>
      <sz val="12"/>
      <color rgb="FF000000"/>
      <name val="Arial"/>
      <family val="2"/>
    </font>
    <font>
      <sz val="16"/>
      <color theme="0"/>
      <name val="Arial"/>
      <family val="2"/>
    </font>
    <font>
      <b/>
      <sz val="10"/>
      <color theme="0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0"/>
      <color rgb="FF0000FF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7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thin">
        <color indexed="64"/>
      </right>
      <top/>
      <bottom style="double">
        <color indexed="64"/>
      </bottom>
      <diagonal/>
    </border>
    <border>
      <left style="double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theme="0"/>
      </left>
      <right/>
      <top/>
      <bottom/>
      <diagonal/>
    </border>
    <border>
      <left/>
      <right/>
      <top style="double">
        <color theme="0"/>
      </top>
      <bottom/>
      <diagonal/>
    </border>
  </borders>
  <cellStyleXfs count="44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20" borderId="1" applyNumberFormat="0" applyAlignment="0" applyProtection="0"/>
    <xf numFmtId="0" fontId="22" fillId="0" borderId="2" applyNumberFormat="0" applyFill="0" applyAlignment="0" applyProtection="0"/>
    <xf numFmtId="0" fontId="4" fillId="21" borderId="3" applyNumberFormat="0" applyFont="0" applyAlignment="0" applyProtection="0"/>
    <xf numFmtId="0" fontId="23" fillId="7" borderId="1" applyNumberFormat="0" applyAlignment="0" applyProtection="0"/>
    <xf numFmtId="0" fontId="24" fillId="3" borderId="0" applyNumberFormat="0" applyBorder="0" applyAlignment="0" applyProtection="0"/>
    <xf numFmtId="0" fontId="25" fillId="22" borderId="0" applyNumberFormat="0" applyBorder="0" applyAlignment="0" applyProtection="0"/>
    <xf numFmtId="0" fontId="4" fillId="0" borderId="0"/>
    <xf numFmtId="0" fontId="26" fillId="4" borderId="0" applyNumberFormat="0" applyBorder="0" applyAlignment="0" applyProtection="0"/>
    <xf numFmtId="0" fontId="27" fillId="20" borderId="4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8" applyNumberFormat="0" applyFill="0" applyAlignment="0" applyProtection="0"/>
    <xf numFmtId="0" fontId="34" fillId="23" borderId="9" applyNumberFormat="0" applyAlignment="0" applyProtection="0"/>
    <xf numFmtId="176" fontId="4" fillId="0" borderId="0" applyFont="0" applyFill="0" applyBorder="0" applyAlignment="0" applyProtection="0"/>
  </cellStyleXfs>
  <cellXfs count="402">
    <xf numFmtId="0" fontId="0" fillId="0" borderId="0" xfId="0"/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174" fontId="1" fillId="0" borderId="10" xfId="0" applyNumberFormat="1" applyFont="1" applyBorder="1"/>
    <xf numFmtId="174" fontId="0" fillId="0" borderId="10" xfId="0" applyNumberFormat="1" applyBorder="1"/>
    <xf numFmtId="174" fontId="0" fillId="0" borderId="11" xfId="0" applyNumberFormat="1" applyBorder="1"/>
    <xf numFmtId="174" fontId="1" fillId="0" borderId="12" xfId="0" applyNumberFormat="1" applyFont="1" applyBorder="1"/>
    <xf numFmtId="171" fontId="1" fillId="26" borderId="13" xfId="0" applyNumberFormat="1" applyFont="1" applyFill="1" applyBorder="1" applyAlignment="1" applyProtection="1">
      <alignment horizontal="right"/>
    </xf>
    <xf numFmtId="0" fontId="0" fillId="0" borderId="0" xfId="0" applyProtection="1">
      <protection locked="0"/>
    </xf>
    <xf numFmtId="0" fontId="1" fillId="0" borderId="10" xfId="0" applyFont="1" applyBorder="1" applyProtection="1">
      <protection locked="0"/>
    </xf>
    <xf numFmtId="0" fontId="0" fillId="0" borderId="10" xfId="0" applyBorder="1" applyProtection="1">
      <protection locked="0"/>
    </xf>
    <xf numFmtId="174" fontId="0" fillId="0" borderId="10" xfId="0" applyNumberFormat="1" applyBorder="1" applyProtection="1">
      <protection locked="0"/>
    </xf>
    <xf numFmtId="0" fontId="0" fillId="0" borderId="11" xfId="0" applyBorder="1" applyProtection="1">
      <protection locked="0"/>
    </xf>
    <xf numFmtId="174" fontId="0" fillId="0" borderId="11" xfId="0" applyNumberFormat="1" applyBorder="1" applyProtection="1">
      <protection locked="0"/>
    </xf>
    <xf numFmtId="0" fontId="1" fillId="0" borderId="12" xfId="0" applyFont="1" applyBorder="1" applyProtection="1">
      <protection locked="0"/>
    </xf>
    <xf numFmtId="174" fontId="1" fillId="0" borderId="12" xfId="0" applyNumberFormat="1" applyFont="1" applyBorder="1" applyProtection="1">
      <protection locked="0"/>
    </xf>
    <xf numFmtId="174" fontId="1" fillId="0" borderId="10" xfId="0" applyNumberFormat="1" applyFont="1" applyBorder="1" applyProtection="1"/>
    <xf numFmtId="174" fontId="1" fillId="0" borderId="12" xfId="0" applyNumberFormat="1" applyFont="1" applyBorder="1" applyProtection="1"/>
    <xf numFmtId="0" fontId="5" fillId="0" borderId="0" xfId="0" applyFont="1" applyProtection="1">
      <protection locked="0"/>
    </xf>
    <xf numFmtId="0" fontId="37" fillId="27" borderId="60" xfId="0" applyFont="1" applyFill="1" applyBorder="1" applyAlignment="1" applyProtection="1">
      <alignment horizontal="centerContinuous"/>
      <protection locked="0"/>
    </xf>
    <xf numFmtId="171" fontId="5" fillId="0" borderId="0" xfId="0" applyNumberFormat="1" applyFont="1" applyProtection="1">
      <protection locked="0"/>
    </xf>
    <xf numFmtId="171" fontId="37" fillId="27" borderId="61" xfId="0" applyNumberFormat="1" applyFont="1" applyFill="1" applyBorder="1" applyAlignment="1" applyProtection="1">
      <alignment horizontal="centerContinuous"/>
      <protection locked="0"/>
    </xf>
    <xf numFmtId="0" fontId="37" fillId="27" borderId="61" xfId="0" applyFont="1" applyFill="1" applyBorder="1" applyAlignment="1" applyProtection="1">
      <alignment horizontal="centerContinuous"/>
      <protection locked="0"/>
    </xf>
    <xf numFmtId="171" fontId="37" fillId="27" borderId="62" xfId="0" applyNumberFormat="1" applyFont="1" applyFill="1" applyBorder="1" applyAlignment="1" applyProtection="1">
      <alignment horizontal="centerContinuous"/>
      <protection locked="0"/>
    </xf>
    <xf numFmtId="0" fontId="10" fillId="0" borderId="0" xfId="0" applyFont="1" applyProtection="1">
      <protection locked="0"/>
    </xf>
    <xf numFmtId="0" fontId="1" fillId="0" borderId="30" xfId="0" applyFont="1" applyBorder="1" applyAlignment="1" applyProtection="1">
      <alignment horizontal="centerContinuous"/>
      <protection locked="0"/>
    </xf>
    <xf numFmtId="171" fontId="1" fillId="0" borderId="31" xfId="0" applyNumberFormat="1" applyFont="1" applyBorder="1" applyAlignment="1" applyProtection="1">
      <alignment horizontal="centerContinuous"/>
      <protection locked="0"/>
    </xf>
    <xf numFmtId="0" fontId="1" fillId="0" borderId="32" xfId="0" applyFont="1" applyBorder="1" applyAlignment="1" applyProtection="1">
      <alignment horizontal="centerContinuous"/>
      <protection locked="0"/>
    </xf>
    <xf numFmtId="0" fontId="1" fillId="0" borderId="30" xfId="0" applyFont="1" applyBorder="1" applyProtection="1">
      <protection locked="0"/>
    </xf>
    <xf numFmtId="171" fontId="1" fillId="0" borderId="31" xfId="0" applyNumberFormat="1" applyFont="1" applyBorder="1" applyProtection="1">
      <protection locked="0"/>
    </xf>
    <xf numFmtId="172" fontId="1" fillId="0" borderId="30" xfId="0" applyNumberFormat="1" applyFont="1" applyBorder="1" applyProtection="1">
      <protection locked="0"/>
    </xf>
    <xf numFmtId="0" fontId="1" fillId="0" borderId="33" xfId="0" applyFont="1" applyBorder="1" applyProtection="1">
      <protection locked="0"/>
    </xf>
    <xf numFmtId="171" fontId="1" fillId="0" borderId="13" xfId="0" applyNumberFormat="1" applyFont="1" applyBorder="1" applyProtection="1">
      <protection locked="0"/>
    </xf>
    <xf numFmtId="172" fontId="1" fillId="0" borderId="33" xfId="0" applyNumberFormat="1" applyFont="1" applyBorder="1" applyProtection="1">
      <protection locked="0"/>
    </xf>
    <xf numFmtId="0" fontId="4" fillId="0" borderId="33" xfId="0" applyFont="1" applyBorder="1" applyProtection="1">
      <protection locked="0"/>
    </xf>
    <xf numFmtId="171" fontId="4" fillId="0" borderId="13" xfId="0" applyNumberFormat="1" applyFont="1" applyBorder="1" applyProtection="1">
      <protection locked="0"/>
    </xf>
    <xf numFmtId="172" fontId="4" fillId="0" borderId="33" xfId="0" applyNumberFormat="1" applyFont="1" applyBorder="1" applyProtection="1">
      <protection locked="0"/>
    </xf>
    <xf numFmtId="172" fontId="5" fillId="0" borderId="0" xfId="0" applyNumberFormat="1" applyFont="1" applyProtection="1">
      <protection locked="0"/>
    </xf>
    <xf numFmtId="3" fontId="1" fillId="0" borderId="33" xfId="0" applyNumberFormat="1" applyFont="1" applyBorder="1" applyProtection="1">
      <protection locked="0"/>
    </xf>
    <xf numFmtId="3" fontId="11" fillId="0" borderId="33" xfId="0" applyNumberFormat="1" applyFont="1" applyBorder="1" applyProtection="1">
      <protection locked="0"/>
    </xf>
    <xf numFmtId="171" fontId="11" fillId="0" borderId="13" xfId="0" applyNumberFormat="1" applyFont="1" applyBorder="1" applyProtection="1">
      <protection locked="0"/>
    </xf>
    <xf numFmtId="3" fontId="4" fillId="0" borderId="33" xfId="0" applyNumberFormat="1" applyFont="1" applyBorder="1" applyProtection="1">
      <protection locked="0"/>
    </xf>
    <xf numFmtId="172" fontId="4" fillId="0" borderId="34" xfId="0" applyNumberFormat="1" applyFont="1" applyBorder="1" applyProtection="1">
      <protection locked="0"/>
    </xf>
    <xf numFmtId="171" fontId="4" fillId="0" borderId="35" xfId="0" applyNumberFormat="1" applyFont="1" applyBorder="1" applyProtection="1">
      <protection locked="0"/>
    </xf>
    <xf numFmtId="3" fontId="4" fillId="0" borderId="30" xfId="0" applyNumberFormat="1" applyFont="1" applyBorder="1" applyProtection="1">
      <protection locked="0"/>
    </xf>
    <xf numFmtId="171" fontId="4" fillId="0" borderId="31" xfId="0" applyNumberFormat="1" applyFont="1" applyBorder="1" applyProtection="1">
      <protection locked="0"/>
    </xf>
    <xf numFmtId="0" fontId="1" fillId="0" borderId="34" xfId="0" applyFont="1" applyBorder="1" applyAlignment="1" applyProtection="1">
      <alignment horizontal="left"/>
      <protection locked="0"/>
    </xf>
    <xf numFmtId="171" fontId="1" fillId="0" borderId="35" xfId="0" applyNumberFormat="1" applyFont="1" applyBorder="1" applyProtection="1">
      <protection locked="0"/>
    </xf>
    <xf numFmtId="0" fontId="1" fillId="0" borderId="34" xfId="0" applyFont="1" applyBorder="1" applyProtection="1">
      <protection locked="0"/>
    </xf>
    <xf numFmtId="171" fontId="1" fillId="0" borderId="13" xfId="0" applyNumberFormat="1" applyFont="1" applyBorder="1" applyProtection="1"/>
    <xf numFmtId="171" fontId="1" fillId="0" borderId="35" xfId="0" applyNumberFormat="1" applyFont="1" applyBorder="1" applyProtection="1"/>
    <xf numFmtId="171" fontId="5" fillId="0" borderId="0" xfId="0" applyNumberFormat="1" applyFont="1" applyAlignment="1" applyProtection="1">
      <alignment horizontal="center"/>
      <protection locked="0"/>
    </xf>
    <xf numFmtId="171" fontId="39" fillId="27" borderId="61" xfId="0" applyNumberFormat="1" applyFont="1" applyFill="1" applyBorder="1" applyAlignment="1" applyProtection="1">
      <alignment horizontal="centerContinuous"/>
      <protection locked="0"/>
    </xf>
    <xf numFmtId="171" fontId="39" fillId="27" borderId="62" xfId="0" applyNumberFormat="1" applyFont="1" applyFill="1" applyBorder="1" applyAlignment="1" applyProtection="1">
      <alignment horizontal="centerContinuous"/>
      <protection locked="0"/>
    </xf>
    <xf numFmtId="0" fontId="1" fillId="0" borderId="36" xfId="0" applyFont="1" applyBorder="1" applyProtection="1">
      <protection locked="0"/>
    </xf>
    <xf numFmtId="171" fontId="40" fillId="27" borderId="12" xfId="0" applyNumberFormat="1" applyFont="1" applyFill="1" applyBorder="1" applyAlignment="1" applyProtection="1">
      <alignment horizontal="centerContinuous"/>
      <protection locked="0"/>
    </xf>
    <xf numFmtId="171" fontId="40" fillId="27" borderId="37" xfId="0" applyNumberFormat="1" applyFont="1" applyFill="1" applyBorder="1" applyAlignment="1" applyProtection="1">
      <alignment horizontal="centerContinuous"/>
      <protection locked="0"/>
    </xf>
    <xf numFmtId="171" fontId="40" fillId="27" borderId="26" xfId="0" applyNumberFormat="1" applyFont="1" applyFill="1" applyBorder="1" applyAlignment="1" applyProtection="1">
      <alignment horizontal="center"/>
      <protection locked="0"/>
    </xf>
    <xf numFmtId="0" fontId="1" fillId="0" borderId="38" xfId="0" applyFont="1" applyBorder="1" applyProtection="1">
      <protection locked="0"/>
    </xf>
    <xf numFmtId="171" fontId="4" fillId="0" borderId="12" xfId="0" applyNumberFormat="1" applyFont="1" applyBorder="1" applyAlignment="1" applyProtection="1">
      <alignment horizontal="center"/>
      <protection locked="0"/>
    </xf>
    <xf numFmtId="171" fontId="4" fillId="0" borderId="26" xfId="0" applyNumberFormat="1" applyFont="1" applyBorder="1" applyProtection="1">
      <protection locked="0"/>
    </xf>
    <xf numFmtId="0" fontId="4" fillId="0" borderId="38" xfId="0" applyFont="1" applyBorder="1" applyProtection="1">
      <protection locked="0"/>
    </xf>
    <xf numFmtId="171" fontId="4" fillId="0" borderId="10" xfId="0" applyNumberFormat="1" applyFont="1" applyBorder="1" applyProtection="1">
      <protection locked="0"/>
    </xf>
    <xf numFmtId="171" fontId="1" fillId="0" borderId="10" xfId="0" applyNumberFormat="1" applyFont="1" applyBorder="1" applyAlignment="1" applyProtection="1">
      <alignment horizontal="right"/>
      <protection locked="0"/>
    </xf>
    <xf numFmtId="3" fontId="11" fillId="0" borderId="38" xfId="0" applyNumberFormat="1" applyFont="1" applyBorder="1" applyProtection="1">
      <protection locked="0"/>
    </xf>
    <xf numFmtId="171" fontId="11" fillId="0" borderId="10" xfId="0" applyNumberFormat="1" applyFont="1" applyBorder="1" applyProtection="1">
      <protection locked="0"/>
    </xf>
    <xf numFmtId="171" fontId="1" fillId="0" borderId="10" xfId="0" applyNumberFormat="1" applyFont="1" applyBorder="1" applyProtection="1">
      <protection locked="0"/>
    </xf>
    <xf numFmtId="171" fontId="4" fillId="0" borderId="10" xfId="0" applyNumberFormat="1" applyFont="1" applyBorder="1" applyAlignment="1" applyProtection="1">
      <alignment horizontal="right"/>
      <protection locked="0"/>
    </xf>
    <xf numFmtId="3" fontId="4" fillId="24" borderId="12" xfId="0" applyNumberFormat="1" applyFont="1" applyFill="1" applyBorder="1" applyProtection="1">
      <protection locked="0"/>
    </xf>
    <xf numFmtId="0" fontId="1" fillId="0" borderId="39" xfId="0" applyFont="1" applyBorder="1" applyProtection="1">
      <protection locked="0"/>
    </xf>
    <xf numFmtId="171" fontId="1" fillId="0" borderId="18" xfId="0" applyNumberFormat="1" applyFont="1" applyBorder="1" applyProtection="1">
      <protection locked="0"/>
    </xf>
    <xf numFmtId="0" fontId="4" fillId="0" borderId="39" xfId="0" applyFont="1" applyBorder="1" applyProtection="1">
      <protection locked="0"/>
    </xf>
    <xf numFmtId="171" fontId="4" fillId="0" borderId="18" xfId="0" applyNumberFormat="1" applyFont="1" applyBorder="1" applyProtection="1">
      <protection locked="0"/>
    </xf>
    <xf numFmtId="171" fontId="4" fillId="0" borderId="10" xfId="0" applyNumberFormat="1" applyFont="1" applyBorder="1" applyAlignment="1" applyProtection="1">
      <alignment horizontal="center"/>
      <protection locked="0"/>
    </xf>
    <xf numFmtId="171" fontId="1" fillId="0" borderId="40" xfId="0" applyNumberFormat="1" applyFont="1" applyBorder="1" applyProtection="1">
      <protection locked="0"/>
    </xf>
    <xf numFmtId="0" fontId="1" fillId="0" borderId="17" xfId="0" applyFont="1" applyBorder="1" applyProtection="1">
      <protection locked="0"/>
    </xf>
    <xf numFmtId="171" fontId="1" fillId="0" borderId="20" xfId="0" applyNumberFormat="1" applyFont="1" applyBorder="1" applyProtection="1">
      <protection locked="0"/>
    </xf>
    <xf numFmtId="0" fontId="1" fillId="0" borderId="41" xfId="0" applyFont="1" applyBorder="1" applyProtection="1">
      <protection locked="0"/>
    </xf>
    <xf numFmtId="0" fontId="1" fillId="0" borderId="42" xfId="0" applyFont="1" applyBorder="1" applyProtection="1">
      <protection locked="0"/>
    </xf>
    <xf numFmtId="171" fontId="1" fillId="0" borderId="10" xfId="0" applyNumberFormat="1" applyFont="1" applyBorder="1" applyAlignment="1" applyProtection="1">
      <alignment horizontal="right"/>
    </xf>
    <xf numFmtId="171" fontId="1" fillId="0" borderId="10" xfId="0" applyNumberFormat="1" applyFont="1" applyBorder="1" applyProtection="1"/>
    <xf numFmtId="171" fontId="1" fillId="0" borderId="18" xfId="0" applyNumberFormat="1" applyFont="1" applyBorder="1" applyProtection="1"/>
    <xf numFmtId="171" fontId="1" fillId="0" borderId="43" xfId="0" applyNumberFormat="1" applyFont="1" applyBorder="1" applyProtection="1"/>
    <xf numFmtId="171" fontId="1" fillId="0" borderId="40" xfId="0" applyNumberFormat="1" applyFont="1" applyBorder="1" applyProtection="1"/>
    <xf numFmtId="0" fontId="37" fillId="27" borderId="61" xfId="0" applyNumberFormat="1" applyFont="1" applyFill="1" applyBorder="1" applyAlignment="1" applyProtection="1">
      <alignment horizontal="centerContinuous"/>
      <protection locked="0"/>
    </xf>
    <xf numFmtId="173" fontId="37" fillId="27" borderId="61" xfId="0" applyNumberFormat="1" applyFont="1" applyFill="1" applyBorder="1" applyAlignment="1" applyProtection="1">
      <alignment horizontal="centerContinuous"/>
      <protection locked="0"/>
    </xf>
    <xf numFmtId="173" fontId="37" fillId="27" borderId="62" xfId="0" applyNumberFormat="1" applyFont="1" applyFill="1" applyBorder="1" applyAlignment="1" applyProtection="1">
      <alignment horizontal="centerContinuous"/>
      <protection locked="0"/>
    </xf>
    <xf numFmtId="0" fontId="5" fillId="0" borderId="0" xfId="0" applyNumberFormat="1" applyFont="1" applyProtection="1">
      <protection locked="0"/>
    </xf>
    <xf numFmtId="173" fontId="5" fillId="0" borderId="0" xfId="0" applyNumberFormat="1" applyFont="1" applyProtection="1">
      <protection locked="0"/>
    </xf>
    <xf numFmtId="0" fontId="12" fillId="0" borderId="0" xfId="0" applyFont="1" applyAlignment="1" applyProtection="1">
      <alignment horizontal="centerContinuous"/>
      <protection locked="0"/>
    </xf>
    <xf numFmtId="0" fontId="12" fillId="0" borderId="0" xfId="0" applyNumberFormat="1" applyFont="1" applyAlignment="1" applyProtection="1">
      <alignment horizontal="centerContinuous"/>
      <protection locked="0"/>
    </xf>
    <xf numFmtId="173" fontId="12" fillId="0" borderId="0" xfId="0" applyNumberFormat="1" applyFont="1" applyAlignment="1" applyProtection="1">
      <alignment horizontal="centerContinuous"/>
      <protection locked="0"/>
    </xf>
    <xf numFmtId="0" fontId="13" fillId="0" borderId="0" xfId="0" applyFont="1" applyAlignment="1" applyProtection="1">
      <protection locked="0"/>
    </xf>
    <xf numFmtId="0" fontId="13" fillId="0" borderId="0" xfId="0" applyNumberFormat="1" applyFont="1" applyAlignment="1" applyProtection="1">
      <protection locked="0"/>
    </xf>
    <xf numFmtId="0" fontId="14" fillId="0" borderId="0" xfId="0" applyFont="1" applyAlignment="1" applyProtection="1">
      <alignment horizontal="centerContinuous"/>
      <protection locked="0"/>
    </xf>
    <xf numFmtId="173" fontId="5" fillId="0" borderId="0" xfId="0" applyNumberFormat="1" applyFont="1" applyAlignment="1" applyProtection="1">
      <alignment horizontal="centerContinuous"/>
      <protection locked="0"/>
    </xf>
    <xf numFmtId="0" fontId="1" fillId="0" borderId="44" xfId="0" applyFont="1" applyBorder="1" applyAlignment="1" applyProtection="1">
      <alignment horizontal="centerContinuous"/>
      <protection locked="0"/>
    </xf>
    <xf numFmtId="172" fontId="4" fillId="0" borderId="28" xfId="0" applyNumberFormat="1" applyFont="1" applyBorder="1" applyAlignment="1" applyProtection="1">
      <alignment horizontal="centerContinuous"/>
      <protection locked="0"/>
    </xf>
    <xf numFmtId="171" fontId="15" fillId="0" borderId="29" xfId="0" applyNumberFormat="1" applyFont="1" applyBorder="1" applyAlignment="1" applyProtection="1">
      <alignment horizontal="center"/>
      <protection locked="0"/>
    </xf>
    <xf numFmtId="173" fontId="4" fillId="0" borderId="0" xfId="0" applyNumberFormat="1" applyFont="1" applyBorder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1" fillId="0" borderId="45" xfId="0" applyFont="1" applyBorder="1" applyAlignment="1" applyProtection="1">
      <alignment horizontal="centerContinuous"/>
      <protection locked="0"/>
    </xf>
    <xf numFmtId="172" fontId="4" fillId="0" borderId="11" xfId="0" applyNumberFormat="1" applyFont="1" applyBorder="1" applyAlignment="1" applyProtection="1">
      <alignment horizontal="centerContinuous"/>
      <protection locked="0"/>
    </xf>
    <xf numFmtId="171" fontId="15" fillId="0" borderId="23" xfId="0" applyNumberFormat="1" applyFont="1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Continuous"/>
      <protection locked="0"/>
    </xf>
    <xf numFmtId="3" fontId="4" fillId="0" borderId="12" xfId="0" applyNumberFormat="1" applyFont="1" applyBorder="1" applyAlignment="1" applyProtection="1">
      <alignment horizontal="centerContinuous"/>
      <protection locked="0"/>
    </xf>
    <xf numFmtId="14" fontId="15" fillId="0" borderId="47" xfId="0" applyNumberFormat="1" applyFont="1" applyBorder="1" applyAlignment="1" applyProtection="1">
      <alignment horizontal="center"/>
      <protection locked="0"/>
    </xf>
    <xf numFmtId="173" fontId="4" fillId="0" borderId="0" xfId="0" applyNumberFormat="1" applyFont="1" applyBorder="1" applyProtection="1">
      <protection locked="0"/>
    </xf>
    <xf numFmtId="0" fontId="4" fillId="0" borderId="12" xfId="0" applyFont="1" applyBorder="1" applyAlignment="1" applyProtection="1">
      <alignment horizontal="centerContinuous"/>
      <protection locked="0"/>
    </xf>
    <xf numFmtId="0" fontId="15" fillId="0" borderId="47" xfId="0" applyFont="1" applyBorder="1" applyAlignment="1" applyProtection="1">
      <alignment horizontal="center"/>
      <protection locked="0"/>
    </xf>
    <xf numFmtId="0" fontId="1" fillId="0" borderId="48" xfId="0" applyFont="1" applyBorder="1" applyAlignment="1" applyProtection="1">
      <alignment horizontal="centerContinuous"/>
      <protection locked="0"/>
    </xf>
    <xf numFmtId="10" fontId="4" fillId="0" borderId="15" xfId="0" applyNumberFormat="1" applyFont="1" applyBorder="1" applyAlignment="1" applyProtection="1">
      <alignment horizontal="centerContinuous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173" fontId="4" fillId="0" borderId="0" xfId="0" applyNumberFormat="1" applyFont="1" applyBorder="1" applyAlignment="1" applyProtection="1">
      <alignment horizontal="right"/>
      <protection locked="0"/>
    </xf>
    <xf numFmtId="10" fontId="15" fillId="0" borderId="16" xfId="0" applyNumberFormat="1" applyFont="1" applyBorder="1" applyAlignment="1" applyProtection="1">
      <alignment horizontal="center"/>
      <protection locked="0"/>
    </xf>
    <xf numFmtId="0" fontId="4" fillId="0" borderId="0" xfId="0" applyNumberFormat="1" applyFont="1" applyProtection="1">
      <protection locked="0"/>
    </xf>
    <xf numFmtId="173" fontId="4" fillId="0" borderId="0" xfId="0" applyNumberFormat="1" applyFont="1" applyProtection="1">
      <protection locked="0"/>
    </xf>
    <xf numFmtId="0" fontId="16" fillId="0" borderId="17" xfId="0" applyFont="1" applyBorder="1" applyAlignment="1" applyProtection="1">
      <alignment horizontal="center"/>
      <protection locked="0"/>
    </xf>
    <xf numFmtId="0" fontId="16" fillId="0" borderId="32" xfId="0" applyFont="1" applyBorder="1" applyAlignment="1" applyProtection="1">
      <alignment horizontal="centerContinuous"/>
      <protection locked="0"/>
    </xf>
    <xf numFmtId="0" fontId="16" fillId="0" borderId="18" xfId="0" applyFont="1" applyBorder="1" applyAlignment="1" applyProtection="1">
      <alignment horizontal="center"/>
      <protection locked="0"/>
    </xf>
    <xf numFmtId="0" fontId="16" fillId="0" borderId="20" xfId="0" applyFont="1" applyBorder="1" applyAlignment="1" applyProtection="1">
      <alignment horizontal="center"/>
      <protection locked="0"/>
    </xf>
    <xf numFmtId="0" fontId="16" fillId="0" borderId="42" xfId="0" applyFont="1" applyBorder="1" applyAlignment="1" applyProtection="1">
      <alignment horizontal="center"/>
      <protection locked="0"/>
    </xf>
    <xf numFmtId="0" fontId="16" fillId="0" borderId="49" xfId="0" applyFont="1" applyBorder="1" applyAlignment="1" applyProtection="1">
      <alignment horizontal="center"/>
      <protection locked="0"/>
    </xf>
    <xf numFmtId="0" fontId="16" fillId="0" borderId="40" xfId="0" applyFont="1" applyBorder="1" applyAlignment="1" applyProtection="1">
      <alignment horizontal="center"/>
      <protection locked="0"/>
    </xf>
    <xf numFmtId="0" fontId="16" fillId="0" borderId="50" xfId="0" applyFont="1" applyBorder="1" applyAlignment="1" applyProtection="1">
      <alignment horizontal="center"/>
      <protection locked="0"/>
    </xf>
    <xf numFmtId="0" fontId="41" fillId="0" borderId="0" xfId="0" applyFont="1" applyProtection="1">
      <protection locked="0"/>
    </xf>
    <xf numFmtId="175" fontId="1" fillId="0" borderId="41" xfId="0" applyNumberFormat="1" applyFont="1" applyBorder="1" applyAlignment="1" applyProtection="1">
      <alignment horizontal="center"/>
    </xf>
    <xf numFmtId="166" fontId="4" fillId="0" borderId="43" xfId="0" applyNumberFormat="1" applyFont="1" applyBorder="1" applyAlignment="1" applyProtection="1">
      <alignment horizontal="centerContinuous"/>
    </xf>
    <xf numFmtId="166" fontId="4" fillId="0" borderId="43" xfId="0" applyNumberFormat="1" applyFont="1" applyBorder="1" applyAlignment="1" applyProtection="1">
      <alignment horizontal="center"/>
    </xf>
    <xf numFmtId="166" fontId="4" fillId="0" borderId="51" xfId="0" applyNumberFormat="1" applyFont="1" applyBorder="1" applyAlignment="1" applyProtection="1">
      <alignment horizontal="center"/>
    </xf>
    <xf numFmtId="175" fontId="1" fillId="0" borderId="21" xfId="0" applyNumberFormat="1" applyFont="1" applyBorder="1" applyAlignment="1" applyProtection="1">
      <alignment horizontal="center"/>
    </xf>
    <xf numFmtId="166" fontId="4" fillId="0" borderId="11" xfId="0" applyNumberFormat="1" applyFont="1" applyBorder="1" applyAlignment="1" applyProtection="1">
      <alignment horizontal="centerContinuous"/>
    </xf>
    <xf numFmtId="166" fontId="4" fillId="0" borderId="11" xfId="0" applyNumberFormat="1" applyFont="1" applyBorder="1" applyAlignment="1" applyProtection="1">
      <alignment horizontal="center"/>
    </xf>
    <xf numFmtId="166" fontId="4" fillId="0" borderId="23" xfId="0" applyNumberFormat="1" applyFont="1" applyBorder="1" applyAlignment="1" applyProtection="1">
      <alignment horizontal="center"/>
    </xf>
    <xf numFmtId="175" fontId="1" fillId="0" borderId="52" xfId="0" applyNumberFormat="1" applyFont="1" applyBorder="1" applyAlignment="1" applyProtection="1">
      <alignment horizontal="center"/>
    </xf>
    <xf numFmtId="166" fontId="4" fillId="0" borderId="10" xfId="0" applyNumberFormat="1" applyFont="1" applyBorder="1" applyAlignment="1" applyProtection="1">
      <alignment horizontal="centerContinuous"/>
    </xf>
    <xf numFmtId="166" fontId="4" fillId="0" borderId="10" xfId="0" applyNumberFormat="1" applyFont="1" applyBorder="1" applyAlignment="1" applyProtection="1">
      <alignment horizontal="center"/>
    </xf>
    <xf numFmtId="166" fontId="4" fillId="0" borderId="53" xfId="0" applyNumberFormat="1" applyFont="1" applyBorder="1" applyAlignment="1" applyProtection="1">
      <alignment horizontal="center"/>
    </xf>
    <xf numFmtId="0" fontId="42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Fill="1" applyProtection="1">
      <protection locked="0"/>
    </xf>
    <xf numFmtId="0" fontId="5" fillId="0" borderId="0" xfId="0" applyFont="1" applyFill="1" applyProtection="1">
      <protection locked="0"/>
    </xf>
    <xf numFmtId="14" fontId="5" fillId="0" borderId="0" xfId="0" applyNumberFormat="1" applyFont="1" applyFill="1" applyProtection="1">
      <protection locked="0"/>
    </xf>
    <xf numFmtId="173" fontId="5" fillId="0" borderId="0" xfId="0" applyNumberFormat="1" applyFont="1" applyFill="1" applyProtection="1">
      <protection locked="0"/>
    </xf>
    <xf numFmtId="0" fontId="42" fillId="0" borderId="0" xfId="0" applyFont="1" applyFill="1" applyProtection="1">
      <protection locked="0"/>
    </xf>
    <xf numFmtId="0" fontId="12" fillId="0" borderId="0" xfId="0" applyFont="1" applyFill="1" applyAlignment="1" applyProtection="1">
      <alignment horizontal="centerContinuous"/>
      <protection locked="0"/>
    </xf>
    <xf numFmtId="14" fontId="12" fillId="0" borderId="0" xfId="0" applyNumberFormat="1" applyFont="1" applyFill="1" applyAlignment="1" applyProtection="1">
      <alignment horizontal="centerContinuous"/>
      <protection locked="0"/>
    </xf>
    <xf numFmtId="173" fontId="12" fillId="0" borderId="0" xfId="0" applyNumberFormat="1" applyFont="1" applyFill="1" applyAlignment="1" applyProtection="1">
      <alignment horizontal="centerContinuous"/>
      <protection locked="0"/>
    </xf>
    <xf numFmtId="0" fontId="4" fillId="0" borderId="0" xfId="32" applyFont="1" applyFill="1" applyBorder="1" applyAlignment="1" applyProtection="1">
      <alignment horizontal="center"/>
      <protection locked="0"/>
    </xf>
    <xf numFmtId="164" fontId="36" fillId="0" borderId="29" xfId="43" applyNumberFormat="1" applyFont="1" applyFill="1" applyBorder="1" applyAlignment="1" applyProtection="1">
      <alignment horizontal="right"/>
      <protection locked="0"/>
    </xf>
    <xf numFmtId="0" fontId="4" fillId="0" borderId="0" xfId="32" applyFont="1" applyFill="1" applyBorder="1" applyAlignment="1" applyProtection="1">
      <alignment horizontal="left"/>
      <protection locked="0"/>
    </xf>
    <xf numFmtId="164" fontId="36" fillId="0" borderId="29" xfId="43" applyNumberFormat="1" applyFont="1" applyFill="1" applyBorder="1" applyAlignment="1" applyProtection="1">
      <alignment horizontal="right"/>
    </xf>
    <xf numFmtId="0" fontId="4" fillId="0" borderId="0" xfId="0" applyFont="1" applyFill="1" applyBorder="1" applyAlignment="1" applyProtection="1">
      <protection locked="0"/>
    </xf>
    <xf numFmtId="0" fontId="42" fillId="0" borderId="0" xfId="0" applyFont="1" applyFill="1" applyBorder="1" applyAlignment="1" applyProtection="1">
      <protection locked="0"/>
    </xf>
    <xf numFmtId="178" fontId="36" fillId="0" borderId="47" xfId="32" applyNumberFormat="1" applyFont="1" applyFill="1" applyBorder="1" applyAlignment="1" applyProtection="1">
      <alignment horizontal="right"/>
      <protection locked="0"/>
    </xf>
    <xf numFmtId="177" fontId="36" fillId="0" borderId="47" xfId="32" applyNumberFormat="1" applyFont="1" applyFill="1" applyBorder="1" applyAlignment="1" applyProtection="1">
      <alignment horizontal="right"/>
    </xf>
    <xf numFmtId="0" fontId="4" fillId="0" borderId="0" xfId="32" applyNumberFormat="1" applyFont="1" applyFill="1" applyBorder="1" applyAlignment="1" applyProtection="1">
      <alignment horizontal="left"/>
      <protection locked="0"/>
    </xf>
    <xf numFmtId="177" fontId="36" fillId="0" borderId="47" xfId="32" applyNumberFormat="1" applyFont="1" applyFill="1" applyBorder="1" applyAlignment="1" applyProtection="1">
      <alignment horizontal="right"/>
      <protection locked="0"/>
    </xf>
    <xf numFmtId="164" fontId="36" fillId="0" borderId="16" xfId="43" applyNumberFormat="1" applyFont="1" applyFill="1" applyBorder="1" applyAlignment="1" applyProtection="1">
      <alignment horizontal="right"/>
    </xf>
    <xf numFmtId="0" fontId="4" fillId="0" borderId="0" xfId="32" applyFont="1" applyFill="1" applyBorder="1" applyAlignment="1" applyProtection="1">
      <alignment horizontal="left"/>
    </xf>
    <xf numFmtId="0" fontId="4" fillId="0" borderId="0" xfId="32" applyFont="1" applyFill="1" applyBorder="1" applyAlignment="1" applyProtection="1">
      <alignment horizontal="right"/>
    </xf>
    <xf numFmtId="179" fontId="35" fillId="0" borderId="0" xfId="43" applyNumberFormat="1" applyFont="1" applyFill="1" applyBorder="1" applyAlignment="1" applyProtection="1">
      <alignment horizontal="right"/>
    </xf>
    <xf numFmtId="14" fontId="36" fillId="0" borderId="16" xfId="32" applyNumberFormat="1" applyFont="1" applyFill="1" applyBorder="1" applyAlignment="1" applyProtection="1">
      <alignment horizontal="right"/>
      <protection locked="0"/>
    </xf>
    <xf numFmtId="0" fontId="4" fillId="0" borderId="0" xfId="32" applyFont="1" applyFill="1" applyBorder="1" applyAlignment="1" applyProtection="1">
      <alignment horizontal="right"/>
      <protection locked="0"/>
    </xf>
    <xf numFmtId="179" fontId="35" fillId="0" borderId="0" xfId="43" applyNumberFormat="1" applyFont="1" applyFill="1" applyBorder="1" applyAlignment="1" applyProtection="1">
      <alignment horizontal="right"/>
      <protection locked="0"/>
    </xf>
    <xf numFmtId="0" fontId="4" fillId="0" borderId="0" xfId="32" applyFont="1" applyFill="1" applyBorder="1" applyAlignment="1" applyProtection="1">
      <protection locked="0"/>
    </xf>
    <xf numFmtId="14" fontId="4" fillId="0" borderId="0" xfId="32" applyNumberFormat="1" applyFont="1" applyFill="1" applyBorder="1" applyAlignment="1" applyProtection="1">
      <protection locked="0"/>
    </xf>
    <xf numFmtId="0" fontId="4" fillId="0" borderId="0" xfId="0" applyFont="1" applyFill="1" applyBorder="1" applyProtection="1"/>
    <xf numFmtId="0" fontId="1" fillId="0" borderId="0" xfId="32" applyFont="1" applyFill="1" applyBorder="1" applyAlignment="1" applyProtection="1">
      <alignment horizontal="center" wrapText="1"/>
    </xf>
    <xf numFmtId="14" fontId="1" fillId="0" borderId="0" xfId="32" applyNumberFormat="1" applyFont="1" applyFill="1" applyBorder="1" applyAlignment="1" applyProtection="1">
      <alignment horizontal="center" wrapText="1"/>
    </xf>
    <xf numFmtId="0" fontId="42" fillId="0" borderId="0" xfId="0" applyFont="1" applyFill="1" applyBorder="1" applyProtection="1"/>
    <xf numFmtId="0" fontId="4" fillId="0" borderId="0" xfId="32" applyFont="1" applyFill="1" applyBorder="1" applyAlignment="1" applyProtection="1">
      <alignment horizontal="center"/>
    </xf>
    <xf numFmtId="14" fontId="4" fillId="0" borderId="0" xfId="32" applyNumberFormat="1" applyFont="1" applyFill="1" applyBorder="1" applyAlignment="1" applyProtection="1">
      <alignment horizontal="center"/>
    </xf>
    <xf numFmtId="174" fontId="4" fillId="0" borderId="0" xfId="43" applyNumberFormat="1" applyFont="1" applyFill="1" applyBorder="1" applyAlignment="1" applyProtection="1">
      <alignment horizontal="right"/>
    </xf>
    <xf numFmtId="174" fontId="4" fillId="0" borderId="0" xfId="32" applyNumberFormat="1" applyFont="1" applyFill="1" applyBorder="1" applyProtection="1"/>
    <xf numFmtId="0" fontId="4" fillId="0" borderId="0" xfId="0" applyFont="1" applyFill="1" applyProtection="1"/>
    <xf numFmtId="0" fontId="4" fillId="0" borderId="0" xfId="32" applyFont="1" applyFill="1" applyAlignment="1" applyProtection="1">
      <alignment horizontal="center"/>
    </xf>
    <xf numFmtId="14" fontId="4" fillId="0" borderId="0" xfId="32" applyNumberFormat="1" applyFont="1" applyFill="1" applyAlignment="1" applyProtection="1">
      <alignment horizontal="center"/>
    </xf>
    <xf numFmtId="174" fontId="4" fillId="0" borderId="0" xfId="32" applyNumberFormat="1" applyFont="1" applyFill="1" applyProtection="1"/>
    <xf numFmtId="0" fontId="42" fillId="0" borderId="0" xfId="0" applyFont="1" applyFill="1" applyProtection="1"/>
    <xf numFmtId="0" fontId="4" fillId="0" borderId="0" xfId="0" applyFont="1" applyFill="1" applyAlignment="1" applyProtection="1">
      <alignment horizontal="center"/>
    </xf>
    <xf numFmtId="14" fontId="4" fillId="0" borderId="0" xfId="0" applyNumberFormat="1" applyFont="1" applyFill="1" applyAlignment="1" applyProtection="1">
      <alignment horizontal="center"/>
    </xf>
    <xf numFmtId="174" fontId="4" fillId="0" borderId="0" xfId="0" applyNumberFormat="1" applyFont="1" applyFill="1" applyProtection="1"/>
    <xf numFmtId="0" fontId="4" fillId="0" borderId="0" xfId="0" applyFont="1" applyFill="1" applyProtection="1">
      <protection locked="0"/>
    </xf>
    <xf numFmtId="0" fontId="0" fillId="0" borderId="0" xfId="0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174" fontId="0" fillId="0" borderId="0" xfId="0" applyNumberFormat="1" applyFill="1" applyProtection="1"/>
    <xf numFmtId="0" fontId="0" fillId="0" borderId="0" xfId="0" applyFill="1" applyProtection="1"/>
    <xf numFmtId="0" fontId="0" fillId="0" borderId="0" xfId="0" applyFill="1" applyAlignment="1" applyProtection="1">
      <alignment horizontal="center"/>
      <protection locked="0"/>
    </xf>
    <xf numFmtId="14" fontId="0" fillId="0" borderId="0" xfId="0" applyNumberFormat="1" applyFill="1" applyAlignment="1" applyProtection="1">
      <alignment horizontal="center"/>
      <protection locked="0"/>
    </xf>
    <xf numFmtId="174" fontId="0" fillId="0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49" fontId="1" fillId="0" borderId="30" xfId="0" applyNumberFormat="1" applyFont="1" applyBorder="1" applyProtection="1">
      <protection locked="0"/>
    </xf>
    <xf numFmtId="49" fontId="4" fillId="0" borderId="33" xfId="0" applyNumberFormat="1" applyFont="1" applyBorder="1" applyProtection="1">
      <protection locked="0"/>
    </xf>
    <xf numFmtId="171" fontId="4" fillId="0" borderId="13" xfId="0" applyNumberFormat="1" applyFont="1" applyBorder="1" applyAlignment="1" applyProtection="1">
      <alignment horizontal="right"/>
      <protection locked="0"/>
    </xf>
    <xf numFmtId="49" fontId="1" fillId="26" borderId="33" xfId="0" applyNumberFormat="1" applyFont="1" applyFill="1" applyBorder="1" applyProtection="1">
      <protection locked="0"/>
    </xf>
    <xf numFmtId="49" fontId="1" fillId="0" borderId="33" xfId="0" applyNumberFormat="1" applyFont="1" applyFill="1" applyBorder="1" applyProtection="1">
      <protection locked="0"/>
    </xf>
    <xf numFmtId="171" fontId="1" fillId="0" borderId="13" xfId="0" applyNumberFormat="1" applyFont="1" applyFill="1" applyBorder="1" applyAlignment="1" applyProtection="1">
      <alignment horizontal="right"/>
      <protection locked="0"/>
    </xf>
    <xf numFmtId="49" fontId="4" fillId="0" borderId="33" xfId="0" applyNumberFormat="1" applyFont="1" applyFill="1" applyBorder="1" applyProtection="1">
      <protection locked="0"/>
    </xf>
    <xf numFmtId="171" fontId="4" fillId="0" borderId="13" xfId="0" applyNumberFormat="1" applyFont="1" applyFill="1" applyBorder="1" applyAlignment="1" applyProtection="1">
      <alignment horizontal="right"/>
      <protection locked="0"/>
    </xf>
    <xf numFmtId="49" fontId="4" fillId="0" borderId="34" xfId="0" applyNumberFormat="1" applyFont="1" applyBorder="1" applyProtection="1">
      <protection locked="0"/>
    </xf>
    <xf numFmtId="171" fontId="4" fillId="0" borderId="13" xfId="0" applyNumberFormat="1" applyFont="1" applyFill="1" applyBorder="1" applyAlignment="1" applyProtection="1">
      <alignment horizontal="right"/>
    </xf>
    <xf numFmtId="9" fontId="1" fillId="26" borderId="13" xfId="0" applyNumberFormat="1" applyFont="1" applyFill="1" applyBorder="1" applyAlignment="1" applyProtection="1">
      <alignment horizontal="right"/>
    </xf>
    <xf numFmtId="9" fontId="4" fillId="0" borderId="13" xfId="0" applyNumberFormat="1" applyFont="1" applyFill="1" applyBorder="1" applyAlignment="1" applyProtection="1">
      <alignment horizontal="right"/>
    </xf>
    <xf numFmtId="49" fontId="11" fillId="0" borderId="33" xfId="0" applyNumberFormat="1" applyFont="1" applyBorder="1" applyProtection="1">
      <protection locked="0"/>
    </xf>
    <xf numFmtId="49" fontId="17" fillId="26" borderId="33" xfId="0" applyNumberFormat="1" applyFont="1" applyFill="1" applyBorder="1" applyProtection="1">
      <protection locked="0"/>
    </xf>
    <xf numFmtId="171" fontId="4" fillId="0" borderId="13" xfId="0" applyNumberFormat="1" applyFont="1" applyBorder="1" applyAlignment="1" applyProtection="1">
      <alignment horizontal="right"/>
    </xf>
    <xf numFmtId="0" fontId="1" fillId="0" borderId="66" xfId="0" applyFont="1" applyBorder="1" applyProtection="1">
      <protection locked="0"/>
    </xf>
    <xf numFmtId="0" fontId="4" fillId="0" borderId="67" xfId="0" applyFont="1" applyBorder="1" applyProtection="1">
      <protection locked="0"/>
    </xf>
    <xf numFmtId="171" fontId="4" fillId="0" borderId="15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4" fillId="0" borderId="0" xfId="0" applyFont="1" applyBorder="1" applyProtection="1">
      <protection locked="0"/>
    </xf>
    <xf numFmtId="171" fontId="40" fillId="27" borderId="26" xfId="0" applyNumberFormat="1" applyFont="1" applyFill="1" applyBorder="1" applyAlignment="1" applyProtection="1">
      <alignment horizontal="centerContinuous"/>
      <protection locked="0"/>
    </xf>
    <xf numFmtId="171" fontId="1" fillId="0" borderId="28" xfId="0" applyNumberFormat="1" applyFont="1" applyBorder="1" applyProtection="1"/>
    <xf numFmtId="180" fontId="5" fillId="0" borderId="0" xfId="0" applyNumberFormat="1" applyFont="1" applyProtection="1">
      <protection locked="0"/>
    </xf>
    <xf numFmtId="180" fontId="37" fillId="27" borderId="61" xfId="0" applyNumberFormat="1" applyFont="1" applyFill="1" applyBorder="1" applyAlignment="1" applyProtection="1">
      <alignment horizontal="centerContinuous"/>
      <protection locked="0"/>
    </xf>
    <xf numFmtId="180" fontId="1" fillId="0" borderId="19" xfId="0" applyNumberFormat="1" applyFont="1" applyBorder="1" applyAlignment="1" applyProtection="1">
      <alignment horizontal="centerContinuous"/>
      <protection locked="0"/>
    </xf>
    <xf numFmtId="180" fontId="1" fillId="0" borderId="19" xfId="0" applyNumberFormat="1" applyFont="1" applyBorder="1" applyProtection="1">
      <protection locked="0"/>
    </xf>
    <xf numFmtId="180" fontId="1" fillId="0" borderId="13" xfId="0" applyNumberFormat="1" applyFont="1" applyBorder="1" applyProtection="1"/>
    <xf numFmtId="180" fontId="4" fillId="0" borderId="0" xfId="0" applyNumberFormat="1" applyFont="1" applyBorder="1" applyProtection="1">
      <protection locked="0"/>
    </xf>
    <xf numFmtId="180" fontId="1" fillId="0" borderId="0" xfId="0" applyNumberFormat="1" applyFont="1" applyBorder="1" applyProtection="1">
      <protection locked="0"/>
    </xf>
    <xf numFmtId="180" fontId="1" fillId="0" borderId="0" xfId="0" applyNumberFormat="1" applyFont="1" applyBorder="1" applyProtection="1"/>
    <xf numFmtId="180" fontId="11" fillId="0" borderId="0" xfId="0" applyNumberFormat="1" applyFont="1" applyBorder="1" applyProtection="1">
      <protection locked="0"/>
    </xf>
    <xf numFmtId="180" fontId="1" fillId="0" borderId="59" xfId="0" applyNumberFormat="1" applyFont="1" applyBorder="1" applyProtection="1"/>
    <xf numFmtId="180" fontId="1" fillId="0" borderId="59" xfId="0" applyNumberFormat="1" applyFont="1" applyBorder="1" applyProtection="1">
      <protection locked="0"/>
    </xf>
    <xf numFmtId="0" fontId="1" fillId="0" borderId="0" xfId="0" applyFont="1" applyProtection="1">
      <protection locked="0"/>
    </xf>
    <xf numFmtId="181" fontId="5" fillId="0" borderId="0" xfId="0" applyNumberFormat="1" applyFont="1" applyProtection="1">
      <protection locked="0"/>
    </xf>
    <xf numFmtId="181" fontId="1" fillId="0" borderId="0" xfId="0" applyNumberFormat="1" applyFont="1" applyProtection="1">
      <protection locked="0"/>
    </xf>
    <xf numFmtId="10" fontId="1" fillId="0" borderId="0" xfId="0" applyNumberFormat="1" applyFont="1" applyProtection="1">
      <protection locked="0"/>
    </xf>
    <xf numFmtId="181" fontId="11" fillId="0" borderId="0" xfId="0" applyNumberFormat="1" applyFont="1" applyProtection="1">
      <protection locked="0"/>
    </xf>
    <xf numFmtId="171" fontId="4" fillId="0" borderId="13" xfId="0" applyNumberFormat="1" applyFont="1" applyBorder="1" applyProtection="1"/>
    <xf numFmtId="0" fontId="5" fillId="0" borderId="0" xfId="32" applyFont="1" applyProtection="1">
      <protection locked="0"/>
    </xf>
    <xf numFmtId="171" fontId="5" fillId="0" borderId="0" xfId="32" applyNumberFormat="1" applyFont="1" applyProtection="1">
      <protection locked="0"/>
    </xf>
    <xf numFmtId="180" fontId="5" fillId="0" borderId="0" xfId="32" applyNumberFormat="1" applyFont="1" applyProtection="1">
      <protection locked="0"/>
    </xf>
    <xf numFmtId="180" fontId="1" fillId="0" borderId="59" xfId="32" applyNumberFormat="1" applyFont="1" applyBorder="1" applyProtection="1"/>
    <xf numFmtId="171" fontId="1" fillId="0" borderId="35" xfId="32" applyNumberFormat="1" applyFont="1" applyBorder="1" applyProtection="1"/>
    <xf numFmtId="0" fontId="1" fillId="0" borderId="34" xfId="32" applyFont="1" applyBorder="1" applyProtection="1">
      <protection locked="0"/>
    </xf>
    <xf numFmtId="171" fontId="1" fillId="0" borderId="35" xfId="32" applyNumberFormat="1" applyFont="1" applyBorder="1" applyProtection="1">
      <protection locked="0"/>
    </xf>
    <xf numFmtId="180" fontId="1" fillId="0" borderId="59" xfId="32" applyNumberFormat="1" applyFont="1" applyBorder="1" applyProtection="1">
      <protection locked="0"/>
    </xf>
    <xf numFmtId="0" fontId="1" fillId="0" borderId="34" xfId="32" applyFont="1" applyBorder="1" applyAlignment="1" applyProtection="1">
      <alignment horizontal="left"/>
      <protection locked="0"/>
    </xf>
    <xf numFmtId="180" fontId="4" fillId="0" borderId="0" xfId="32" applyNumberFormat="1" applyFont="1" applyBorder="1" applyProtection="1">
      <protection locked="0"/>
    </xf>
    <xf numFmtId="171" fontId="4" fillId="0" borderId="31" xfId="32" applyNumberFormat="1" applyFont="1" applyBorder="1" applyProtection="1">
      <protection locked="0"/>
    </xf>
    <xf numFmtId="3" fontId="4" fillId="0" borderId="30" xfId="32" applyNumberFormat="1" applyFont="1" applyBorder="1" applyProtection="1">
      <protection locked="0"/>
    </xf>
    <xf numFmtId="171" fontId="4" fillId="0" borderId="13" xfId="32" applyNumberFormat="1" applyFont="1" applyBorder="1" applyProtection="1">
      <protection locked="0"/>
    </xf>
    <xf numFmtId="172" fontId="4" fillId="0" borderId="33" xfId="32" applyNumberFormat="1" applyFont="1" applyBorder="1" applyProtection="1">
      <protection locked="0"/>
    </xf>
    <xf numFmtId="3" fontId="4" fillId="0" borderId="33" xfId="32" applyNumberFormat="1" applyFont="1" applyBorder="1" applyProtection="1">
      <protection locked="0"/>
    </xf>
    <xf numFmtId="171" fontId="4" fillId="0" borderId="35" xfId="32" applyNumberFormat="1" applyFont="1" applyBorder="1" applyProtection="1">
      <protection locked="0"/>
    </xf>
    <xf numFmtId="49" fontId="4" fillId="0" borderId="34" xfId="32" applyNumberFormat="1" applyFont="1" applyBorder="1" applyProtection="1">
      <protection locked="0"/>
    </xf>
    <xf numFmtId="172" fontId="4" fillId="0" borderId="34" xfId="32" applyNumberFormat="1" applyFont="1" applyBorder="1" applyProtection="1">
      <protection locked="0"/>
    </xf>
    <xf numFmtId="180" fontId="1" fillId="0" borderId="0" xfId="32" applyNumberFormat="1" applyFont="1" applyBorder="1" applyProtection="1"/>
    <xf numFmtId="171" fontId="1" fillId="0" borderId="13" xfId="32" applyNumberFormat="1" applyFont="1" applyBorder="1" applyProtection="1"/>
    <xf numFmtId="3" fontId="1" fillId="0" borderId="33" xfId="32" applyNumberFormat="1" applyFont="1" applyBorder="1" applyProtection="1">
      <protection locked="0"/>
    </xf>
    <xf numFmtId="171" fontId="1" fillId="26" borderId="13" xfId="32" applyNumberFormat="1" applyFont="1" applyFill="1" applyBorder="1" applyAlignment="1" applyProtection="1">
      <alignment horizontal="right"/>
    </xf>
    <xf numFmtId="49" fontId="1" fillId="26" borderId="33" xfId="32" applyNumberFormat="1" applyFont="1" applyFill="1" applyBorder="1" applyProtection="1">
      <protection locked="0"/>
    </xf>
    <xf numFmtId="180" fontId="1" fillId="0" borderId="0" xfId="32" applyNumberFormat="1" applyFont="1" applyBorder="1" applyProtection="1">
      <protection locked="0"/>
    </xf>
    <xf numFmtId="171" fontId="1" fillId="0" borderId="13" xfId="32" applyNumberFormat="1" applyFont="1" applyBorder="1" applyProtection="1">
      <protection locked="0"/>
    </xf>
    <xf numFmtId="9" fontId="4" fillId="0" borderId="13" xfId="32" applyNumberFormat="1" applyFont="1" applyFill="1" applyBorder="1" applyAlignment="1" applyProtection="1">
      <alignment horizontal="right"/>
    </xf>
    <xf numFmtId="49" fontId="4" fillId="0" borderId="33" xfId="32" applyNumberFormat="1" applyFont="1" applyFill="1" applyBorder="1" applyProtection="1">
      <protection locked="0"/>
    </xf>
    <xf numFmtId="3" fontId="11" fillId="0" borderId="33" xfId="32" applyNumberFormat="1" applyFont="1" applyBorder="1" applyProtection="1">
      <protection locked="0"/>
    </xf>
    <xf numFmtId="171" fontId="4" fillId="0" borderId="13" xfId="32" applyNumberFormat="1" applyFont="1" applyFill="1" applyBorder="1" applyAlignment="1" applyProtection="1">
      <alignment horizontal="right"/>
      <protection locked="0"/>
    </xf>
    <xf numFmtId="171" fontId="1" fillId="0" borderId="13" xfId="32" applyNumberFormat="1" applyFont="1" applyFill="1" applyBorder="1" applyAlignment="1" applyProtection="1">
      <alignment horizontal="right"/>
      <protection locked="0"/>
    </xf>
    <xf numFmtId="49" fontId="1" fillId="0" borderId="33" xfId="32" applyNumberFormat="1" applyFont="1" applyFill="1" applyBorder="1" applyProtection="1">
      <protection locked="0"/>
    </xf>
    <xf numFmtId="9" fontId="1" fillId="26" borderId="13" xfId="32" applyNumberFormat="1" applyFont="1" applyFill="1" applyBorder="1" applyAlignment="1" applyProtection="1">
      <alignment horizontal="right"/>
    </xf>
    <xf numFmtId="171" fontId="4" fillId="0" borderId="13" xfId="32" applyNumberFormat="1" applyFont="1" applyFill="1" applyBorder="1" applyAlignment="1" applyProtection="1">
      <alignment horizontal="right"/>
    </xf>
    <xf numFmtId="180" fontId="11" fillId="0" borderId="0" xfId="32" applyNumberFormat="1" applyFont="1" applyBorder="1" applyProtection="1">
      <protection locked="0"/>
    </xf>
    <xf numFmtId="171" fontId="11" fillId="0" borderId="13" xfId="32" applyNumberFormat="1" applyFont="1" applyBorder="1" applyProtection="1">
      <protection locked="0"/>
    </xf>
    <xf numFmtId="171" fontId="4" fillId="0" borderId="13" xfId="32" applyNumberFormat="1" applyFont="1" applyBorder="1" applyAlignment="1" applyProtection="1">
      <alignment horizontal="right"/>
      <protection locked="0"/>
    </xf>
    <xf numFmtId="49" fontId="4" fillId="0" borderId="33" xfId="32" applyNumberFormat="1" applyFont="1" applyBorder="1" applyProtection="1">
      <protection locked="0"/>
    </xf>
    <xf numFmtId="171" fontId="1" fillId="0" borderId="31" xfId="32" applyNumberFormat="1" applyFont="1" applyBorder="1" applyProtection="1">
      <protection locked="0"/>
    </xf>
    <xf numFmtId="49" fontId="1" fillId="0" borderId="30" xfId="32" applyNumberFormat="1" applyFont="1" applyBorder="1" applyProtection="1">
      <protection locked="0"/>
    </xf>
    <xf numFmtId="171" fontId="1" fillId="0" borderId="31" xfId="32" applyNumberFormat="1" applyFont="1" applyBorder="1" applyAlignment="1" applyProtection="1">
      <alignment horizontal="centerContinuous"/>
      <protection locked="0"/>
    </xf>
    <xf numFmtId="0" fontId="1" fillId="0" borderId="30" xfId="32" applyFont="1" applyBorder="1" applyAlignment="1" applyProtection="1">
      <alignment horizontal="centerContinuous"/>
      <protection locked="0"/>
    </xf>
    <xf numFmtId="171" fontId="37" fillId="27" borderId="62" xfId="32" applyNumberFormat="1" applyFont="1" applyFill="1" applyBorder="1" applyAlignment="1" applyProtection="1">
      <alignment horizontal="centerContinuous"/>
      <protection locked="0"/>
    </xf>
    <xf numFmtId="0" fontId="37" fillId="27" borderId="60" xfId="32" applyFont="1" applyFill="1" applyBorder="1" applyAlignment="1" applyProtection="1">
      <alignment horizontal="centerContinuous"/>
      <protection locked="0"/>
    </xf>
    <xf numFmtId="172" fontId="5" fillId="0" borderId="0" xfId="32" applyNumberFormat="1" applyFont="1" applyProtection="1">
      <protection locked="0"/>
    </xf>
    <xf numFmtId="0" fontId="1" fillId="0" borderId="0" xfId="32" applyFont="1" applyProtection="1">
      <protection locked="0"/>
    </xf>
    <xf numFmtId="10" fontId="1" fillId="0" borderId="0" xfId="32" applyNumberFormat="1" applyFont="1" applyProtection="1">
      <protection locked="0"/>
    </xf>
    <xf numFmtId="181" fontId="5" fillId="0" borderId="0" xfId="32" applyNumberFormat="1" applyFont="1" applyProtection="1">
      <protection locked="0"/>
    </xf>
    <xf numFmtId="0" fontId="4" fillId="0" borderId="0" xfId="32" applyFont="1" applyProtection="1">
      <protection locked="0"/>
    </xf>
    <xf numFmtId="181" fontId="1" fillId="0" borderId="0" xfId="32" applyNumberFormat="1" applyFont="1" applyProtection="1">
      <protection locked="0"/>
    </xf>
    <xf numFmtId="0" fontId="1" fillId="0" borderId="33" xfId="32" applyFont="1" applyBorder="1" applyProtection="1">
      <protection locked="0"/>
    </xf>
    <xf numFmtId="0" fontId="4" fillId="0" borderId="33" xfId="32" applyFont="1" applyBorder="1" applyProtection="1">
      <protection locked="0"/>
    </xf>
    <xf numFmtId="172" fontId="1" fillId="0" borderId="33" xfId="32" applyNumberFormat="1" applyFont="1" applyBorder="1" applyProtection="1">
      <protection locked="0"/>
    </xf>
    <xf numFmtId="180" fontId="1" fillId="0" borderId="13" xfId="32" applyNumberFormat="1" applyFont="1" applyBorder="1" applyProtection="1"/>
    <xf numFmtId="172" fontId="1" fillId="0" borderId="30" xfId="32" applyNumberFormat="1" applyFont="1" applyBorder="1" applyProtection="1">
      <protection locked="0"/>
    </xf>
    <xf numFmtId="180" fontId="1" fillId="0" borderId="19" xfId="32" applyNumberFormat="1" applyFont="1" applyBorder="1" applyProtection="1">
      <protection locked="0"/>
    </xf>
    <xf numFmtId="0" fontId="1" fillId="0" borderId="30" xfId="32" applyFont="1" applyBorder="1" applyProtection="1">
      <protection locked="0"/>
    </xf>
    <xf numFmtId="0" fontId="1" fillId="0" borderId="32" xfId="32" applyFont="1" applyBorder="1" applyAlignment="1" applyProtection="1">
      <alignment horizontal="centerContinuous"/>
      <protection locked="0"/>
    </xf>
    <xf numFmtId="180" fontId="1" fillId="0" borderId="19" xfId="32" applyNumberFormat="1" applyFont="1" applyBorder="1" applyAlignment="1" applyProtection="1">
      <alignment horizontal="centerContinuous"/>
      <protection locked="0"/>
    </xf>
    <xf numFmtId="0" fontId="10" fillId="0" borderId="0" xfId="32" applyFont="1" applyProtection="1">
      <protection locked="0"/>
    </xf>
    <xf numFmtId="0" fontId="37" fillId="27" borderId="61" xfId="32" applyFont="1" applyFill="1" applyBorder="1" applyAlignment="1" applyProtection="1">
      <alignment horizontal="centerContinuous"/>
      <protection locked="0"/>
    </xf>
    <xf numFmtId="180" fontId="37" fillId="27" borderId="61" xfId="32" applyNumberFormat="1" applyFont="1" applyFill="1" applyBorder="1" applyAlignment="1" applyProtection="1">
      <alignment horizontal="centerContinuous"/>
      <protection locked="0"/>
    </xf>
    <xf numFmtId="171" fontId="37" fillId="27" borderId="61" xfId="32" applyNumberFormat="1" applyFont="1" applyFill="1" applyBorder="1" applyAlignment="1" applyProtection="1">
      <alignment horizontal="centerContinuous"/>
      <protection locked="0"/>
    </xf>
    <xf numFmtId="1" fontId="0" fillId="0" borderId="0" xfId="0" applyNumberFormat="1"/>
    <xf numFmtId="1" fontId="4" fillId="0" borderId="0" xfId="0" applyNumberFormat="1" applyFont="1"/>
    <xf numFmtId="3" fontId="5" fillId="0" borderId="0" xfId="32" applyNumberFormat="1" applyFont="1" applyProtection="1">
      <protection locked="0"/>
    </xf>
    <xf numFmtId="165" fontId="5" fillId="0" borderId="0" xfId="32" applyNumberFormat="1" applyFont="1" applyProtection="1">
      <protection locked="0"/>
    </xf>
    <xf numFmtId="170" fontId="5" fillId="0" borderId="0" xfId="32" applyNumberFormat="1" applyFont="1" applyProtection="1">
      <protection locked="0"/>
    </xf>
    <xf numFmtId="169" fontId="5" fillId="0" borderId="0" xfId="32" applyNumberFormat="1" applyFont="1" applyProtection="1">
      <protection locked="0"/>
    </xf>
    <xf numFmtId="168" fontId="5" fillId="0" borderId="0" xfId="32" applyNumberFormat="1" applyFont="1" applyProtection="1">
      <protection locked="0"/>
    </xf>
    <xf numFmtId="167" fontId="5" fillId="0" borderId="0" xfId="32" applyNumberFormat="1" applyFont="1" applyProtection="1">
      <protection locked="0"/>
    </xf>
    <xf numFmtId="3" fontId="8" fillId="0" borderId="0" xfId="32" applyNumberFormat="1" applyFont="1" applyProtection="1">
      <protection locked="0"/>
    </xf>
    <xf numFmtId="3" fontId="9" fillId="0" borderId="0" xfId="32" applyNumberFormat="1" applyFont="1" applyBorder="1" applyProtection="1">
      <protection locked="0"/>
    </xf>
    <xf numFmtId="174" fontId="1" fillId="0" borderId="16" xfId="32" applyNumberFormat="1" applyFont="1" applyBorder="1" applyProtection="1"/>
    <xf numFmtId="174" fontId="1" fillId="0" borderId="15" xfId="32" applyNumberFormat="1" applyFont="1" applyBorder="1" applyProtection="1"/>
    <xf numFmtId="174" fontId="1" fillId="0" borderId="14" xfId="32" applyNumberFormat="1" applyFont="1" applyBorder="1" applyProtection="1"/>
    <xf numFmtId="174" fontId="4" fillId="0" borderId="0" xfId="32" applyNumberFormat="1" applyFont="1" applyProtection="1">
      <protection locked="0"/>
    </xf>
    <xf numFmtId="3" fontId="6" fillId="0" borderId="0" xfId="32" applyNumberFormat="1" applyFont="1" applyProtection="1">
      <protection locked="0"/>
    </xf>
    <xf numFmtId="174" fontId="1" fillId="0" borderId="29" xfId="32" applyNumberFormat="1" applyFont="1" applyBorder="1" applyProtection="1"/>
    <xf numFmtId="174" fontId="1" fillId="0" borderId="28" xfId="32" applyNumberFormat="1" applyFont="1" applyBorder="1" applyProtection="1"/>
    <xf numFmtId="174" fontId="4" fillId="24" borderId="28" xfId="32" applyNumberFormat="1" applyFont="1" applyFill="1" applyBorder="1" applyProtection="1"/>
    <xf numFmtId="174" fontId="1" fillId="0" borderId="27" xfId="32" applyNumberFormat="1" applyFont="1" applyBorder="1" applyProtection="1"/>
    <xf numFmtId="174" fontId="1" fillId="0" borderId="0" xfId="32" applyNumberFormat="1" applyFont="1" applyProtection="1">
      <protection locked="0"/>
    </xf>
    <xf numFmtId="3" fontId="7" fillId="0" borderId="0" xfId="32" applyNumberFormat="1" applyFont="1" applyProtection="1">
      <protection locked="0"/>
    </xf>
    <xf numFmtId="174" fontId="4" fillId="0" borderId="23" xfId="32" applyNumberFormat="1" applyFont="1" applyBorder="1" applyProtection="1">
      <protection locked="0"/>
    </xf>
    <xf numFmtId="174" fontId="4" fillId="0" borderId="11" xfId="32" applyNumberFormat="1" applyFont="1" applyBorder="1" applyProtection="1">
      <protection locked="0"/>
    </xf>
    <xf numFmtId="174" fontId="4" fillId="24" borderId="12" xfId="32" applyNumberFormat="1" applyFont="1" applyFill="1" applyBorder="1" applyProtection="1">
      <protection locked="0"/>
    </xf>
    <xf numFmtId="174" fontId="4" fillId="0" borderId="12" xfId="32" applyNumberFormat="1" applyFont="1" applyBorder="1" applyProtection="1">
      <protection locked="0"/>
    </xf>
    <xf numFmtId="174" fontId="4" fillId="0" borderId="24" xfId="32" applyNumberFormat="1" applyFont="1" applyBorder="1" applyProtection="1">
      <protection locked="0"/>
    </xf>
    <xf numFmtId="10" fontId="4" fillId="24" borderId="12" xfId="32" applyNumberFormat="1" applyFont="1" applyFill="1" applyBorder="1" applyProtection="1">
      <protection locked="0"/>
    </xf>
    <xf numFmtId="1" fontId="5" fillId="0" borderId="0" xfId="32" applyNumberFormat="1" applyFont="1" applyProtection="1">
      <protection locked="0"/>
    </xf>
    <xf numFmtId="1" fontId="4" fillId="0" borderId="0" xfId="32" applyNumberFormat="1"/>
    <xf numFmtId="174" fontId="4" fillId="0" borderId="29" xfId="32" applyNumberFormat="1" applyFont="1" applyBorder="1" applyProtection="1">
      <protection locked="0"/>
    </xf>
    <xf numFmtId="174" fontId="4" fillId="0" borderId="28" xfId="32" applyNumberFormat="1" applyFont="1" applyBorder="1" applyProtection="1">
      <protection locked="0"/>
    </xf>
    <xf numFmtId="174" fontId="4" fillId="0" borderId="27" xfId="32" applyNumberFormat="1" applyFont="1" applyBorder="1" applyProtection="1">
      <protection locked="0"/>
    </xf>
    <xf numFmtId="1" fontId="6" fillId="0" borderId="0" xfId="32" applyNumberFormat="1" applyFont="1" applyProtection="1">
      <protection locked="0"/>
    </xf>
    <xf numFmtId="174" fontId="4" fillId="0" borderId="25" xfId="32" applyNumberFormat="1" applyFont="1" applyBorder="1" applyProtection="1">
      <protection locked="0"/>
    </xf>
    <xf numFmtId="174" fontId="4" fillId="24" borderId="26" xfId="32" applyNumberFormat="1" applyFont="1" applyFill="1" applyBorder="1" applyProtection="1">
      <protection locked="0"/>
    </xf>
    <xf numFmtId="174" fontId="4" fillId="0" borderId="26" xfId="32" applyNumberFormat="1" applyFont="1" applyBorder="1" applyProtection="1">
      <protection locked="0"/>
    </xf>
    <xf numFmtId="174" fontId="4" fillId="25" borderId="12" xfId="32" applyNumberFormat="1" applyFont="1" applyFill="1" applyBorder="1" applyProtection="1">
      <protection locked="0"/>
    </xf>
    <xf numFmtId="174" fontId="4" fillId="24" borderId="24" xfId="32" applyNumberFormat="1" applyFont="1" applyFill="1" applyBorder="1" applyProtection="1">
      <protection locked="0"/>
    </xf>
    <xf numFmtId="1" fontId="7" fillId="0" borderId="0" xfId="32" applyNumberFormat="1" applyFont="1" applyProtection="1">
      <protection locked="0"/>
    </xf>
    <xf numFmtId="3" fontId="1" fillId="0" borderId="23" xfId="32" applyNumberFormat="1" applyFont="1" applyBorder="1" applyProtection="1">
      <protection locked="0"/>
    </xf>
    <xf numFmtId="3" fontId="1" fillId="0" borderId="11" xfId="32" applyNumberFormat="1" applyFont="1" applyBorder="1" applyProtection="1">
      <protection locked="0"/>
    </xf>
    <xf numFmtId="3" fontId="1" fillId="0" borderId="11" xfId="32" applyNumberFormat="1" applyFont="1" applyBorder="1" applyAlignment="1" applyProtection="1">
      <alignment horizontal="center"/>
      <protection locked="0"/>
    </xf>
    <xf numFmtId="3" fontId="1" fillId="0" borderId="21" xfId="32" applyNumberFormat="1" applyFont="1" applyBorder="1" applyProtection="1">
      <protection locked="0"/>
    </xf>
    <xf numFmtId="3" fontId="1" fillId="0" borderId="22" xfId="32" applyNumberFormat="1" applyFont="1" applyBorder="1" applyAlignment="1" applyProtection="1">
      <alignment horizontal="center"/>
      <protection locked="0"/>
    </xf>
    <xf numFmtId="3" fontId="1" fillId="0" borderId="21" xfId="32" applyNumberFormat="1" applyFont="1" applyBorder="1" applyAlignment="1" applyProtection="1">
      <alignment horizontal="center"/>
      <protection locked="0"/>
    </xf>
    <xf numFmtId="0" fontId="7" fillId="0" borderId="0" xfId="32" applyNumberFormat="1" applyFont="1" applyProtection="1">
      <protection locked="0"/>
    </xf>
    <xf numFmtId="17" fontId="1" fillId="0" borderId="20" xfId="32" applyNumberFormat="1" applyFont="1" applyBorder="1" applyAlignment="1" applyProtection="1">
      <alignment horizontal="center"/>
      <protection locked="0"/>
    </xf>
    <xf numFmtId="17" fontId="1" fillId="0" borderId="18" xfId="32" applyNumberFormat="1" applyFont="1" applyBorder="1" applyAlignment="1" applyProtection="1">
      <alignment horizontal="center"/>
      <protection locked="0"/>
    </xf>
    <xf numFmtId="0" fontId="1" fillId="0" borderId="18" xfId="32" applyNumberFormat="1" applyFont="1" applyBorder="1" applyAlignment="1" applyProtection="1">
      <alignment horizontal="center"/>
      <protection locked="0"/>
    </xf>
    <xf numFmtId="0" fontId="1" fillId="0" borderId="17" xfId="32" applyNumberFormat="1" applyFont="1" applyBorder="1" applyProtection="1">
      <protection locked="0"/>
    </xf>
    <xf numFmtId="0" fontId="1" fillId="0" borderId="19" xfId="32" applyNumberFormat="1" applyFont="1" applyBorder="1" applyAlignment="1" applyProtection="1">
      <alignment horizontal="center"/>
      <protection locked="0"/>
    </xf>
    <xf numFmtId="0" fontId="1" fillId="0" borderId="17" xfId="32" applyNumberFormat="1" applyFont="1" applyBorder="1" applyAlignment="1" applyProtection="1">
      <alignment horizontal="center"/>
      <protection locked="0"/>
    </xf>
    <xf numFmtId="0" fontId="38" fillId="27" borderId="62" xfId="32" applyFont="1" applyFill="1" applyBorder="1" applyAlignment="1" applyProtection="1">
      <alignment horizontal="centerContinuous"/>
      <protection locked="0"/>
    </xf>
    <xf numFmtId="0" fontId="38" fillId="27" borderId="61" xfId="32" applyFont="1" applyFill="1" applyBorder="1" applyAlignment="1" applyProtection="1">
      <alignment horizontal="centerContinuous"/>
      <protection locked="0"/>
    </xf>
    <xf numFmtId="174" fontId="4" fillId="0" borderId="0" xfId="32" applyNumberFormat="1" applyFont="1" applyFill="1" applyBorder="1" applyAlignment="1" applyProtection="1">
      <protection locked="0"/>
    </xf>
    <xf numFmtId="0" fontId="4" fillId="0" borderId="0" xfId="0" applyNumberFormat="1" applyFont="1" applyBorder="1" applyProtection="1">
      <protection locked="0"/>
    </xf>
    <xf numFmtId="0" fontId="11" fillId="0" borderId="0" xfId="0" applyNumberFormat="1" applyFont="1" applyBorder="1" applyProtection="1">
      <protection locked="0"/>
    </xf>
    <xf numFmtId="0" fontId="39" fillId="27" borderId="61" xfId="0" applyNumberFormat="1" applyFont="1" applyFill="1" applyBorder="1" applyAlignment="1" applyProtection="1">
      <alignment horizontal="centerContinuous"/>
      <protection locked="0"/>
    </xf>
    <xf numFmtId="0" fontId="4" fillId="0" borderId="19" xfId="0" applyNumberFormat="1" applyFont="1" applyBorder="1" applyAlignment="1" applyProtection="1">
      <alignment horizontal="centerContinuous"/>
      <protection locked="0"/>
    </xf>
    <xf numFmtId="0" fontId="4" fillId="0" borderId="19" xfId="0" applyNumberFormat="1" applyFont="1" applyBorder="1" applyProtection="1">
      <protection locked="0"/>
    </xf>
    <xf numFmtId="0" fontId="4" fillId="0" borderId="13" xfId="0" applyNumberFormat="1" applyFont="1" applyBorder="1" applyProtection="1"/>
    <xf numFmtId="0" fontId="4" fillId="0" borderId="0" xfId="0" applyNumberFormat="1" applyFont="1" applyBorder="1" applyProtection="1"/>
    <xf numFmtId="0" fontId="4" fillId="0" borderId="59" xfId="0" applyNumberFormat="1" applyFont="1" applyBorder="1" applyProtection="1"/>
    <xf numFmtId="0" fontId="4" fillId="0" borderId="59" xfId="0" applyNumberFormat="1" applyFont="1" applyBorder="1" applyProtection="1">
      <protection locked="0"/>
    </xf>
    <xf numFmtId="171" fontId="4" fillId="0" borderId="0" xfId="0" applyNumberFormat="1" applyFont="1" applyProtection="1">
      <protection locked="0"/>
    </xf>
    <xf numFmtId="0" fontId="1" fillId="0" borderId="0" xfId="0" applyFont="1" applyAlignment="1" applyProtection="1">
      <protection locked="0"/>
    </xf>
    <xf numFmtId="9" fontId="4" fillId="0" borderId="0" xfId="0" applyNumberFormat="1" applyFont="1"/>
    <xf numFmtId="9" fontId="0" fillId="0" borderId="0" xfId="0" applyNumberFormat="1"/>
    <xf numFmtId="0" fontId="44" fillId="27" borderId="37" xfId="32" applyNumberFormat="1" applyFont="1" applyFill="1" applyBorder="1" applyAlignment="1" applyProtection="1">
      <alignment horizontal="center" vertical="center" textRotation="90"/>
      <protection locked="0"/>
    </xf>
    <xf numFmtId="0" fontId="44" fillId="27" borderId="54" xfId="32" applyNumberFormat="1" applyFont="1" applyFill="1" applyBorder="1" applyAlignment="1" applyProtection="1">
      <alignment horizontal="center" vertical="center" textRotation="90"/>
      <protection locked="0"/>
    </xf>
    <xf numFmtId="0" fontId="44" fillId="27" borderId="55" xfId="32" applyNumberFormat="1" applyFont="1" applyFill="1" applyBorder="1" applyAlignment="1" applyProtection="1">
      <alignment horizontal="center" vertical="center" textRotation="90"/>
      <protection locked="0"/>
    </xf>
    <xf numFmtId="3" fontId="44" fillId="27" borderId="37" xfId="32" applyNumberFormat="1" applyFont="1" applyFill="1" applyBorder="1" applyAlignment="1" applyProtection="1">
      <alignment horizontal="center" vertical="center" textRotation="90"/>
      <protection locked="0"/>
    </xf>
    <xf numFmtId="3" fontId="44" fillId="27" borderId="54" xfId="32" applyNumberFormat="1" applyFont="1" applyFill="1" applyBorder="1" applyAlignment="1" applyProtection="1">
      <alignment horizontal="center" vertical="center" textRotation="90"/>
      <protection locked="0"/>
    </xf>
    <xf numFmtId="3" fontId="44" fillId="27" borderId="55" xfId="32" applyNumberFormat="1" applyFont="1" applyFill="1" applyBorder="1" applyAlignment="1" applyProtection="1">
      <alignment horizontal="center" vertical="center" textRotation="90"/>
      <protection locked="0"/>
    </xf>
    <xf numFmtId="0" fontId="45" fillId="27" borderId="63" xfId="0" applyFont="1" applyFill="1" applyBorder="1" applyAlignment="1" applyProtection="1">
      <alignment horizontal="center" vertical="center" textRotation="90"/>
      <protection locked="0"/>
    </xf>
    <xf numFmtId="0" fontId="45" fillId="27" borderId="64" xfId="0" applyFont="1" applyFill="1" applyBorder="1" applyAlignment="1" applyProtection="1">
      <alignment horizontal="center" vertical="center" textRotation="90"/>
      <protection locked="0"/>
    </xf>
    <xf numFmtId="0" fontId="45" fillId="27" borderId="65" xfId="0" applyFont="1" applyFill="1" applyBorder="1" applyAlignment="1" applyProtection="1">
      <alignment horizontal="center" vertical="center" textRotation="90"/>
      <protection locked="0"/>
    </xf>
    <xf numFmtId="0" fontId="37" fillId="27" borderId="68" xfId="0" applyFont="1" applyFill="1" applyBorder="1" applyAlignment="1" applyProtection="1">
      <alignment horizontal="center"/>
      <protection locked="0"/>
    </xf>
    <xf numFmtId="0" fontId="37" fillId="27" borderId="0" xfId="0" applyFont="1" applyFill="1" applyBorder="1" applyAlignment="1" applyProtection="1">
      <alignment horizontal="center"/>
      <protection locked="0"/>
    </xf>
    <xf numFmtId="0" fontId="45" fillId="27" borderId="69" xfId="0" applyFont="1" applyFill="1" applyBorder="1" applyAlignment="1" applyProtection="1">
      <alignment horizontal="center" vertical="center" textRotation="90"/>
      <protection locked="0"/>
    </xf>
    <xf numFmtId="0" fontId="45" fillId="27" borderId="0" xfId="0" applyFont="1" applyFill="1" applyBorder="1" applyAlignment="1" applyProtection="1">
      <alignment horizontal="center" vertical="center" textRotation="90"/>
      <protection locked="0"/>
    </xf>
    <xf numFmtId="0" fontId="45" fillId="27" borderId="59" xfId="0" applyFont="1" applyFill="1" applyBorder="1" applyAlignment="1" applyProtection="1">
      <alignment horizontal="center" vertical="center" textRotation="90"/>
      <protection locked="0"/>
    </xf>
    <xf numFmtId="0" fontId="46" fillId="0" borderId="46" xfId="32" applyFont="1" applyFill="1" applyBorder="1" applyAlignment="1" applyProtection="1">
      <alignment horizontal="right"/>
    </xf>
    <xf numFmtId="0" fontId="46" fillId="0" borderId="56" xfId="32" applyFont="1" applyFill="1" applyBorder="1" applyAlignment="1" applyProtection="1">
      <alignment horizontal="right"/>
    </xf>
    <xf numFmtId="0" fontId="46" fillId="0" borderId="48" xfId="32" applyFont="1" applyFill="1" applyBorder="1" applyAlignment="1" applyProtection="1">
      <alignment horizontal="right"/>
    </xf>
    <xf numFmtId="0" fontId="46" fillId="0" borderId="57" xfId="32" applyFont="1" applyFill="1" applyBorder="1" applyAlignment="1" applyProtection="1">
      <alignment horizontal="right"/>
    </xf>
    <xf numFmtId="0" fontId="37" fillId="27" borderId="60" xfId="0" applyFont="1" applyFill="1" applyBorder="1" applyAlignment="1" applyProtection="1">
      <alignment horizontal="center"/>
      <protection locked="0"/>
    </xf>
    <xf numFmtId="0" fontId="37" fillId="27" borderId="61" xfId="0" applyFont="1" applyFill="1" applyBorder="1" applyAlignment="1" applyProtection="1">
      <alignment horizontal="center"/>
      <protection locked="0"/>
    </xf>
    <xf numFmtId="0" fontId="37" fillId="27" borderId="62" xfId="0" applyFont="1" applyFill="1" applyBorder="1" applyAlignment="1" applyProtection="1">
      <alignment horizontal="center"/>
      <protection locked="0"/>
    </xf>
    <xf numFmtId="0" fontId="46" fillId="0" borderId="44" xfId="32" applyFont="1" applyFill="1" applyBorder="1" applyAlignment="1" applyProtection="1">
      <alignment horizontal="right"/>
    </xf>
    <xf numFmtId="0" fontId="46" fillId="0" borderId="58" xfId="32" applyFont="1" applyFill="1" applyBorder="1" applyAlignment="1" applyProtection="1">
      <alignment horizontal="right"/>
    </xf>
    <xf numFmtId="0" fontId="1" fillId="0" borderId="33" xfId="32" applyFont="1" applyBorder="1" applyAlignment="1" applyProtection="1">
      <alignment horizontal="center"/>
      <protection locked="0"/>
    </xf>
    <xf numFmtId="0" fontId="1" fillId="0" borderId="0" xfId="32" applyFont="1" applyAlignment="1" applyProtection="1">
      <alignment horizontal="center"/>
      <protection locked="0"/>
    </xf>
    <xf numFmtId="0" fontId="5" fillId="0" borderId="0" xfId="32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33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43" fillId="27" borderId="60" xfId="0" applyFont="1" applyFill="1" applyBorder="1" applyAlignment="1">
      <alignment horizontal="center"/>
    </xf>
    <xf numFmtId="0" fontId="43" fillId="27" borderId="61" xfId="0" applyFont="1" applyFill="1" applyBorder="1" applyAlignment="1">
      <alignment horizontal="center"/>
    </xf>
    <xf numFmtId="0" fontId="43" fillId="27" borderId="6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3" fillId="27" borderId="60" xfId="0" applyFont="1" applyFill="1" applyBorder="1" applyAlignment="1" applyProtection="1">
      <alignment horizontal="center"/>
      <protection locked="0"/>
    </xf>
    <xf numFmtId="0" fontId="43" fillId="27" borderId="61" xfId="0" applyFont="1" applyFill="1" applyBorder="1" applyAlignment="1" applyProtection="1">
      <alignment horizontal="center"/>
      <protection locked="0"/>
    </xf>
    <xf numFmtId="0" fontId="43" fillId="27" borderId="62" xfId="0" applyFont="1" applyFill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</cellXfs>
  <cellStyles count="44">
    <cellStyle name="20 % - Accent1 2" xfId="1"/>
    <cellStyle name="20 % - Accent2 2" xfId="2"/>
    <cellStyle name="20 % - Accent3 2" xfId="3"/>
    <cellStyle name="20 % - Accent4 2" xfId="4"/>
    <cellStyle name="20 % - Accent5 2" xfId="5"/>
    <cellStyle name="20 % - Accent6 2" xfId="6"/>
    <cellStyle name="40 % - Accent1 2" xfId="7"/>
    <cellStyle name="40 % - Accent2 2" xfId="8"/>
    <cellStyle name="40 % - Accent3 2" xfId="9"/>
    <cellStyle name="40 % - Accent4 2" xfId="10"/>
    <cellStyle name="40 % - Accent5 2" xfId="11"/>
    <cellStyle name="40 % - Accent6 2" xfId="12"/>
    <cellStyle name="60 % - Accent1 2" xfId="13"/>
    <cellStyle name="60 % - Accent2 2" xfId="14"/>
    <cellStyle name="60 % - Accent3 2" xfId="15"/>
    <cellStyle name="60 % - Accent4 2" xfId="16"/>
    <cellStyle name="60 % - Accent5 2" xfId="17"/>
    <cellStyle name="60 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Avertissement 2" xfId="25"/>
    <cellStyle name="Calcul 2" xfId="26"/>
    <cellStyle name="Cellule liée 2" xfId="27"/>
    <cellStyle name="Commentaire 2" xfId="28"/>
    <cellStyle name="Entrée 2" xfId="29"/>
    <cellStyle name="Insatisfaisant 2" xfId="30"/>
    <cellStyle name="Neutre 2" xfId="31"/>
    <cellStyle name="Normal" xfId="0" builtinId="0"/>
    <cellStyle name="Normal 2" xfId="32"/>
    <cellStyle name="Satisfaisant 2" xfId="33"/>
    <cellStyle name="Sortie 2" xfId="34"/>
    <cellStyle name="Texte explicatif 2" xfId="35"/>
    <cellStyle name="Titre 2" xfId="36"/>
    <cellStyle name="Titre 1 2" xfId="37"/>
    <cellStyle name="Titre 2 2" xfId="38"/>
    <cellStyle name="Titre 3 2" xfId="39"/>
    <cellStyle name="Titre 4 2" xfId="40"/>
    <cellStyle name="Total 2" xfId="41"/>
    <cellStyle name="Vérification 2" xfId="42"/>
    <cellStyle name="Währung" xfId="43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lineChart>
        <c:grouping val="standard"/>
        <c:ser>
          <c:idx val="0"/>
          <c:order val="0"/>
          <c:tx>
            <c:strRef>
              <c:f>'Saisonnalité ventes'!$C$1</c:f>
              <c:strCache>
                <c:ptCount val="1"/>
                <c:pt idx="0">
                  <c:v>Répartition du CA d'une ferme</c:v>
                </c:pt>
              </c:strCache>
            </c:strRef>
          </c:tx>
          <c:cat>
            <c:strRef>
              <c:f>'Saisonnalité ventes'!$A$2:$A$13</c:f>
              <c:strCache>
                <c:ptCount val="12"/>
                <c:pt idx="0">
                  <c:v>Septembre</c:v>
                </c:pt>
                <c:pt idx="1">
                  <c:v>Octobre</c:v>
                </c:pt>
                <c:pt idx="2">
                  <c:v>Novembre</c:v>
                </c:pt>
                <c:pt idx="3">
                  <c:v>Décembre</c:v>
                </c:pt>
                <c:pt idx="4">
                  <c:v>Janvier</c:v>
                </c:pt>
                <c:pt idx="5">
                  <c:v>Février</c:v>
                </c:pt>
                <c:pt idx="6">
                  <c:v>Mars </c:v>
                </c:pt>
                <c:pt idx="7">
                  <c:v>Avril </c:v>
                </c:pt>
                <c:pt idx="8">
                  <c:v>Mai</c:v>
                </c:pt>
                <c:pt idx="9">
                  <c:v>Juin</c:v>
                </c:pt>
                <c:pt idx="10">
                  <c:v>Juillet</c:v>
                </c:pt>
                <c:pt idx="11">
                  <c:v>Aout</c:v>
                </c:pt>
              </c:strCache>
            </c:strRef>
          </c:cat>
          <c:val>
            <c:numRef>
              <c:f>'Saisonnalité ventes'!$C$2:$C$13</c:f>
              <c:numCache>
                <c:formatCode>0%</c:formatCode>
                <c:ptCount val="12"/>
                <c:pt idx="0">
                  <c:v>0.17142857142857143</c:v>
                </c:pt>
                <c:pt idx="1">
                  <c:v>0.15873015873015872</c:v>
                </c:pt>
                <c:pt idx="2">
                  <c:v>6.3492063492063489E-2</c:v>
                </c:pt>
                <c:pt idx="3">
                  <c:v>5.0793650793650794E-2</c:v>
                </c:pt>
                <c:pt idx="4">
                  <c:v>1.5873015873015872E-2</c:v>
                </c:pt>
                <c:pt idx="5">
                  <c:v>1.5873015873015872E-2</c:v>
                </c:pt>
                <c:pt idx="6">
                  <c:v>1.5873015873015872E-2</c:v>
                </c:pt>
                <c:pt idx="7">
                  <c:v>3.1746031746031744E-2</c:v>
                </c:pt>
                <c:pt idx="8">
                  <c:v>7.9365079365079361E-2</c:v>
                </c:pt>
                <c:pt idx="9">
                  <c:v>0.12063492063492064</c:v>
                </c:pt>
                <c:pt idx="10">
                  <c:v>0.12698412698412698</c:v>
                </c:pt>
                <c:pt idx="11">
                  <c:v>0.1492063492063492</c:v>
                </c:pt>
              </c:numCache>
            </c:numRef>
          </c:val>
        </c:ser>
        <c:marker val="1"/>
        <c:axId val="222685056"/>
        <c:axId val="222714112"/>
      </c:lineChart>
      <c:catAx>
        <c:axId val="222685056"/>
        <c:scaling>
          <c:orientation val="minMax"/>
        </c:scaling>
        <c:axPos val="b"/>
        <c:tickLblPos val="nextTo"/>
        <c:crossAx val="222714112"/>
        <c:crosses val="autoZero"/>
        <c:auto val="1"/>
        <c:lblAlgn val="ctr"/>
        <c:lblOffset val="100"/>
      </c:catAx>
      <c:valAx>
        <c:axId val="222714112"/>
        <c:scaling>
          <c:orientation val="minMax"/>
        </c:scaling>
        <c:axPos val="l"/>
        <c:majorGridlines/>
        <c:numFmt formatCode="0%" sourceLinked="1"/>
        <c:tickLblPos val="nextTo"/>
        <c:crossAx val="22268505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15</xdr:row>
      <xdr:rowOff>160020</xdr:rowOff>
    </xdr:from>
    <xdr:to>
      <xdr:col>14</xdr:col>
      <xdr:colOff>281940</xdr:colOff>
      <xdr:row>37</xdr:row>
      <xdr:rowOff>68580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colas/Netetudes/Financements/Dossier%20de%20financement/dossier%20creatests%20Finorp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 de trésorerie1"/>
      <sheetName val="Personnel"/>
      <sheetName val="Courbe"/>
      <sheetName val="Résultat"/>
      <sheetName val="Résultat2"/>
      <sheetName val="Résultat3"/>
      <sheetName val="Résultat3ans"/>
      <sheetName val="Plan de financement"/>
      <sheetName val="Emprunt"/>
      <sheetName val="Feuil1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E11">
            <v>574.70987189862831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88"/>
  <sheetViews>
    <sheetView zoomScale="85" zoomScaleNormal="85" workbookViewId="0">
      <selection activeCell="T2" sqref="T2"/>
    </sheetView>
  </sheetViews>
  <sheetFormatPr baseColWidth="10" defaultColWidth="11.44140625" defaultRowHeight="15"/>
  <cols>
    <col min="1" max="1" width="11.44140625" style="235"/>
    <col min="2" max="2" width="4.109375" style="235" bestFit="1" customWidth="1"/>
    <col min="3" max="5" width="8" style="235" customWidth="1"/>
    <col min="6" max="6" width="35.5546875" style="235" bestFit="1" customWidth="1"/>
    <col min="7" max="19" width="8.88671875" style="235" bestFit="1" customWidth="1"/>
    <col min="20" max="23" width="11.44140625" style="235"/>
    <col min="24" max="24" width="9.5546875" style="235" bestFit="1" customWidth="1"/>
    <col min="25" max="16384" width="11.44140625" style="235"/>
  </cols>
  <sheetData>
    <row r="1" spans="2:23" ht="15.6" thickBot="1"/>
    <row r="2" spans="2:23" ht="22.2" thickTop="1" thickBot="1">
      <c r="C2" s="277" t="s">
        <v>40</v>
      </c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49"/>
    </row>
    <row r="3" spans="2:23" ht="16.2" thickTop="1" thickBot="1"/>
    <row r="4" spans="2:23" s="342" customFormat="1" ht="16.2" thickTop="1">
      <c r="B4" s="365" t="s">
        <v>82</v>
      </c>
      <c r="C4" s="348" t="s">
        <v>41</v>
      </c>
      <c r="D4" s="345" t="s">
        <v>42</v>
      </c>
      <c r="E4" s="347" t="s">
        <v>41</v>
      </c>
      <c r="F4" s="346"/>
      <c r="G4" s="345" t="s">
        <v>43</v>
      </c>
      <c r="H4" s="344" t="s">
        <v>70</v>
      </c>
      <c r="I4" s="344" t="s">
        <v>71</v>
      </c>
      <c r="J4" s="344" t="s">
        <v>72</v>
      </c>
      <c r="K4" s="344" t="s">
        <v>73</v>
      </c>
      <c r="L4" s="344" t="s">
        <v>74</v>
      </c>
      <c r="M4" s="344" t="s">
        <v>75</v>
      </c>
      <c r="N4" s="344" t="s">
        <v>76</v>
      </c>
      <c r="O4" s="344" t="s">
        <v>77</v>
      </c>
      <c r="P4" s="344" t="s">
        <v>78</v>
      </c>
      <c r="Q4" s="344" t="s">
        <v>79</v>
      </c>
      <c r="R4" s="344" t="s">
        <v>80</v>
      </c>
      <c r="S4" s="343" t="s">
        <v>81</v>
      </c>
      <c r="V4" s="325"/>
      <c r="W4" s="335"/>
    </row>
    <row r="5" spans="2:23" s="317" customFormat="1" ht="15.6">
      <c r="B5" s="366"/>
      <c r="C5" s="341" t="s">
        <v>44</v>
      </c>
      <c r="D5" s="338" t="s">
        <v>45</v>
      </c>
      <c r="E5" s="340" t="s">
        <v>46</v>
      </c>
      <c r="F5" s="339"/>
      <c r="G5" s="338" t="s">
        <v>47</v>
      </c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6"/>
      <c r="V5" s="325"/>
      <c r="W5" s="335"/>
    </row>
    <row r="6" spans="2:23" s="299" customFormat="1" ht="15.75" customHeight="1">
      <c r="B6" s="366"/>
      <c r="C6" s="334"/>
      <c r="D6" s="320"/>
      <c r="E6" s="320"/>
      <c r="F6" s="321" t="s">
        <v>189</v>
      </c>
      <c r="G6" s="321">
        <v>3000</v>
      </c>
      <c r="H6" s="321"/>
      <c r="I6" s="321"/>
      <c r="J6" s="321"/>
      <c r="K6" s="321"/>
      <c r="L6" s="321"/>
      <c r="M6" s="321"/>
      <c r="N6" s="321"/>
      <c r="O6" s="321"/>
      <c r="P6" s="321"/>
      <c r="Q6" s="321"/>
      <c r="R6" s="321"/>
      <c r="S6" s="330"/>
      <c r="V6" s="325"/>
      <c r="W6" s="324"/>
    </row>
    <row r="7" spans="2:23" s="299" customFormat="1" ht="15.75" customHeight="1">
      <c r="B7" s="366"/>
      <c r="C7" s="334"/>
      <c r="D7" s="320"/>
      <c r="E7" s="320"/>
      <c r="F7" s="321" t="s">
        <v>190</v>
      </c>
      <c r="G7" s="321">
        <v>0</v>
      </c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30"/>
      <c r="V7" s="325"/>
      <c r="W7" s="324"/>
    </row>
    <row r="8" spans="2:23" s="299" customFormat="1" ht="15.75" customHeight="1">
      <c r="B8" s="366"/>
      <c r="C8" s="334"/>
      <c r="D8" s="320"/>
      <c r="E8" s="320"/>
      <c r="F8" s="321" t="s">
        <v>39</v>
      </c>
      <c r="G8" s="321">
        <v>15000</v>
      </c>
      <c r="H8" s="321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30"/>
      <c r="V8" s="325"/>
      <c r="W8" s="324"/>
    </row>
    <row r="9" spans="2:23" s="299" customFormat="1" ht="15.75" customHeight="1">
      <c r="B9" s="366"/>
      <c r="C9" s="334"/>
      <c r="D9" s="320"/>
      <c r="E9" s="320"/>
      <c r="F9" s="332" t="s">
        <v>48</v>
      </c>
      <c r="G9" s="321">
        <v>0</v>
      </c>
      <c r="H9" s="321"/>
      <c r="I9" s="321"/>
      <c r="J9" s="321"/>
      <c r="K9" s="321"/>
      <c r="L9" s="321"/>
      <c r="M9" s="321"/>
      <c r="N9" s="321"/>
      <c r="O9" s="321"/>
      <c r="P9" s="321"/>
      <c r="Q9" s="321"/>
      <c r="R9" s="321"/>
      <c r="S9" s="330"/>
      <c r="V9" s="325"/>
      <c r="W9" s="324"/>
    </row>
    <row r="10" spans="2:23" s="299" customFormat="1">
      <c r="B10" s="366"/>
      <c r="C10" s="322">
        <f>E10-E10*0.196</f>
        <v>81043.199999999997</v>
      </c>
      <c r="D10" s="333">
        <f>E10-C10</f>
        <v>19756.800000000003</v>
      </c>
      <c r="E10" s="321">
        <f>SUM(H10:S10)</f>
        <v>100800</v>
      </c>
      <c r="F10" s="332" t="s">
        <v>65</v>
      </c>
      <c r="G10" s="331"/>
      <c r="H10" s="321">
        <f>17280</f>
        <v>17280</v>
      </c>
      <c r="I10" s="321">
        <f>16000</f>
        <v>16000</v>
      </c>
      <c r="J10" s="321">
        <f>6400</f>
        <v>6400</v>
      </c>
      <c r="K10" s="321">
        <f>5120</f>
        <v>5120</v>
      </c>
      <c r="L10" s="321">
        <f>1600</f>
        <v>1600</v>
      </c>
      <c r="M10" s="321">
        <v>1600</v>
      </c>
      <c r="N10" s="321">
        <f>1600</f>
        <v>1600</v>
      </c>
      <c r="O10" s="321">
        <f>3200</f>
        <v>3200</v>
      </c>
      <c r="P10" s="321">
        <f>8000</f>
        <v>8000</v>
      </c>
      <c r="Q10" s="321">
        <f>12160</f>
        <v>12160</v>
      </c>
      <c r="R10" s="321">
        <f>12800</f>
        <v>12800</v>
      </c>
      <c r="S10" s="330">
        <f>15040</f>
        <v>15040</v>
      </c>
      <c r="T10" s="325"/>
      <c r="V10" s="325"/>
      <c r="W10" s="324"/>
    </row>
    <row r="11" spans="2:23" s="311" customFormat="1" ht="16.2" thickBot="1">
      <c r="B11" s="367"/>
      <c r="C11" s="309">
        <f>SUM(C10:C10)</f>
        <v>81043.199999999997</v>
      </c>
      <c r="D11" s="308">
        <f>SUM(D10:D10)</f>
        <v>19756.800000000003</v>
      </c>
      <c r="E11" s="308">
        <f>SUM(E10:E10)</f>
        <v>100800</v>
      </c>
      <c r="F11" s="308" t="s">
        <v>49</v>
      </c>
      <c r="G11" s="308">
        <f>SUM(G6:G9)</f>
        <v>18000</v>
      </c>
      <c r="H11" s="308">
        <f t="shared" ref="H11:S11" si="0">SUM(H6:H10)</f>
        <v>17280</v>
      </c>
      <c r="I11" s="308">
        <f t="shared" si="0"/>
        <v>16000</v>
      </c>
      <c r="J11" s="308">
        <f t="shared" si="0"/>
        <v>6400</v>
      </c>
      <c r="K11" s="308">
        <f t="shared" si="0"/>
        <v>5120</v>
      </c>
      <c r="L11" s="308">
        <f t="shared" si="0"/>
        <v>1600</v>
      </c>
      <c r="M11" s="308">
        <f t="shared" si="0"/>
        <v>1600</v>
      </c>
      <c r="N11" s="308">
        <f t="shared" si="0"/>
        <v>1600</v>
      </c>
      <c r="O11" s="308">
        <f t="shared" si="0"/>
        <v>3200</v>
      </c>
      <c r="P11" s="308">
        <f t="shared" si="0"/>
        <v>8000</v>
      </c>
      <c r="Q11" s="308">
        <f t="shared" si="0"/>
        <v>12160</v>
      </c>
      <c r="R11" s="308">
        <f t="shared" si="0"/>
        <v>12800</v>
      </c>
      <c r="S11" s="307">
        <f t="shared" si="0"/>
        <v>15040</v>
      </c>
      <c r="T11" s="325"/>
      <c r="V11" s="325"/>
      <c r="W11" s="329"/>
    </row>
    <row r="12" spans="2:23" s="299" customFormat="1" ht="16.2" thickTop="1" thickBot="1">
      <c r="C12" s="310"/>
      <c r="D12" s="310"/>
      <c r="E12" s="310" t="s">
        <v>50</v>
      </c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V12" s="325"/>
      <c r="W12" s="324"/>
    </row>
    <row r="13" spans="2:23" s="299" customFormat="1" ht="16.5" customHeight="1" thickTop="1">
      <c r="B13" s="368" t="s">
        <v>83</v>
      </c>
      <c r="C13" s="328">
        <f>E13-E13*0.196</f>
        <v>12261</v>
      </c>
      <c r="D13" s="327">
        <f t="shared" ref="D13:D18" si="1">E13-C13</f>
        <v>2989</v>
      </c>
      <c r="E13" s="327">
        <f t="shared" ref="E13:E32" si="2">SUM(G13:S13)</f>
        <v>15250</v>
      </c>
      <c r="F13" s="327" t="s">
        <v>51</v>
      </c>
      <c r="G13" s="327">
        <v>15250</v>
      </c>
      <c r="H13" s="327">
        <v>0</v>
      </c>
      <c r="I13" s="327">
        <v>0</v>
      </c>
      <c r="J13" s="327">
        <v>0</v>
      </c>
      <c r="K13" s="327">
        <v>0</v>
      </c>
      <c r="L13" s="327">
        <v>0</v>
      </c>
      <c r="M13" s="327">
        <v>0</v>
      </c>
      <c r="N13" s="327">
        <v>0</v>
      </c>
      <c r="O13" s="327">
        <v>0</v>
      </c>
      <c r="P13" s="327">
        <v>0</v>
      </c>
      <c r="Q13" s="327">
        <v>0</v>
      </c>
      <c r="R13" s="327">
        <v>0</v>
      </c>
      <c r="S13" s="326">
        <v>0</v>
      </c>
      <c r="V13" s="325"/>
      <c r="W13" s="324"/>
    </row>
    <row r="14" spans="2:23" s="299" customFormat="1">
      <c r="B14" s="369"/>
      <c r="C14" s="322">
        <f>E14-E14*0.055</f>
        <v>57153.599999999999</v>
      </c>
      <c r="D14" s="319">
        <f t="shared" si="1"/>
        <v>3326.4000000000015</v>
      </c>
      <c r="E14" s="319">
        <f t="shared" si="2"/>
        <v>60480</v>
      </c>
      <c r="F14" s="319" t="s">
        <v>191</v>
      </c>
      <c r="G14" s="319">
        <v>0</v>
      </c>
      <c r="H14" s="319">
        <f>H10*(1-0.4)</f>
        <v>10368</v>
      </c>
      <c r="I14" s="319">
        <f t="shared" ref="I14:S14" si="3">I10*(1-0.4)</f>
        <v>9600</v>
      </c>
      <c r="J14" s="319">
        <f t="shared" si="3"/>
        <v>3840</v>
      </c>
      <c r="K14" s="319">
        <f t="shared" si="3"/>
        <v>3072</v>
      </c>
      <c r="L14" s="319">
        <f t="shared" si="3"/>
        <v>960</v>
      </c>
      <c r="M14" s="319">
        <f t="shared" si="3"/>
        <v>960</v>
      </c>
      <c r="N14" s="319">
        <f t="shared" si="3"/>
        <v>960</v>
      </c>
      <c r="O14" s="319">
        <f t="shared" si="3"/>
        <v>1920</v>
      </c>
      <c r="P14" s="319">
        <f t="shared" si="3"/>
        <v>4800</v>
      </c>
      <c r="Q14" s="319">
        <f t="shared" si="3"/>
        <v>7296</v>
      </c>
      <c r="R14" s="319">
        <f t="shared" si="3"/>
        <v>7680</v>
      </c>
      <c r="S14" s="319">
        <f t="shared" si="3"/>
        <v>9024</v>
      </c>
      <c r="V14" s="325"/>
      <c r="W14" s="324"/>
    </row>
    <row r="15" spans="2:23" s="299" customFormat="1">
      <c r="B15" s="369"/>
      <c r="C15" s="322">
        <f>E15-E15*0.196</f>
        <v>405.21600000000001</v>
      </c>
      <c r="D15" s="319">
        <f t="shared" si="1"/>
        <v>98.783999999999992</v>
      </c>
      <c r="E15" s="319">
        <f t="shared" si="2"/>
        <v>504</v>
      </c>
      <c r="F15" s="321" t="s">
        <v>231</v>
      </c>
      <c r="G15" s="247">
        <v>0</v>
      </c>
      <c r="H15" s="319">
        <f>42</f>
        <v>42</v>
      </c>
      <c r="I15" s="319">
        <v>42</v>
      </c>
      <c r="J15" s="319">
        <v>42</v>
      </c>
      <c r="K15" s="319">
        <v>42</v>
      </c>
      <c r="L15" s="319">
        <v>42</v>
      </c>
      <c r="M15" s="319">
        <v>42</v>
      </c>
      <c r="N15" s="319">
        <v>42</v>
      </c>
      <c r="O15" s="319">
        <v>42</v>
      </c>
      <c r="P15" s="319">
        <v>42</v>
      </c>
      <c r="Q15" s="319">
        <v>42</v>
      </c>
      <c r="R15" s="319">
        <v>42</v>
      </c>
      <c r="S15" s="319">
        <v>42</v>
      </c>
      <c r="V15" s="325"/>
      <c r="W15" s="324"/>
    </row>
    <row r="16" spans="2:23" s="299" customFormat="1">
      <c r="B16" s="369"/>
      <c r="C16" s="322">
        <f>E16-E16*0.196</f>
        <v>405.21600000000001</v>
      </c>
      <c r="D16" s="319">
        <f t="shared" si="1"/>
        <v>98.783999999999992</v>
      </c>
      <c r="E16" s="319">
        <f t="shared" si="2"/>
        <v>504</v>
      </c>
      <c r="F16" s="321" t="s">
        <v>232</v>
      </c>
      <c r="G16" s="247"/>
      <c r="H16" s="319">
        <v>42</v>
      </c>
      <c r="I16" s="319">
        <v>42</v>
      </c>
      <c r="J16" s="319">
        <v>42</v>
      </c>
      <c r="K16" s="319">
        <v>42</v>
      </c>
      <c r="L16" s="319">
        <v>42</v>
      </c>
      <c r="M16" s="319">
        <v>42</v>
      </c>
      <c r="N16" s="319">
        <v>42</v>
      </c>
      <c r="O16" s="319">
        <v>42</v>
      </c>
      <c r="P16" s="319">
        <v>42</v>
      </c>
      <c r="Q16" s="319">
        <v>42</v>
      </c>
      <c r="R16" s="319">
        <v>42</v>
      </c>
      <c r="S16" s="319">
        <v>42</v>
      </c>
    </row>
    <row r="17" spans="2:19" s="299" customFormat="1">
      <c r="B17" s="369"/>
      <c r="C17" s="322">
        <f>E17-E17*0.196</f>
        <v>241.2</v>
      </c>
      <c r="D17" s="319">
        <f t="shared" si="1"/>
        <v>58.800000000000011</v>
      </c>
      <c r="E17" s="319">
        <f t="shared" si="2"/>
        <v>300</v>
      </c>
      <c r="F17" s="321" t="s">
        <v>256</v>
      </c>
      <c r="G17" s="247"/>
      <c r="H17" s="319">
        <f>25</f>
        <v>25</v>
      </c>
      <c r="I17" s="319">
        <f>25</f>
        <v>25</v>
      </c>
      <c r="J17" s="319">
        <f>25</f>
        <v>25</v>
      </c>
      <c r="K17" s="319">
        <f>25</f>
        <v>25</v>
      </c>
      <c r="L17" s="319">
        <f>25</f>
        <v>25</v>
      </c>
      <c r="M17" s="319">
        <f>25</f>
        <v>25</v>
      </c>
      <c r="N17" s="319">
        <f>25</f>
        <v>25</v>
      </c>
      <c r="O17" s="319">
        <f>25</f>
        <v>25</v>
      </c>
      <c r="P17" s="319">
        <f>25</f>
        <v>25</v>
      </c>
      <c r="Q17" s="319">
        <f>25</f>
        <v>25</v>
      </c>
      <c r="R17" s="319">
        <f>25</f>
        <v>25</v>
      </c>
      <c r="S17" s="319">
        <f>25</f>
        <v>25</v>
      </c>
    </row>
    <row r="18" spans="2:19" s="299" customFormat="1">
      <c r="B18" s="369"/>
      <c r="C18" s="322">
        <f>E18-E18*0.196</f>
        <v>964.8</v>
      </c>
      <c r="D18" s="319">
        <f t="shared" si="1"/>
        <v>235.20000000000005</v>
      </c>
      <c r="E18" s="319">
        <f t="shared" si="2"/>
        <v>1200</v>
      </c>
      <c r="F18" s="321" t="s">
        <v>52</v>
      </c>
      <c r="G18" s="247"/>
      <c r="H18" s="319">
        <v>100</v>
      </c>
      <c r="I18" s="319">
        <v>100</v>
      </c>
      <c r="J18" s="319">
        <v>100</v>
      </c>
      <c r="K18" s="319">
        <v>100</v>
      </c>
      <c r="L18" s="319">
        <v>100</v>
      </c>
      <c r="M18" s="319">
        <v>100</v>
      </c>
      <c r="N18" s="319">
        <v>100</v>
      </c>
      <c r="O18" s="319">
        <v>100</v>
      </c>
      <c r="P18" s="319">
        <v>100</v>
      </c>
      <c r="Q18" s="319">
        <v>100</v>
      </c>
      <c r="R18" s="319">
        <v>100</v>
      </c>
      <c r="S18" s="319">
        <v>100</v>
      </c>
    </row>
    <row r="19" spans="2:19" s="299" customFormat="1">
      <c r="B19" s="369"/>
      <c r="C19" s="322">
        <f>E19</f>
        <v>1200</v>
      </c>
      <c r="D19" s="323"/>
      <c r="E19" s="319">
        <f t="shared" si="2"/>
        <v>1200</v>
      </c>
      <c r="F19" s="321" t="s">
        <v>253</v>
      </c>
      <c r="G19" s="247"/>
      <c r="H19" s="319">
        <v>100</v>
      </c>
      <c r="I19" s="319">
        <v>100</v>
      </c>
      <c r="J19" s="319">
        <v>100</v>
      </c>
      <c r="K19" s="319">
        <v>100</v>
      </c>
      <c r="L19" s="319">
        <v>100</v>
      </c>
      <c r="M19" s="319">
        <v>100</v>
      </c>
      <c r="N19" s="319">
        <v>100</v>
      </c>
      <c r="O19" s="319">
        <v>100</v>
      </c>
      <c r="P19" s="319">
        <v>100</v>
      </c>
      <c r="Q19" s="319">
        <v>100</v>
      </c>
      <c r="R19" s="319">
        <v>100</v>
      </c>
      <c r="S19" s="319">
        <v>100</v>
      </c>
    </row>
    <row r="20" spans="2:19" s="299" customFormat="1">
      <c r="B20" s="369"/>
      <c r="C20" s="322">
        <f>E20-E20*0.196</f>
        <v>2894.4</v>
      </c>
      <c r="D20" s="319">
        <f>E20-C20</f>
        <v>705.59999999999991</v>
      </c>
      <c r="E20" s="319">
        <f t="shared" si="2"/>
        <v>3600</v>
      </c>
      <c r="F20" s="321" t="s">
        <v>254</v>
      </c>
      <c r="G20" s="247"/>
      <c r="H20" s="319">
        <v>300</v>
      </c>
      <c r="I20" s="319">
        <v>300</v>
      </c>
      <c r="J20" s="319">
        <v>300</v>
      </c>
      <c r="K20" s="319">
        <v>300</v>
      </c>
      <c r="L20" s="319">
        <v>300</v>
      </c>
      <c r="M20" s="319">
        <v>300</v>
      </c>
      <c r="N20" s="319">
        <v>300</v>
      </c>
      <c r="O20" s="319">
        <v>300</v>
      </c>
      <c r="P20" s="319">
        <v>300</v>
      </c>
      <c r="Q20" s="319">
        <v>300</v>
      </c>
      <c r="R20" s="319">
        <v>300</v>
      </c>
      <c r="S20" s="319">
        <v>300</v>
      </c>
    </row>
    <row r="21" spans="2:19" s="299" customFormat="1">
      <c r="B21" s="369"/>
      <c r="C21" s="322">
        <f>E21-E21*0.196</f>
        <v>0</v>
      </c>
      <c r="D21" s="319">
        <f>E21-C21</f>
        <v>0</v>
      </c>
      <c r="E21" s="319">
        <f t="shared" si="2"/>
        <v>0</v>
      </c>
      <c r="F21" s="321" t="s">
        <v>66</v>
      </c>
      <c r="G21" s="247"/>
      <c r="H21" s="319">
        <v>0</v>
      </c>
      <c r="I21" s="319">
        <v>0</v>
      </c>
      <c r="J21" s="319">
        <v>0</v>
      </c>
      <c r="K21" s="319">
        <v>0</v>
      </c>
      <c r="L21" s="319">
        <v>0</v>
      </c>
      <c r="M21" s="319">
        <v>0</v>
      </c>
      <c r="N21" s="319">
        <v>0</v>
      </c>
      <c r="O21" s="319">
        <v>0</v>
      </c>
      <c r="P21" s="319">
        <v>0</v>
      </c>
      <c r="Q21" s="319">
        <v>0</v>
      </c>
      <c r="R21" s="319">
        <v>0</v>
      </c>
      <c r="S21" s="318">
        <v>0</v>
      </c>
    </row>
    <row r="22" spans="2:19" s="299" customFormat="1">
      <c r="B22" s="369"/>
      <c r="C22" s="322">
        <f>E22-E22*0.196</f>
        <v>1601.568</v>
      </c>
      <c r="D22" s="319">
        <f>E22-C22</f>
        <v>390.43200000000002</v>
      </c>
      <c r="E22" s="319">
        <f t="shared" si="2"/>
        <v>1992</v>
      </c>
      <c r="F22" s="321" t="s">
        <v>53</v>
      </c>
      <c r="G22" s="247"/>
      <c r="H22" s="319">
        <v>166</v>
      </c>
      <c r="I22" s="319">
        <v>166</v>
      </c>
      <c r="J22" s="319">
        <v>166</v>
      </c>
      <c r="K22" s="319">
        <v>166</v>
      </c>
      <c r="L22" s="319">
        <v>166</v>
      </c>
      <c r="M22" s="319">
        <v>166</v>
      </c>
      <c r="N22" s="319">
        <v>166</v>
      </c>
      <c r="O22" s="319">
        <v>166</v>
      </c>
      <c r="P22" s="319">
        <v>166</v>
      </c>
      <c r="Q22" s="319">
        <v>166</v>
      </c>
      <c r="R22" s="319">
        <v>166</v>
      </c>
      <c r="S22" s="319">
        <v>166</v>
      </c>
    </row>
    <row r="23" spans="2:19" s="299" customFormat="1">
      <c r="B23" s="369"/>
      <c r="C23" s="322">
        <f>E23-E23*0.196</f>
        <v>405.21600000000001</v>
      </c>
      <c r="D23" s="319">
        <f>E23-C23</f>
        <v>98.783999999999992</v>
      </c>
      <c r="E23" s="319">
        <f t="shared" si="2"/>
        <v>504</v>
      </c>
      <c r="F23" s="321" t="s">
        <v>255</v>
      </c>
      <c r="G23" s="247"/>
      <c r="H23" s="319">
        <v>42</v>
      </c>
      <c r="I23" s="319">
        <v>42</v>
      </c>
      <c r="J23" s="319">
        <v>42</v>
      </c>
      <c r="K23" s="319">
        <v>42</v>
      </c>
      <c r="L23" s="319">
        <v>42</v>
      </c>
      <c r="M23" s="319">
        <v>42</v>
      </c>
      <c r="N23" s="319">
        <v>42</v>
      </c>
      <c r="O23" s="319">
        <v>42</v>
      </c>
      <c r="P23" s="319">
        <v>42</v>
      </c>
      <c r="Q23" s="319">
        <v>42</v>
      </c>
      <c r="R23" s="319">
        <v>42</v>
      </c>
      <c r="S23" s="318">
        <v>42</v>
      </c>
    </row>
    <row r="24" spans="2:19" s="299" customFormat="1">
      <c r="B24" s="369"/>
      <c r="C24" s="322">
        <f>E24-E24*0.196</f>
        <v>405.21600000000001</v>
      </c>
      <c r="D24" s="319">
        <f>E24-C24</f>
        <v>98.783999999999992</v>
      </c>
      <c r="E24" s="319">
        <f t="shared" si="2"/>
        <v>504</v>
      </c>
      <c r="F24" s="321" t="s">
        <v>67</v>
      </c>
      <c r="G24" s="247"/>
      <c r="H24" s="319">
        <v>42</v>
      </c>
      <c r="I24" s="319">
        <v>42</v>
      </c>
      <c r="J24" s="319">
        <v>42</v>
      </c>
      <c r="K24" s="319">
        <v>42</v>
      </c>
      <c r="L24" s="319">
        <v>42</v>
      </c>
      <c r="M24" s="319">
        <v>42</v>
      </c>
      <c r="N24" s="319">
        <v>42</v>
      </c>
      <c r="O24" s="319">
        <v>42</v>
      </c>
      <c r="P24" s="319">
        <v>42</v>
      </c>
      <c r="Q24" s="319">
        <v>42</v>
      </c>
      <c r="R24" s="319">
        <v>42</v>
      </c>
      <c r="S24" s="319">
        <v>42</v>
      </c>
    </row>
    <row r="25" spans="2:19" s="299" customFormat="1">
      <c r="B25" s="369"/>
      <c r="C25" s="322">
        <f t="shared" ref="C25:C32" si="4">E25</f>
        <v>0</v>
      </c>
      <c r="D25" s="320"/>
      <c r="E25" s="319">
        <f t="shared" si="2"/>
        <v>0</v>
      </c>
      <c r="F25" s="321" t="s">
        <v>54</v>
      </c>
      <c r="G25" s="247"/>
      <c r="H25" s="319">
        <v>0</v>
      </c>
      <c r="I25" s="319">
        <v>0</v>
      </c>
      <c r="J25" s="319">
        <v>0</v>
      </c>
      <c r="K25" s="319">
        <v>0</v>
      </c>
      <c r="L25" s="319">
        <v>0</v>
      </c>
      <c r="M25" s="319">
        <v>0</v>
      </c>
      <c r="N25" s="319">
        <v>0</v>
      </c>
      <c r="O25" s="319">
        <v>0</v>
      </c>
      <c r="P25" s="319">
        <v>0</v>
      </c>
      <c r="Q25" s="319">
        <v>0</v>
      </c>
      <c r="R25" s="319">
        <v>0</v>
      </c>
      <c r="S25" s="318">
        <v>0</v>
      </c>
    </row>
    <row r="26" spans="2:19" s="299" customFormat="1">
      <c r="B26" s="369"/>
      <c r="C26" s="322">
        <f t="shared" si="4"/>
        <v>4704</v>
      </c>
      <c r="D26" s="320"/>
      <c r="E26" s="319">
        <f t="shared" si="2"/>
        <v>4704</v>
      </c>
      <c r="F26" s="321" t="s">
        <v>257</v>
      </c>
      <c r="G26" s="247"/>
      <c r="H26" s="319">
        <v>392</v>
      </c>
      <c r="I26" s="319">
        <v>392</v>
      </c>
      <c r="J26" s="319">
        <v>392</v>
      </c>
      <c r="K26" s="319">
        <v>392</v>
      </c>
      <c r="L26" s="319">
        <v>392</v>
      </c>
      <c r="M26" s="319">
        <v>392</v>
      </c>
      <c r="N26" s="319">
        <v>392</v>
      </c>
      <c r="O26" s="319">
        <v>392</v>
      </c>
      <c r="P26" s="319">
        <v>392</v>
      </c>
      <c r="Q26" s="319">
        <v>392</v>
      </c>
      <c r="R26" s="319">
        <v>392</v>
      </c>
      <c r="S26" s="319">
        <v>392</v>
      </c>
    </row>
    <row r="27" spans="2:19" s="299" customFormat="1">
      <c r="B27" s="369"/>
      <c r="C27" s="322">
        <f t="shared" si="4"/>
        <v>0</v>
      </c>
      <c r="D27" s="320"/>
      <c r="E27" s="319">
        <f t="shared" si="2"/>
        <v>0</v>
      </c>
      <c r="F27" s="321" t="s">
        <v>100</v>
      </c>
      <c r="G27" s="320"/>
      <c r="H27" s="319">
        <v>0</v>
      </c>
      <c r="I27" s="319">
        <v>0</v>
      </c>
      <c r="J27" s="319">
        <v>0</v>
      </c>
      <c r="K27" s="319">
        <v>0</v>
      </c>
      <c r="L27" s="319">
        <v>0</v>
      </c>
      <c r="M27" s="319">
        <v>0</v>
      </c>
      <c r="N27" s="319">
        <v>0</v>
      </c>
      <c r="O27" s="319">
        <v>0</v>
      </c>
      <c r="P27" s="319">
        <v>0</v>
      </c>
      <c r="Q27" s="319">
        <v>0</v>
      </c>
      <c r="R27" s="319">
        <v>0</v>
      </c>
      <c r="S27" s="318">
        <v>0</v>
      </c>
    </row>
    <row r="28" spans="2:19" s="299" customFormat="1">
      <c r="B28" s="369"/>
      <c r="C28" s="322">
        <f t="shared" si="4"/>
        <v>0</v>
      </c>
      <c r="D28" s="320"/>
      <c r="E28" s="319">
        <f t="shared" si="2"/>
        <v>0</v>
      </c>
      <c r="F28" s="321" t="s">
        <v>55</v>
      </c>
      <c r="G28" s="320"/>
      <c r="H28" s="319">
        <v>0</v>
      </c>
      <c r="I28" s="319">
        <v>0</v>
      </c>
      <c r="J28" s="319">
        <v>0</v>
      </c>
      <c r="K28" s="319">
        <v>0</v>
      </c>
      <c r="L28" s="319">
        <v>0</v>
      </c>
      <c r="M28" s="319">
        <v>0</v>
      </c>
      <c r="N28" s="319">
        <v>0</v>
      </c>
      <c r="O28" s="319">
        <v>0</v>
      </c>
      <c r="P28" s="319">
        <v>0</v>
      </c>
      <c r="Q28" s="319">
        <v>0</v>
      </c>
      <c r="R28" s="319">
        <v>0</v>
      </c>
      <c r="S28" s="318">
        <v>0</v>
      </c>
    </row>
    <row r="29" spans="2:19" s="299" customFormat="1">
      <c r="B29" s="369"/>
      <c r="C29" s="322">
        <f t="shared" si="4"/>
        <v>0</v>
      </c>
      <c r="D29" s="320"/>
      <c r="E29" s="319">
        <f t="shared" si="2"/>
        <v>0</v>
      </c>
      <c r="F29" s="321" t="s">
        <v>56</v>
      </c>
      <c r="G29" s="320"/>
      <c r="H29" s="319">
        <v>0</v>
      </c>
      <c r="I29" s="319">
        <v>0</v>
      </c>
      <c r="J29" s="319">
        <v>0</v>
      </c>
      <c r="K29" s="319">
        <v>0</v>
      </c>
      <c r="L29" s="319">
        <v>0</v>
      </c>
      <c r="M29" s="319">
        <v>0</v>
      </c>
      <c r="N29" s="319">
        <v>0</v>
      </c>
      <c r="O29" s="319">
        <v>0</v>
      </c>
      <c r="P29" s="319">
        <v>0</v>
      </c>
      <c r="Q29" s="319">
        <v>0</v>
      </c>
      <c r="R29" s="319">
        <v>0</v>
      </c>
      <c r="S29" s="318">
        <v>0</v>
      </c>
    </row>
    <row r="30" spans="2:19" s="299" customFormat="1">
      <c r="B30" s="369"/>
      <c r="C30" s="322">
        <f t="shared" si="4"/>
        <v>0</v>
      </c>
      <c r="D30" s="320"/>
      <c r="E30" s="319">
        <f t="shared" si="2"/>
        <v>0</v>
      </c>
      <c r="F30" s="321" t="s">
        <v>57</v>
      </c>
      <c r="G30" s="320"/>
      <c r="H30" s="319">
        <v>0</v>
      </c>
      <c r="I30" s="319">
        <v>0</v>
      </c>
      <c r="J30" s="319">
        <v>0</v>
      </c>
      <c r="K30" s="319">
        <v>0</v>
      </c>
      <c r="L30" s="319">
        <v>0</v>
      </c>
      <c r="M30" s="319">
        <v>0</v>
      </c>
      <c r="N30" s="319">
        <v>0</v>
      </c>
      <c r="O30" s="319">
        <v>0</v>
      </c>
      <c r="P30" s="319">
        <v>0</v>
      </c>
      <c r="Q30" s="319">
        <v>0</v>
      </c>
      <c r="R30" s="319">
        <v>0</v>
      </c>
      <c r="S30" s="318">
        <v>0</v>
      </c>
    </row>
    <row r="31" spans="2:19" s="299" customFormat="1">
      <c r="B31" s="369"/>
      <c r="C31" s="322">
        <f t="shared" si="4"/>
        <v>4176</v>
      </c>
      <c r="D31" s="320"/>
      <c r="E31" s="319">
        <f t="shared" si="2"/>
        <v>4176</v>
      </c>
      <c r="F31" s="321" t="s">
        <v>69</v>
      </c>
      <c r="G31" s="320"/>
      <c r="H31" s="319">
        <v>348</v>
      </c>
      <c r="I31" s="319">
        <v>348</v>
      </c>
      <c r="J31" s="319">
        <v>348</v>
      </c>
      <c r="K31" s="319">
        <v>348</v>
      </c>
      <c r="L31" s="319">
        <v>348</v>
      </c>
      <c r="M31" s="319">
        <v>348</v>
      </c>
      <c r="N31" s="319">
        <v>348</v>
      </c>
      <c r="O31" s="319">
        <v>348</v>
      </c>
      <c r="P31" s="319">
        <v>348</v>
      </c>
      <c r="Q31" s="319">
        <v>348</v>
      </c>
      <c r="R31" s="319">
        <v>348</v>
      </c>
      <c r="S31" s="319">
        <v>348</v>
      </c>
    </row>
    <row r="32" spans="2:19" s="299" customFormat="1">
      <c r="B32" s="369"/>
      <c r="C32" s="322">
        <f t="shared" si="4"/>
        <v>0</v>
      </c>
      <c r="D32" s="320"/>
      <c r="E32" s="319">
        <f t="shared" si="2"/>
        <v>0</v>
      </c>
      <c r="F32" s="321" t="s">
        <v>58</v>
      </c>
      <c r="G32" s="320"/>
      <c r="H32" s="319">
        <f t="shared" ref="H32:S32" si="5">+(H38/1.055*0.55)-(H39/1.055*0.55)-(H40/1.2*0.2)</f>
        <v>0</v>
      </c>
      <c r="I32" s="319">
        <f t="shared" si="5"/>
        <v>0</v>
      </c>
      <c r="J32" s="319">
        <f t="shared" si="5"/>
        <v>0</v>
      </c>
      <c r="K32" s="319">
        <f t="shared" si="5"/>
        <v>0</v>
      </c>
      <c r="L32" s="319">
        <f t="shared" si="5"/>
        <v>0</v>
      </c>
      <c r="M32" s="319">
        <f t="shared" si="5"/>
        <v>0</v>
      </c>
      <c r="N32" s="319">
        <f t="shared" si="5"/>
        <v>0</v>
      </c>
      <c r="O32" s="319">
        <f t="shared" si="5"/>
        <v>0</v>
      </c>
      <c r="P32" s="319">
        <f t="shared" si="5"/>
        <v>0</v>
      </c>
      <c r="Q32" s="319">
        <f t="shared" si="5"/>
        <v>0</v>
      </c>
      <c r="R32" s="319">
        <f t="shared" si="5"/>
        <v>0</v>
      </c>
      <c r="S32" s="319">
        <f t="shared" si="5"/>
        <v>0</v>
      </c>
    </row>
    <row r="33" spans="2:20" s="311" customFormat="1" ht="16.2" thickBot="1">
      <c r="B33" s="370"/>
      <c r="C33" s="309">
        <f>SUM(C13:C32)</f>
        <v>86817.432000000001</v>
      </c>
      <c r="D33" s="308">
        <f>SUM(D13:D24)</f>
        <v>8100.5680000000002</v>
      </c>
      <c r="E33" s="308">
        <f>SUM(E13:E32)</f>
        <v>94918</v>
      </c>
      <c r="F33" s="308" t="s">
        <v>59</v>
      </c>
      <c r="G33" s="308">
        <f t="shared" ref="G33:S33" si="6">SUM(G13:G32)</f>
        <v>15250</v>
      </c>
      <c r="H33" s="308">
        <f t="shared" si="6"/>
        <v>11967</v>
      </c>
      <c r="I33" s="308">
        <f t="shared" si="6"/>
        <v>11199</v>
      </c>
      <c r="J33" s="308">
        <f t="shared" si="6"/>
        <v>5439</v>
      </c>
      <c r="K33" s="308">
        <f t="shared" si="6"/>
        <v>4671</v>
      </c>
      <c r="L33" s="308">
        <f t="shared" si="6"/>
        <v>2559</v>
      </c>
      <c r="M33" s="308">
        <f t="shared" si="6"/>
        <v>2559</v>
      </c>
      <c r="N33" s="308">
        <f t="shared" si="6"/>
        <v>2559</v>
      </c>
      <c r="O33" s="308">
        <f t="shared" si="6"/>
        <v>3519</v>
      </c>
      <c r="P33" s="308">
        <f t="shared" si="6"/>
        <v>6399</v>
      </c>
      <c r="Q33" s="308">
        <f t="shared" si="6"/>
        <v>8895</v>
      </c>
      <c r="R33" s="308">
        <f t="shared" si="6"/>
        <v>9279</v>
      </c>
      <c r="S33" s="307">
        <f t="shared" si="6"/>
        <v>10623</v>
      </c>
      <c r="T33" s="299"/>
    </row>
    <row r="34" spans="2:20" s="317" customFormat="1" ht="16.8" thickTop="1" thickBot="1">
      <c r="C34" s="310"/>
      <c r="D34" s="310" t="s">
        <v>50</v>
      </c>
      <c r="E34" s="310"/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/>
      <c r="S34" s="310"/>
    </row>
    <row r="35" spans="2:20" s="311" customFormat="1" ht="16.2" thickTop="1">
      <c r="C35" s="316"/>
      <c r="D35" s="316" t="s">
        <v>50</v>
      </c>
      <c r="E35" s="316"/>
      <c r="F35" s="315" t="s">
        <v>60</v>
      </c>
      <c r="G35" s="314"/>
      <c r="H35" s="313">
        <f t="shared" ref="H35:S35" si="7">H11-H33</f>
        <v>5313</v>
      </c>
      <c r="I35" s="313">
        <f t="shared" si="7"/>
        <v>4801</v>
      </c>
      <c r="J35" s="313">
        <f t="shared" si="7"/>
        <v>961</v>
      </c>
      <c r="K35" s="313">
        <f t="shared" si="7"/>
        <v>449</v>
      </c>
      <c r="L35" s="313">
        <f t="shared" si="7"/>
        <v>-959</v>
      </c>
      <c r="M35" s="313">
        <f t="shared" si="7"/>
        <v>-959</v>
      </c>
      <c r="N35" s="313">
        <f t="shared" si="7"/>
        <v>-959</v>
      </c>
      <c r="O35" s="313">
        <f t="shared" si="7"/>
        <v>-319</v>
      </c>
      <c r="P35" s="313">
        <f t="shared" si="7"/>
        <v>1601</v>
      </c>
      <c r="Q35" s="313">
        <f t="shared" si="7"/>
        <v>3265</v>
      </c>
      <c r="R35" s="313">
        <f t="shared" si="7"/>
        <v>3521</v>
      </c>
      <c r="S35" s="312">
        <f t="shared" si="7"/>
        <v>4417</v>
      </c>
    </row>
    <row r="36" spans="2:20" s="305" customFormat="1" ht="15.6" thickBot="1">
      <c r="C36" s="310"/>
      <c r="D36" s="310"/>
      <c r="E36" s="310"/>
      <c r="F36" s="309" t="s">
        <v>68</v>
      </c>
      <c r="G36" s="308">
        <f>G11-G33</f>
        <v>2750</v>
      </c>
      <c r="H36" s="308">
        <f t="shared" ref="H36:S36" si="8">G36+H35</f>
        <v>8063</v>
      </c>
      <c r="I36" s="308">
        <f t="shared" si="8"/>
        <v>12864</v>
      </c>
      <c r="J36" s="308">
        <f t="shared" si="8"/>
        <v>13825</v>
      </c>
      <c r="K36" s="308">
        <f t="shared" si="8"/>
        <v>14274</v>
      </c>
      <c r="L36" s="308">
        <f t="shared" si="8"/>
        <v>13315</v>
      </c>
      <c r="M36" s="308">
        <f t="shared" si="8"/>
        <v>12356</v>
      </c>
      <c r="N36" s="308">
        <f t="shared" si="8"/>
        <v>11397</v>
      </c>
      <c r="O36" s="308">
        <f t="shared" si="8"/>
        <v>11078</v>
      </c>
      <c r="P36" s="308">
        <f t="shared" si="8"/>
        <v>12679</v>
      </c>
      <c r="Q36" s="308">
        <f t="shared" si="8"/>
        <v>15944</v>
      </c>
      <c r="R36" s="308">
        <f t="shared" si="8"/>
        <v>19465</v>
      </c>
      <c r="S36" s="307">
        <f t="shared" si="8"/>
        <v>23882</v>
      </c>
    </row>
    <row r="37" spans="2:20" s="305" customFormat="1" ht="16.2" thickTop="1"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  <c r="S37" s="306"/>
    </row>
    <row r="38" spans="2:20" s="305" customFormat="1" ht="15.6"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</row>
    <row r="39" spans="2:20" s="305" customFormat="1" ht="15.6"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</row>
    <row r="40" spans="2:20" s="305" customFormat="1" ht="15.6"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</row>
    <row r="41" spans="2:20" s="305" customFormat="1" ht="15.6"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</row>
    <row r="42" spans="2:20" s="305" customFormat="1" ht="15.6"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</row>
    <row r="43" spans="2:20" s="305" customFormat="1" ht="15.6"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</row>
    <row r="44" spans="2:20" s="305" customFormat="1" ht="15.6"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</row>
    <row r="45" spans="2:20" s="305" customFormat="1" ht="15.6"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  <c r="S45" s="306"/>
    </row>
    <row r="46" spans="2:20" s="305" customFormat="1" ht="15.6"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</row>
    <row r="47" spans="2:20" s="305" customFormat="1" ht="15.6">
      <c r="F47" s="306"/>
      <c r="G47" s="306"/>
      <c r="H47" s="306"/>
      <c r="I47" s="306"/>
      <c r="J47" s="306"/>
      <c r="K47" s="306"/>
      <c r="L47" s="306"/>
      <c r="M47" s="306"/>
      <c r="N47" s="306"/>
      <c r="O47" s="306"/>
      <c r="P47" s="306"/>
      <c r="Q47" s="306"/>
      <c r="R47" s="306"/>
      <c r="S47" s="306"/>
    </row>
    <row r="48" spans="2:20" s="305" customFormat="1" ht="15.6"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</row>
    <row r="49" spans="6:19" s="305" customFormat="1" ht="15.6"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</row>
    <row r="50" spans="6:19" s="305" customFormat="1" ht="15.6"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</row>
    <row r="51" spans="6:19" s="305" customFormat="1" ht="15.6"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</row>
    <row r="52" spans="6:19" s="305" customFormat="1" ht="15.6"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</row>
    <row r="53" spans="6:19" s="305" customFormat="1" ht="15.6"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</row>
    <row r="54" spans="6:19" s="305" customFormat="1" ht="15.6"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</row>
    <row r="55" spans="6:19" s="305" customFormat="1" ht="15.6"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</row>
    <row r="56" spans="6:19" s="305" customFormat="1" ht="15.6"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</row>
    <row r="57" spans="6:19" s="305" customFormat="1" ht="15.6"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</row>
    <row r="58" spans="6:19" s="305" customFormat="1" ht="15.6"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</row>
    <row r="59" spans="6:19" s="305" customFormat="1" ht="15.6"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</row>
    <row r="60" spans="6:19" s="305" customFormat="1" ht="15.6"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</row>
    <row r="61" spans="6:19" s="305" customFormat="1" ht="15.6"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</row>
    <row r="62" spans="6:19" s="305" customFormat="1" ht="15.6"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</row>
    <row r="63" spans="6:19" s="305" customFormat="1" ht="15.6"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</row>
    <row r="64" spans="6:19" s="305" customFormat="1" ht="15.6"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</row>
    <row r="65" spans="3:19" s="305" customFormat="1" ht="15.6"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</row>
    <row r="66" spans="3:19" s="305" customFormat="1" ht="15.6"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</row>
    <row r="67" spans="3:19" s="305" customFormat="1" ht="15.6"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</row>
    <row r="68" spans="3:19" s="305" customFormat="1" ht="15.6"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</row>
    <row r="69" spans="3:19" s="305" customFormat="1" ht="15.6"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</row>
    <row r="70" spans="3:19" s="305" customFormat="1" ht="15.6"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</row>
    <row r="71" spans="3:19" s="305" customFormat="1" ht="15.6"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</row>
    <row r="72" spans="3:19" s="305" customFormat="1" ht="15.6"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</row>
    <row r="73" spans="3:19" s="305" customFormat="1" ht="15.6"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</row>
    <row r="74" spans="3:19" s="305" customFormat="1" ht="15.6"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</row>
    <row r="75" spans="3:19" s="305" customFormat="1" ht="15.6"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</row>
    <row r="76" spans="3:19" s="305" customFormat="1" ht="15.6"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</row>
    <row r="77" spans="3:19" s="299" customFormat="1"/>
    <row r="78" spans="3:19" s="299" customFormat="1">
      <c r="E78" s="304"/>
      <c r="F78" s="303"/>
      <c r="G78" s="299" t="e">
        <v>#REF!</v>
      </c>
      <c r="H78" s="299" t="e">
        <v>#REF!</v>
      </c>
      <c r="I78" s="299" t="e">
        <v>#REF!</v>
      </c>
      <c r="J78" s="299" t="e">
        <v>#REF!</v>
      </c>
      <c r="K78" s="299" t="e">
        <v>#REF!</v>
      </c>
      <c r="L78" s="299" t="e">
        <v>#REF!</v>
      </c>
      <c r="M78" s="299" t="e">
        <v>#REF!</v>
      </c>
      <c r="N78" s="299" t="e">
        <v>#REF!</v>
      </c>
      <c r="O78" s="299" t="e">
        <v>#REF!</v>
      </c>
      <c r="P78" s="299" t="e">
        <v>#REF!</v>
      </c>
      <c r="Q78" s="299" t="e">
        <v>#REF!</v>
      </c>
      <c r="R78" s="299" t="e">
        <v>#REF!</v>
      </c>
    </row>
    <row r="79" spans="3:19" s="299" customFormat="1">
      <c r="C79" s="299">
        <v>-18109.339299031137</v>
      </c>
      <c r="E79" s="302"/>
      <c r="F79" s="301"/>
      <c r="G79" s="299" t="e">
        <v>#REF!</v>
      </c>
      <c r="H79" s="299" t="e">
        <v>#REF!</v>
      </c>
      <c r="I79" s="299" t="e">
        <v>#REF!</v>
      </c>
      <c r="J79" s="299" t="e">
        <v>#REF!</v>
      </c>
      <c r="K79" s="299" t="e">
        <v>#REF!</v>
      </c>
      <c r="L79" s="299" t="e">
        <v>#REF!</v>
      </c>
      <c r="M79" s="299" t="e">
        <v>#REF!</v>
      </c>
      <c r="N79" s="299" t="e">
        <v>#REF!</v>
      </c>
      <c r="O79" s="299" t="e">
        <v>#REF!</v>
      </c>
      <c r="P79" s="299" t="e">
        <v>#REF!</v>
      </c>
      <c r="Q79" s="299" t="e">
        <v>#REF!</v>
      </c>
      <c r="R79" s="299" t="e">
        <v>#REF!</v>
      </c>
    </row>
    <row r="80" spans="3:19" s="299" customFormat="1"/>
    <row r="81" spans="3:19" s="299" customFormat="1"/>
    <row r="82" spans="3:19" s="299" customFormat="1">
      <c r="E82" s="235"/>
      <c r="F82" s="235"/>
      <c r="G82" s="235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</row>
    <row r="83" spans="3:19">
      <c r="C83" s="299"/>
    </row>
    <row r="85" spans="3:19">
      <c r="C85" s="299"/>
      <c r="D85" s="299"/>
      <c r="E85" s="299">
        <v>0</v>
      </c>
      <c r="F85" s="235" t="s">
        <v>61</v>
      </c>
      <c r="H85" s="299">
        <v>0</v>
      </c>
      <c r="I85" s="299">
        <v>0</v>
      </c>
      <c r="J85" s="299">
        <v>0</v>
      </c>
      <c r="K85" s="299">
        <v>0</v>
      </c>
      <c r="L85" s="299">
        <v>0</v>
      </c>
      <c r="M85" s="299">
        <v>0</v>
      </c>
      <c r="N85" s="299">
        <v>0</v>
      </c>
      <c r="O85" s="299">
        <v>0</v>
      </c>
      <c r="P85" s="299">
        <v>0</v>
      </c>
      <c r="Q85" s="299">
        <v>0</v>
      </c>
      <c r="R85" s="299">
        <v>0</v>
      </c>
      <c r="S85" s="299"/>
    </row>
    <row r="86" spans="3:19">
      <c r="C86" s="300"/>
      <c r="F86" s="235" t="s">
        <v>62</v>
      </c>
      <c r="H86" s="299">
        <v>0</v>
      </c>
      <c r="I86" s="299">
        <v>0</v>
      </c>
      <c r="J86" s="299">
        <v>0</v>
      </c>
      <c r="K86" s="299">
        <v>0</v>
      </c>
      <c r="L86" s="299">
        <v>0</v>
      </c>
      <c r="M86" s="299">
        <v>0</v>
      </c>
      <c r="N86" s="299">
        <v>0</v>
      </c>
      <c r="O86" s="299">
        <v>0</v>
      </c>
      <c r="P86" s="299">
        <v>0</v>
      </c>
      <c r="Q86" s="299">
        <v>0</v>
      </c>
      <c r="R86" s="299">
        <v>0</v>
      </c>
      <c r="S86" s="299"/>
    </row>
    <row r="87" spans="3:19">
      <c r="F87" s="235" t="s">
        <v>63</v>
      </c>
      <c r="H87" s="299">
        <v>0</v>
      </c>
      <c r="I87" s="299">
        <v>0</v>
      </c>
      <c r="J87" s="299">
        <v>0</v>
      </c>
      <c r="K87" s="299">
        <v>0</v>
      </c>
      <c r="L87" s="299">
        <v>0</v>
      </c>
      <c r="M87" s="299">
        <v>0</v>
      </c>
      <c r="N87" s="299">
        <v>0</v>
      </c>
      <c r="O87" s="299">
        <v>0</v>
      </c>
      <c r="P87" s="299">
        <v>0</v>
      </c>
      <c r="Q87" s="299">
        <v>0</v>
      </c>
      <c r="R87" s="299">
        <v>0</v>
      </c>
      <c r="S87" s="299"/>
    </row>
    <row r="88" spans="3:19">
      <c r="F88" s="235" t="s">
        <v>64</v>
      </c>
      <c r="H88" s="235">
        <v>0</v>
      </c>
      <c r="I88" s="235">
        <v>0</v>
      </c>
      <c r="J88" s="299">
        <v>0</v>
      </c>
      <c r="K88" s="299">
        <v>0</v>
      </c>
      <c r="L88" s="299">
        <v>0</v>
      </c>
      <c r="M88" s="299">
        <v>0</v>
      </c>
      <c r="N88" s="299">
        <v>0</v>
      </c>
      <c r="O88" s="299">
        <v>0</v>
      </c>
      <c r="P88" s="299">
        <v>0</v>
      </c>
      <c r="Q88" s="299">
        <v>0</v>
      </c>
      <c r="R88" s="299">
        <v>0</v>
      </c>
      <c r="S88" s="299"/>
    </row>
  </sheetData>
  <mergeCells count="2">
    <mergeCell ref="B4:B11"/>
    <mergeCell ref="B13:B33"/>
  </mergeCells>
  <pageMargins left="0.78740157499999996" right="0.78740157499999996" top="0.984251969" bottom="0.984251969" header="0.4921259845" footer="0.492125984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B1:G42"/>
  <sheetViews>
    <sheetView topLeftCell="B38" workbookViewId="0">
      <selection activeCell="D38" sqref="D38"/>
    </sheetView>
  </sheetViews>
  <sheetFormatPr baseColWidth="10" defaultColWidth="11.44140625" defaultRowHeight="15"/>
  <cols>
    <col min="1" max="1" width="11.44140625" style="10"/>
    <col min="2" max="2" width="3.33203125" style="10" bestFit="1" customWidth="1"/>
    <col min="3" max="3" width="44.88671875" style="20" customWidth="1"/>
    <col min="4" max="7" width="13.33203125" style="22" customWidth="1"/>
    <col min="8" max="16384" width="11.44140625" style="10"/>
  </cols>
  <sheetData>
    <row r="1" spans="2:7" ht="15.6" thickBot="1">
      <c r="D1" s="53"/>
      <c r="E1" s="53"/>
      <c r="F1" s="53"/>
      <c r="G1" s="53"/>
    </row>
    <row r="2" spans="2:7" ht="22.2" thickTop="1" thickBot="1">
      <c r="C2" s="21" t="s">
        <v>105</v>
      </c>
      <c r="D2" s="54"/>
      <c r="E2" s="54"/>
      <c r="F2" s="54"/>
      <c r="G2" s="55"/>
    </row>
    <row r="3" spans="2:7" ht="15.6" thickTop="1">
      <c r="D3" s="53"/>
      <c r="E3" s="53"/>
      <c r="F3" s="53"/>
      <c r="G3" s="53"/>
    </row>
    <row r="4" spans="2:7">
      <c r="D4" s="53"/>
      <c r="E4" s="53"/>
      <c r="F4" s="53"/>
      <c r="G4" s="53"/>
    </row>
    <row r="5" spans="2:7" ht="13.8" thickBot="1">
      <c r="C5" s="56"/>
      <c r="D5" s="57" t="s">
        <v>106</v>
      </c>
      <c r="E5" s="58"/>
      <c r="F5" s="59" t="s">
        <v>107</v>
      </c>
      <c r="G5" s="59" t="s">
        <v>108</v>
      </c>
    </row>
    <row r="6" spans="2:7" ht="13.8" thickTop="1">
      <c r="B6" s="371" t="s">
        <v>109</v>
      </c>
      <c r="C6" s="60"/>
      <c r="D6" s="61" t="s">
        <v>117</v>
      </c>
      <c r="E6" s="61" t="s">
        <v>118</v>
      </c>
      <c r="F6" s="62"/>
      <c r="G6" s="62"/>
    </row>
    <row r="7" spans="2:7" ht="13.2">
      <c r="B7" s="372"/>
      <c r="C7" s="63" t="s">
        <v>50</v>
      </c>
      <c r="D7" s="64"/>
      <c r="E7" s="64"/>
      <c r="F7" s="64"/>
      <c r="G7" s="64"/>
    </row>
    <row r="8" spans="2:7" ht="13.2">
      <c r="B8" s="372"/>
      <c r="C8" s="60" t="s">
        <v>3</v>
      </c>
      <c r="D8" s="81">
        <f>D9+D10</f>
        <v>0</v>
      </c>
      <c r="E8" s="81">
        <f>E9+E10</f>
        <v>0</v>
      </c>
      <c r="F8" s="81">
        <f>F9+F10</f>
        <v>0</v>
      </c>
      <c r="G8" s="81">
        <f>G9+G10</f>
        <v>0</v>
      </c>
    </row>
    <row r="9" spans="2:7" ht="13.2">
      <c r="B9" s="372"/>
      <c r="C9" s="66" t="s">
        <v>126</v>
      </c>
      <c r="D9" s="67">
        <v>0</v>
      </c>
      <c r="E9" s="67">
        <v>0</v>
      </c>
      <c r="F9" s="67">
        <v>0</v>
      </c>
      <c r="G9" s="67">
        <v>0</v>
      </c>
    </row>
    <row r="10" spans="2:7" ht="13.2">
      <c r="B10" s="372"/>
      <c r="C10" s="66" t="s">
        <v>125</v>
      </c>
      <c r="D10" s="67">
        <v>0</v>
      </c>
      <c r="E10" s="67">
        <v>0</v>
      </c>
      <c r="F10" s="67">
        <v>0</v>
      </c>
      <c r="G10" s="67">
        <v>0</v>
      </c>
    </row>
    <row r="11" spans="2:7" ht="13.2">
      <c r="B11" s="372"/>
      <c r="C11" s="63" t="s">
        <v>50</v>
      </c>
      <c r="D11" s="64" t="s">
        <v>50</v>
      </c>
      <c r="E11" s="64" t="s">
        <v>50</v>
      </c>
      <c r="F11" s="64" t="s">
        <v>50</v>
      </c>
      <c r="G11" s="64" t="s">
        <v>50</v>
      </c>
    </row>
    <row r="12" spans="2:7" ht="13.2">
      <c r="B12" s="372"/>
      <c r="C12" s="60" t="s">
        <v>8</v>
      </c>
      <c r="D12" s="82">
        <f>SUM(D13:D16)</f>
        <v>0</v>
      </c>
      <c r="E12" s="82">
        <f>SUM(E13:E16)</f>
        <v>0</v>
      </c>
      <c r="F12" s="82">
        <f>SUM(F13:F16)</f>
        <v>0</v>
      </c>
      <c r="G12" s="82">
        <f>SUM(G13:G16)</f>
        <v>0</v>
      </c>
    </row>
    <row r="13" spans="2:7" ht="13.2">
      <c r="B13" s="372"/>
      <c r="C13" s="66" t="s">
        <v>124</v>
      </c>
      <c r="D13" s="64">
        <v>0</v>
      </c>
      <c r="E13" s="64">
        <v>0</v>
      </c>
      <c r="F13" s="64">
        <v>0</v>
      </c>
      <c r="G13" s="64">
        <v>0</v>
      </c>
    </row>
    <row r="14" spans="2:7" ht="13.2">
      <c r="B14" s="372"/>
      <c r="C14" s="66" t="s">
        <v>123</v>
      </c>
      <c r="D14" s="64">
        <v>0</v>
      </c>
      <c r="E14" s="64">
        <v>0</v>
      </c>
      <c r="F14" s="64">
        <v>0</v>
      </c>
      <c r="G14" s="64">
        <v>0</v>
      </c>
    </row>
    <row r="15" spans="2:7" ht="13.2">
      <c r="B15" s="372"/>
      <c r="C15" s="66" t="s">
        <v>122</v>
      </c>
      <c r="D15" s="64">
        <v>0</v>
      </c>
      <c r="E15" s="64">
        <v>0</v>
      </c>
      <c r="F15" s="64">
        <v>0</v>
      </c>
      <c r="G15" s="64">
        <v>0</v>
      </c>
    </row>
    <row r="16" spans="2:7" ht="13.2">
      <c r="B16" s="372"/>
      <c r="C16" s="66" t="s">
        <v>121</v>
      </c>
      <c r="D16" s="64">
        <v>0</v>
      </c>
      <c r="E16" s="64">
        <v>0</v>
      </c>
      <c r="F16" s="64">
        <v>0</v>
      </c>
      <c r="G16" s="64">
        <v>0</v>
      </c>
    </row>
    <row r="17" spans="2:7" ht="13.2">
      <c r="B17" s="372"/>
      <c r="C17" s="63" t="s">
        <v>50</v>
      </c>
      <c r="D17" s="64"/>
      <c r="E17" s="64"/>
      <c r="F17" s="64"/>
      <c r="G17" s="64"/>
    </row>
    <row r="18" spans="2:7" ht="13.2">
      <c r="B18" s="372"/>
      <c r="C18" s="60" t="s">
        <v>15</v>
      </c>
      <c r="D18" s="65">
        <v>0</v>
      </c>
      <c r="E18" s="65">
        <v>0</v>
      </c>
      <c r="F18" s="65">
        <v>0</v>
      </c>
      <c r="G18" s="65">
        <v>0</v>
      </c>
    </row>
    <row r="19" spans="2:7" ht="13.2">
      <c r="B19" s="372"/>
      <c r="C19" s="63"/>
      <c r="D19" s="69"/>
      <c r="E19" s="69"/>
      <c r="F19" s="69"/>
      <c r="G19" s="69"/>
    </row>
    <row r="20" spans="2:7" ht="13.2">
      <c r="B20" s="372"/>
      <c r="C20" s="60" t="s">
        <v>110</v>
      </c>
      <c r="D20" s="81">
        <f>D21</f>
        <v>0</v>
      </c>
      <c r="E20" s="81">
        <f>E22</f>
        <v>0</v>
      </c>
      <c r="F20" s="81">
        <f>F22</f>
        <v>0</v>
      </c>
      <c r="G20" s="81">
        <f>G22</f>
        <v>0</v>
      </c>
    </row>
    <row r="21" spans="2:7" ht="13.2">
      <c r="B21" s="372"/>
      <c r="C21" s="66" t="s">
        <v>119</v>
      </c>
      <c r="D21" s="67">
        <v>0</v>
      </c>
      <c r="E21" s="70"/>
      <c r="F21" s="70"/>
      <c r="G21" s="70"/>
    </row>
    <row r="22" spans="2:7" ht="13.2">
      <c r="B22" s="372"/>
      <c r="C22" s="66" t="s">
        <v>120</v>
      </c>
      <c r="D22" s="70"/>
      <c r="E22" s="67">
        <v>0</v>
      </c>
      <c r="F22" s="67">
        <v>0</v>
      </c>
      <c r="G22" s="67">
        <v>0</v>
      </c>
    </row>
    <row r="23" spans="2:7" ht="13.2">
      <c r="B23" s="372"/>
      <c r="C23" s="63"/>
      <c r="D23" s="69"/>
      <c r="E23" s="69"/>
      <c r="F23" s="69"/>
      <c r="G23" s="69"/>
    </row>
    <row r="24" spans="2:7" ht="13.2">
      <c r="B24" s="372"/>
      <c r="C24" s="60" t="s">
        <v>111</v>
      </c>
      <c r="D24" s="70"/>
      <c r="E24" s="65">
        <v>0</v>
      </c>
      <c r="F24" s="65">
        <v>0</v>
      </c>
      <c r="G24" s="65">
        <v>0</v>
      </c>
    </row>
    <row r="25" spans="2:7" ht="13.8" thickBot="1">
      <c r="B25" s="372"/>
      <c r="C25" s="63"/>
      <c r="D25" s="64"/>
      <c r="E25" s="64"/>
      <c r="F25" s="64"/>
      <c r="G25" s="64"/>
    </row>
    <row r="26" spans="2:7" ht="14.4" thickTop="1" thickBot="1">
      <c r="B26" s="373"/>
      <c r="C26" s="71" t="s">
        <v>112</v>
      </c>
      <c r="D26" s="83">
        <f>D20+D18+D12+D8</f>
        <v>0</v>
      </c>
      <c r="E26" s="83">
        <f>E24+E20+E18+E12+E8</f>
        <v>0</v>
      </c>
      <c r="F26" s="83">
        <f>F24+F20+F18+F12+F8</f>
        <v>0</v>
      </c>
      <c r="G26" s="83">
        <f>G24+G20+G18+G12+G8</f>
        <v>0</v>
      </c>
    </row>
    <row r="27" spans="2:7" ht="13.8" thickTop="1">
      <c r="B27" s="371" t="s">
        <v>113</v>
      </c>
      <c r="C27" s="73"/>
      <c r="D27" s="74"/>
      <c r="E27" s="74"/>
      <c r="F27" s="74"/>
      <c r="G27" s="74"/>
    </row>
    <row r="28" spans="2:7" ht="13.2">
      <c r="B28" s="372"/>
      <c r="C28" s="60" t="s">
        <v>25</v>
      </c>
      <c r="D28" s="65">
        <v>0</v>
      </c>
      <c r="E28" s="65">
        <v>0</v>
      </c>
      <c r="F28" s="65">
        <v>0</v>
      </c>
      <c r="G28" s="68">
        <v>0</v>
      </c>
    </row>
    <row r="29" spans="2:7" ht="13.2">
      <c r="B29" s="372"/>
      <c r="C29" s="60"/>
      <c r="D29" s="65"/>
      <c r="E29" s="65"/>
      <c r="F29" s="65"/>
      <c r="G29" s="68"/>
    </row>
    <row r="30" spans="2:7" ht="13.2">
      <c r="B30" s="372"/>
      <c r="C30" s="60" t="s">
        <v>129</v>
      </c>
      <c r="D30" s="65">
        <v>0</v>
      </c>
      <c r="E30" s="65">
        <v>0</v>
      </c>
      <c r="F30" s="65">
        <v>0</v>
      </c>
      <c r="G30" s="68">
        <v>0</v>
      </c>
    </row>
    <row r="31" spans="2:7" ht="13.2">
      <c r="B31" s="372"/>
      <c r="C31" s="60"/>
      <c r="D31" s="65"/>
      <c r="E31" s="65"/>
      <c r="F31" s="65"/>
      <c r="G31" s="64"/>
    </row>
    <row r="32" spans="2:7" ht="13.2">
      <c r="B32" s="372"/>
      <c r="C32" s="60" t="s">
        <v>39</v>
      </c>
      <c r="D32" s="65">
        <v>0</v>
      </c>
      <c r="E32" s="65">
        <v>0</v>
      </c>
      <c r="F32" s="65">
        <v>0</v>
      </c>
      <c r="G32" s="68">
        <v>0</v>
      </c>
    </row>
    <row r="33" spans="2:7" ht="13.2">
      <c r="B33" s="372"/>
      <c r="C33" s="60"/>
      <c r="D33" s="65"/>
      <c r="E33" s="65"/>
      <c r="F33" s="65"/>
      <c r="G33" s="64"/>
    </row>
    <row r="34" spans="2:7" ht="13.2">
      <c r="B34" s="372"/>
      <c r="C34" s="60" t="s">
        <v>127</v>
      </c>
      <c r="D34" s="65">
        <v>0</v>
      </c>
      <c r="E34" s="65">
        <v>0</v>
      </c>
      <c r="F34" s="65">
        <v>0</v>
      </c>
      <c r="G34" s="68">
        <v>0</v>
      </c>
    </row>
    <row r="35" spans="2:7" ht="13.2">
      <c r="B35" s="372"/>
      <c r="C35" s="63"/>
      <c r="D35" s="64"/>
      <c r="E35" s="64"/>
      <c r="F35" s="75"/>
      <c r="G35" s="64"/>
    </row>
    <row r="36" spans="2:7" ht="13.2">
      <c r="B36" s="372"/>
      <c r="C36" s="60" t="s">
        <v>128</v>
      </c>
      <c r="D36" s="65">
        <v>0</v>
      </c>
      <c r="E36" s="65">
        <v>0</v>
      </c>
      <c r="F36" s="65">
        <v>0</v>
      </c>
      <c r="G36" s="65">
        <v>0</v>
      </c>
    </row>
    <row r="37" spans="2:7" ht="13.8" thickBot="1">
      <c r="B37" s="372"/>
      <c r="C37" s="60"/>
      <c r="D37" s="68"/>
      <c r="E37" s="68"/>
      <c r="F37" s="68"/>
      <c r="G37" s="76"/>
    </row>
    <row r="38" spans="2:7" ht="14.4" thickTop="1" thickBot="1">
      <c r="B38" s="373"/>
      <c r="C38" s="71" t="s">
        <v>114</v>
      </c>
      <c r="D38" s="83">
        <f>D36+D34+D32+D30+D28</f>
        <v>0</v>
      </c>
      <c r="E38" s="83">
        <f>E36+E34+E32+E30+E28</f>
        <v>0</v>
      </c>
      <c r="F38" s="83">
        <f>F36+F34+F32+F30+F28</f>
        <v>0</v>
      </c>
      <c r="G38" s="83">
        <f>G36+G34+G32+G30+G28</f>
        <v>0</v>
      </c>
    </row>
    <row r="39" spans="2:7" ht="14.4" thickTop="1" thickBot="1">
      <c r="C39" s="77"/>
      <c r="D39" s="72"/>
      <c r="E39" s="72"/>
      <c r="F39" s="72"/>
      <c r="G39" s="78"/>
    </row>
    <row r="40" spans="2:7" ht="14.4" thickTop="1" thickBot="1">
      <c r="C40" s="79" t="s">
        <v>115</v>
      </c>
      <c r="D40" s="84">
        <f>D38-D26</f>
        <v>0</v>
      </c>
      <c r="E40" s="84">
        <f>E38-E26</f>
        <v>0</v>
      </c>
      <c r="F40" s="84">
        <f>F38-F26</f>
        <v>0</v>
      </c>
      <c r="G40" s="84">
        <f>G38-G26</f>
        <v>0</v>
      </c>
    </row>
    <row r="41" spans="2:7" ht="14.4" thickTop="1" thickBot="1">
      <c r="C41" s="80" t="s">
        <v>116</v>
      </c>
      <c r="D41" s="85">
        <f>D40</f>
        <v>0</v>
      </c>
      <c r="E41" s="85">
        <f>E40+D41</f>
        <v>0</v>
      </c>
      <c r="F41" s="85">
        <f>F40+E41</f>
        <v>0</v>
      </c>
      <c r="G41" s="85">
        <f>G40+F41</f>
        <v>0</v>
      </c>
    </row>
    <row r="42" spans="2:7" ht="15.6" thickTop="1"/>
  </sheetData>
  <sheetProtection sheet="1"/>
  <mergeCells count="2">
    <mergeCell ref="B6:B26"/>
    <mergeCell ref="B27:B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9:A17"/>
  <sheetViews>
    <sheetView topLeftCell="C6" workbookViewId="0">
      <selection activeCell="I39" sqref="I39"/>
    </sheetView>
  </sheetViews>
  <sheetFormatPr baseColWidth="10" defaultColWidth="11.44140625" defaultRowHeight="13.2"/>
  <cols>
    <col min="1" max="1" width="11.44140625" style="10"/>
    <col min="2" max="2" width="49.6640625" style="10" customWidth="1"/>
    <col min="3" max="3" width="13.33203125" style="10" customWidth="1"/>
    <col min="4" max="16384" width="11.44140625" style="10"/>
  </cols>
  <sheetData>
    <row r="9" s="142" customFormat="1"/>
    <row r="10" s="142" customFormat="1"/>
    <row r="11" s="142" customFormat="1"/>
    <row r="12" s="142" customFormat="1"/>
    <row r="13" s="142" customFormat="1"/>
    <row r="14" s="142" customFormat="1"/>
    <row r="15" s="142" customFormat="1"/>
    <row r="16" s="142" customFormat="1"/>
    <row r="17" s="142" customForma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45"/>
  <sheetViews>
    <sheetView topLeftCell="A12" workbookViewId="0">
      <selection activeCell="D13" sqref="D13"/>
    </sheetView>
  </sheetViews>
  <sheetFormatPr baseColWidth="10" defaultColWidth="11.44140625" defaultRowHeight="13.2"/>
  <cols>
    <col min="1" max="1" width="11.44140625" style="10"/>
    <col min="2" max="2" width="49.6640625" style="10" customWidth="1"/>
    <col min="3" max="3" width="13.33203125" style="10" customWidth="1"/>
    <col min="4" max="16384" width="11.44140625" style="10"/>
  </cols>
  <sheetData>
    <row r="1" spans="2:3" ht="13.8" thickBot="1"/>
    <row r="2" spans="2:3" ht="22.2" thickTop="1" thickBot="1">
      <c r="B2" s="21" t="s">
        <v>147</v>
      </c>
      <c r="C2" s="25"/>
    </row>
    <row r="3" spans="2:3" ht="15.6" thickTop="1">
      <c r="B3" s="20"/>
      <c r="C3" s="22"/>
    </row>
    <row r="4" spans="2:3" ht="15.6" thickBot="1">
      <c r="B4" s="20"/>
      <c r="C4" s="22"/>
    </row>
    <row r="5" spans="2:3" ht="14.4" thickTop="1" thickBot="1">
      <c r="B5" s="27" t="s">
        <v>148</v>
      </c>
      <c r="C5" s="28" t="s">
        <v>42</v>
      </c>
    </row>
    <row r="6" spans="2:3" ht="13.8" thickTop="1">
      <c r="B6" s="194"/>
      <c r="C6" s="31"/>
    </row>
    <row r="7" spans="2:3">
      <c r="B7" s="195" t="s">
        <v>149</v>
      </c>
      <c r="C7" s="196">
        <v>0</v>
      </c>
    </row>
    <row r="8" spans="2:3">
      <c r="B8" s="195" t="s">
        <v>150</v>
      </c>
      <c r="C8" s="196">
        <v>0</v>
      </c>
    </row>
    <row r="9" spans="2:3">
      <c r="B9" s="197" t="s">
        <v>151</v>
      </c>
      <c r="C9" s="9">
        <f>C7-C8</f>
        <v>0</v>
      </c>
    </row>
    <row r="10" spans="2:3">
      <c r="B10" s="195"/>
      <c r="C10" s="37"/>
    </row>
    <row r="11" spans="2:3">
      <c r="B11" s="195" t="s">
        <v>152</v>
      </c>
      <c r="C11" s="196">
        <v>0</v>
      </c>
    </row>
    <row r="12" spans="2:3">
      <c r="B12" s="206" t="s">
        <v>153</v>
      </c>
      <c r="C12" s="196">
        <v>0</v>
      </c>
    </row>
    <row r="13" spans="2:3">
      <c r="B13" s="206" t="s">
        <v>154</v>
      </c>
      <c r="C13" s="196">
        <v>0</v>
      </c>
    </row>
    <row r="14" spans="2:3">
      <c r="B14" s="207" t="s">
        <v>177</v>
      </c>
      <c r="C14" s="9">
        <f>C13+C12+C11</f>
        <v>0</v>
      </c>
    </row>
    <row r="15" spans="2:3">
      <c r="B15" s="206"/>
      <c r="C15" s="196"/>
    </row>
    <row r="16" spans="2:3">
      <c r="B16" s="206" t="s">
        <v>178</v>
      </c>
      <c r="C16" s="208">
        <f>C9</f>
        <v>0</v>
      </c>
    </row>
    <row r="17" spans="2:3">
      <c r="B17" s="206" t="s">
        <v>179</v>
      </c>
      <c r="C17" s="208">
        <f>C14</f>
        <v>0</v>
      </c>
    </row>
    <row r="18" spans="2:3">
      <c r="B18" s="206" t="s">
        <v>155</v>
      </c>
      <c r="C18" s="196">
        <v>0</v>
      </c>
    </row>
    <row r="19" spans="2:3">
      <c r="B19" s="206" t="s">
        <v>156</v>
      </c>
      <c r="C19" s="196">
        <v>0</v>
      </c>
    </row>
    <row r="20" spans="2:3">
      <c r="B20" s="207" t="s">
        <v>157</v>
      </c>
      <c r="C20" s="9">
        <f>C16+C17-C18-C19</f>
        <v>0</v>
      </c>
    </row>
    <row r="21" spans="2:3">
      <c r="B21" s="206" t="s">
        <v>158</v>
      </c>
      <c r="C21" s="196">
        <v>0</v>
      </c>
    </row>
    <row r="22" spans="2:3">
      <c r="B22" s="206" t="s">
        <v>159</v>
      </c>
      <c r="C22" s="196">
        <v>0</v>
      </c>
    </row>
    <row r="23" spans="2:3">
      <c r="B23" s="195" t="s">
        <v>160</v>
      </c>
      <c r="C23" s="196">
        <v>0</v>
      </c>
    </row>
    <row r="24" spans="2:3">
      <c r="B24" s="197" t="s">
        <v>161</v>
      </c>
      <c r="C24" s="9">
        <f>C20+C21-C22-C23</f>
        <v>0</v>
      </c>
    </row>
    <row r="25" spans="2:3">
      <c r="B25" s="195" t="s">
        <v>162</v>
      </c>
      <c r="C25" s="196">
        <v>0</v>
      </c>
    </row>
    <row r="26" spans="2:3">
      <c r="B26" s="206" t="s">
        <v>163</v>
      </c>
      <c r="C26" s="196">
        <v>0</v>
      </c>
    </row>
    <row r="27" spans="2:3">
      <c r="B27" s="206" t="s">
        <v>164</v>
      </c>
      <c r="C27" s="196">
        <v>0</v>
      </c>
    </row>
    <row r="28" spans="2:3">
      <c r="B28" s="206" t="s">
        <v>165</v>
      </c>
      <c r="C28" s="196">
        <v>0</v>
      </c>
    </row>
    <row r="29" spans="2:3">
      <c r="B29" s="206" t="s">
        <v>166</v>
      </c>
      <c r="C29" s="196">
        <v>0</v>
      </c>
    </row>
    <row r="30" spans="2:3">
      <c r="B30" s="207" t="s">
        <v>167</v>
      </c>
      <c r="C30" s="9">
        <f>C24+C25-C26+C27-C28-C29</f>
        <v>0</v>
      </c>
    </row>
    <row r="31" spans="2:3">
      <c r="B31" s="195"/>
      <c r="C31" s="37"/>
    </row>
    <row r="32" spans="2:3">
      <c r="B32" s="195" t="s">
        <v>99</v>
      </c>
      <c r="C32" s="196">
        <v>0</v>
      </c>
    </row>
    <row r="33" spans="2:3">
      <c r="B33" s="195" t="s">
        <v>168</v>
      </c>
      <c r="C33" s="196">
        <v>0</v>
      </c>
    </row>
    <row r="34" spans="2:3">
      <c r="B34" s="197" t="s">
        <v>169</v>
      </c>
      <c r="C34" s="9">
        <f>C32-C33</f>
        <v>0</v>
      </c>
    </row>
    <row r="35" spans="2:3">
      <c r="B35" s="195"/>
      <c r="C35" s="37"/>
    </row>
    <row r="36" spans="2:3">
      <c r="B36" s="195" t="s">
        <v>170</v>
      </c>
      <c r="C36" s="196">
        <v>0</v>
      </c>
    </row>
    <row r="37" spans="2:3">
      <c r="B37" s="195" t="s">
        <v>171</v>
      </c>
      <c r="C37" s="196">
        <v>0</v>
      </c>
    </row>
    <row r="38" spans="2:3">
      <c r="B38" s="197" t="s">
        <v>172</v>
      </c>
      <c r="C38" s="9">
        <f>C36-C37</f>
        <v>0</v>
      </c>
    </row>
    <row r="39" spans="2:3">
      <c r="B39" s="195"/>
      <c r="C39" s="37"/>
    </row>
    <row r="40" spans="2:3">
      <c r="B40" s="195" t="s">
        <v>173</v>
      </c>
      <c r="C40" s="208">
        <f>C30</f>
        <v>0</v>
      </c>
    </row>
    <row r="41" spans="2:3">
      <c r="B41" s="195" t="s">
        <v>174</v>
      </c>
      <c r="C41" s="208">
        <f>C34</f>
        <v>0</v>
      </c>
    </row>
    <row r="42" spans="2:3">
      <c r="B42" s="195" t="s">
        <v>175</v>
      </c>
      <c r="C42" s="208">
        <f>C38</f>
        <v>0</v>
      </c>
    </row>
    <row r="43" spans="2:3">
      <c r="B43" s="197" t="s">
        <v>176</v>
      </c>
      <c r="C43" s="9">
        <f>C40+C41+C42</f>
        <v>0</v>
      </c>
    </row>
    <row r="44" spans="2:3" ht="13.8" thickBot="1">
      <c r="B44" s="202"/>
      <c r="C44" s="45"/>
    </row>
    <row r="45" spans="2:3" ht="13.8" thickTop="1"/>
  </sheetData>
  <sheetProtection sheet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14"/>
  <sheetViews>
    <sheetView topLeftCell="G1" workbookViewId="0">
      <selection activeCell="R13" sqref="R13"/>
    </sheetView>
  </sheetViews>
  <sheetFormatPr baseColWidth="10" defaultRowHeight="13.2"/>
  <cols>
    <col min="3" max="3" width="11.5546875" style="364"/>
    <col min="8" max="8" width="11.5546875" style="297"/>
    <col min="13" max="15" width="11.5546875" style="297"/>
  </cols>
  <sheetData>
    <row r="1" spans="1:21">
      <c r="A1" s="297"/>
      <c r="B1" s="298" t="s">
        <v>275</v>
      </c>
      <c r="C1" s="363" t="s">
        <v>288</v>
      </c>
      <c r="D1" s="298" t="s">
        <v>277</v>
      </c>
      <c r="E1" s="298" t="s">
        <v>272</v>
      </c>
      <c r="F1" s="298" t="s">
        <v>279</v>
      </c>
      <c r="G1" s="298" t="s">
        <v>273</v>
      </c>
      <c r="H1" s="298" t="s">
        <v>274</v>
      </c>
      <c r="I1" s="298" t="s">
        <v>276</v>
      </c>
      <c r="J1" s="298" t="s">
        <v>278</v>
      </c>
      <c r="K1" s="298" t="s">
        <v>272</v>
      </c>
      <c r="L1" s="298" t="s">
        <v>279</v>
      </c>
      <c r="M1" s="298" t="s">
        <v>273</v>
      </c>
      <c r="N1" s="298" t="s">
        <v>274</v>
      </c>
      <c r="O1" s="298" t="s">
        <v>276</v>
      </c>
      <c r="P1" s="298" t="s">
        <v>278</v>
      </c>
      <c r="Q1" s="298" t="s">
        <v>272</v>
      </c>
      <c r="R1" s="298" t="s">
        <v>279</v>
      </c>
      <c r="S1" s="298" t="s">
        <v>273</v>
      </c>
      <c r="T1" s="298" t="s">
        <v>274</v>
      </c>
      <c r="U1" s="298" t="s">
        <v>276</v>
      </c>
    </row>
    <row r="2" spans="1:21">
      <c r="A2" s="298" t="s">
        <v>258</v>
      </c>
      <c r="B2" s="297">
        <v>5400</v>
      </c>
      <c r="C2" s="364">
        <f>B2/$B$14</f>
        <v>0.17142857142857143</v>
      </c>
      <c r="D2" s="297"/>
      <c r="E2" s="297">
        <f t="shared" ref="E2:E13" si="0">C2*$E$14</f>
        <v>16457.142857142859</v>
      </c>
      <c r="F2" s="297">
        <f>E2</f>
        <v>16457.142857142859</v>
      </c>
      <c r="G2" s="297">
        <f t="shared" ref="G2:G13" si="1">C2*$G$14</f>
        <v>10323.6</v>
      </c>
      <c r="H2" s="297">
        <f>E2*1.05</f>
        <v>17280.000000000004</v>
      </c>
      <c r="I2" s="297">
        <f>G2*1.05</f>
        <v>10839.78</v>
      </c>
      <c r="J2" s="297"/>
      <c r="K2" s="297">
        <f>C2*$K$14</f>
        <v>19028.571428571428</v>
      </c>
      <c r="L2" s="297">
        <f>K2</f>
        <v>19028.571428571428</v>
      </c>
      <c r="M2" s="297">
        <f>C2*$M$14</f>
        <v>11911.885714285714</v>
      </c>
      <c r="N2" s="297">
        <f t="shared" ref="N2:N13" si="2">K2*1.055</f>
        <v>20075.142857142855</v>
      </c>
      <c r="O2" s="297">
        <f>M2*1.055</f>
        <v>12567.039428571428</v>
      </c>
      <c r="P2" s="297"/>
      <c r="Q2" s="297">
        <f>C2*$Q$14</f>
        <v>25371.428571428572</v>
      </c>
      <c r="R2" s="297">
        <f>Q2</f>
        <v>25371.428571428572</v>
      </c>
      <c r="S2" s="297">
        <f>C2*$S$14</f>
        <v>15882.514285714286</v>
      </c>
      <c r="T2" s="297">
        <f>1.05*Q2</f>
        <v>26640.000000000004</v>
      </c>
      <c r="U2" s="297">
        <f>1.05*S2</f>
        <v>16676.64</v>
      </c>
    </row>
    <row r="3" spans="1:21">
      <c r="A3" s="298" t="s">
        <v>259</v>
      </c>
      <c r="B3" s="297">
        <v>5000</v>
      </c>
      <c r="C3" s="364">
        <f t="shared" ref="C3:C14" si="3">B3/$B$14</f>
        <v>0.15873015873015872</v>
      </c>
      <c r="D3" s="297"/>
      <c r="E3" s="297">
        <f t="shared" si="0"/>
        <v>15238.095238095237</v>
      </c>
      <c r="F3" s="297">
        <f>F2+E3</f>
        <v>31695.238095238095</v>
      </c>
      <c r="G3" s="297">
        <f t="shared" si="1"/>
        <v>9558.8888888888887</v>
      </c>
      <c r="H3" s="297">
        <f t="shared" ref="H3:H14" si="4">E3*1.05</f>
        <v>16000</v>
      </c>
      <c r="I3" s="297">
        <f t="shared" ref="I3:I14" si="5">G3*1.05</f>
        <v>10036.833333333334</v>
      </c>
      <c r="J3" s="297"/>
      <c r="K3" s="297">
        <f t="shared" ref="K3:K13" si="6">C3*$K$14</f>
        <v>17619.047619047618</v>
      </c>
      <c r="L3" s="297">
        <f>L2+K3</f>
        <v>36647.619047619046</v>
      </c>
      <c r="M3" s="297">
        <f t="shared" ref="M3:M13" si="7">C3*$M$14</f>
        <v>11029.523809523809</v>
      </c>
      <c r="N3" s="297">
        <f t="shared" si="2"/>
        <v>18588.095238095237</v>
      </c>
      <c r="O3" s="297">
        <f t="shared" ref="O3:O14" si="8">M3*1.055</f>
        <v>11636.147619047619</v>
      </c>
      <c r="P3" s="297"/>
      <c r="Q3" s="297">
        <f t="shared" ref="Q3:Q13" si="9">C3*$Q$14</f>
        <v>23492.063492063491</v>
      </c>
      <c r="R3" s="297">
        <f>R2+Q3</f>
        <v>48863.492063492064</v>
      </c>
      <c r="S3" s="297">
        <f t="shared" ref="S3:S13" si="10">C3*$S$14</f>
        <v>14706.031746031746</v>
      </c>
      <c r="T3" s="297">
        <f t="shared" ref="T3:T14" si="11">1.05*Q3</f>
        <v>24666.666666666668</v>
      </c>
      <c r="U3" s="297">
        <f t="shared" ref="U3:U14" si="12">1.05*S3</f>
        <v>15441.333333333334</v>
      </c>
    </row>
    <row r="4" spans="1:21">
      <c r="A4" s="298" t="s">
        <v>260</v>
      </c>
      <c r="B4" s="297">
        <v>2000</v>
      </c>
      <c r="C4" s="364">
        <f t="shared" si="3"/>
        <v>6.3492063492063489E-2</v>
      </c>
      <c r="D4" s="297"/>
      <c r="E4" s="297">
        <f t="shared" si="0"/>
        <v>6095.2380952380945</v>
      </c>
      <c r="F4" s="297">
        <f t="shared" ref="F4:F13" si="13">F3+E4</f>
        <v>37790.476190476191</v>
      </c>
      <c r="G4" s="297">
        <f t="shared" si="1"/>
        <v>3823.5555555555552</v>
      </c>
      <c r="H4" s="297">
        <f t="shared" si="4"/>
        <v>6399.9999999999991</v>
      </c>
      <c r="I4" s="297">
        <f t="shared" si="5"/>
        <v>4014.7333333333331</v>
      </c>
      <c r="J4" s="297"/>
      <c r="K4" s="297">
        <f t="shared" si="6"/>
        <v>7047.6190476190468</v>
      </c>
      <c r="L4" s="297">
        <f t="shared" ref="L4:L13" si="14">L3+K4</f>
        <v>43695.238095238092</v>
      </c>
      <c r="M4" s="297">
        <f t="shared" si="7"/>
        <v>4411.8095238095239</v>
      </c>
      <c r="N4" s="297">
        <f t="shared" si="2"/>
        <v>7435.2380952380936</v>
      </c>
      <c r="O4" s="297">
        <f t="shared" si="8"/>
        <v>4654.4590476190469</v>
      </c>
      <c r="P4" s="297"/>
      <c r="Q4" s="297">
        <f t="shared" si="9"/>
        <v>9396.8253968253957</v>
      </c>
      <c r="R4" s="297">
        <f t="shared" ref="R4:R13" si="15">R3+Q4</f>
        <v>58260.317460317456</v>
      </c>
      <c r="S4" s="297">
        <f t="shared" si="10"/>
        <v>5882.4126984126979</v>
      </c>
      <c r="T4" s="297">
        <f t="shared" si="11"/>
        <v>9866.6666666666661</v>
      </c>
      <c r="U4" s="297">
        <f t="shared" si="12"/>
        <v>6176.5333333333328</v>
      </c>
    </row>
    <row r="5" spans="1:21">
      <c r="A5" s="298" t="s">
        <v>261</v>
      </c>
      <c r="B5" s="297">
        <v>1600</v>
      </c>
      <c r="C5" s="364">
        <f t="shared" si="3"/>
        <v>5.0793650793650794E-2</v>
      </c>
      <c r="D5" s="297"/>
      <c r="E5" s="297">
        <f t="shared" si="0"/>
        <v>4876.1904761904761</v>
      </c>
      <c r="F5" s="297">
        <f t="shared" si="13"/>
        <v>42666.666666666664</v>
      </c>
      <c r="G5" s="297">
        <f t="shared" si="1"/>
        <v>3058.8444444444444</v>
      </c>
      <c r="H5" s="297">
        <f t="shared" si="4"/>
        <v>5120</v>
      </c>
      <c r="I5" s="297">
        <f t="shared" si="5"/>
        <v>3211.7866666666669</v>
      </c>
      <c r="J5" s="297"/>
      <c r="K5" s="297">
        <f t="shared" si="6"/>
        <v>5638.0952380952385</v>
      </c>
      <c r="L5" s="297">
        <f t="shared" si="14"/>
        <v>49333.333333333328</v>
      </c>
      <c r="M5" s="297">
        <f t="shared" si="7"/>
        <v>3529.4476190476189</v>
      </c>
      <c r="N5" s="297">
        <f t="shared" si="2"/>
        <v>5948.1904761904761</v>
      </c>
      <c r="O5" s="297">
        <f t="shared" si="8"/>
        <v>3723.5672380952378</v>
      </c>
      <c r="P5" s="297"/>
      <c r="Q5" s="297">
        <f t="shared" si="9"/>
        <v>7517.4603174603171</v>
      </c>
      <c r="R5" s="297">
        <f t="shared" si="15"/>
        <v>65777.777777777766</v>
      </c>
      <c r="S5" s="297">
        <f t="shared" si="10"/>
        <v>4705.9301587301588</v>
      </c>
      <c r="T5" s="297">
        <f t="shared" si="11"/>
        <v>7893.333333333333</v>
      </c>
      <c r="U5" s="297">
        <f t="shared" si="12"/>
        <v>4941.2266666666674</v>
      </c>
    </row>
    <row r="6" spans="1:21">
      <c r="A6" s="298" t="s">
        <v>262</v>
      </c>
      <c r="B6" s="297">
        <v>500</v>
      </c>
      <c r="C6" s="364">
        <f t="shared" si="3"/>
        <v>1.5873015873015872E-2</v>
      </c>
      <c r="D6" s="297"/>
      <c r="E6" s="297">
        <f t="shared" si="0"/>
        <v>1523.8095238095236</v>
      </c>
      <c r="F6" s="297">
        <f t="shared" si="13"/>
        <v>44190.476190476191</v>
      </c>
      <c r="G6" s="297">
        <f t="shared" si="1"/>
        <v>955.8888888888888</v>
      </c>
      <c r="H6" s="297">
        <f t="shared" si="4"/>
        <v>1599.9999999999998</v>
      </c>
      <c r="I6" s="297">
        <f t="shared" si="5"/>
        <v>1003.6833333333333</v>
      </c>
      <c r="J6" s="297"/>
      <c r="K6" s="297">
        <f t="shared" si="6"/>
        <v>1761.9047619047617</v>
      </c>
      <c r="L6" s="297">
        <f t="shared" si="14"/>
        <v>51095.238095238092</v>
      </c>
      <c r="M6" s="297">
        <f t="shared" si="7"/>
        <v>1102.952380952381</v>
      </c>
      <c r="N6" s="297">
        <f t="shared" si="2"/>
        <v>1858.8095238095234</v>
      </c>
      <c r="O6" s="297">
        <f t="shared" si="8"/>
        <v>1163.6147619047617</v>
      </c>
      <c r="P6" s="297"/>
      <c r="Q6" s="297">
        <f t="shared" si="9"/>
        <v>2349.2063492063489</v>
      </c>
      <c r="R6" s="297">
        <f t="shared" si="15"/>
        <v>68126.984126984113</v>
      </c>
      <c r="S6" s="297">
        <f t="shared" si="10"/>
        <v>1470.6031746031745</v>
      </c>
      <c r="T6" s="297">
        <f t="shared" si="11"/>
        <v>2466.6666666666665</v>
      </c>
      <c r="U6" s="297">
        <f t="shared" si="12"/>
        <v>1544.1333333333332</v>
      </c>
    </row>
    <row r="7" spans="1:21">
      <c r="A7" s="298" t="s">
        <v>263</v>
      </c>
      <c r="B7" s="297">
        <v>500</v>
      </c>
      <c r="C7" s="364">
        <f t="shared" si="3"/>
        <v>1.5873015873015872E-2</v>
      </c>
      <c r="D7" s="297"/>
      <c r="E7" s="297">
        <f t="shared" si="0"/>
        <v>1523.8095238095236</v>
      </c>
      <c r="F7" s="297">
        <f t="shared" si="13"/>
        <v>45714.285714285717</v>
      </c>
      <c r="G7" s="297">
        <f t="shared" si="1"/>
        <v>955.8888888888888</v>
      </c>
      <c r="H7" s="297">
        <f t="shared" si="4"/>
        <v>1599.9999999999998</v>
      </c>
      <c r="I7" s="297">
        <f t="shared" si="5"/>
        <v>1003.6833333333333</v>
      </c>
      <c r="J7" s="297"/>
      <c r="K7" s="297">
        <f t="shared" si="6"/>
        <v>1761.9047619047617</v>
      </c>
      <c r="L7" s="297">
        <f t="shared" si="14"/>
        <v>52857.142857142855</v>
      </c>
      <c r="M7" s="297">
        <f t="shared" si="7"/>
        <v>1102.952380952381</v>
      </c>
      <c r="N7" s="297">
        <f t="shared" si="2"/>
        <v>1858.8095238095234</v>
      </c>
      <c r="O7" s="297">
        <f t="shared" si="8"/>
        <v>1163.6147619047617</v>
      </c>
      <c r="P7" s="297"/>
      <c r="Q7" s="297">
        <f t="shared" si="9"/>
        <v>2349.2063492063489</v>
      </c>
      <c r="R7" s="297">
        <f t="shared" si="15"/>
        <v>70476.190476190459</v>
      </c>
      <c r="S7" s="297">
        <f t="shared" si="10"/>
        <v>1470.6031746031745</v>
      </c>
      <c r="T7" s="297">
        <f t="shared" si="11"/>
        <v>2466.6666666666665</v>
      </c>
      <c r="U7" s="297">
        <f t="shared" si="12"/>
        <v>1544.1333333333332</v>
      </c>
    </row>
    <row r="8" spans="1:21">
      <c r="A8" s="298" t="s">
        <v>264</v>
      </c>
      <c r="B8" s="297">
        <v>500</v>
      </c>
      <c r="C8" s="364">
        <f t="shared" si="3"/>
        <v>1.5873015873015872E-2</v>
      </c>
      <c r="D8" s="297"/>
      <c r="E8" s="297">
        <f t="shared" si="0"/>
        <v>1523.8095238095236</v>
      </c>
      <c r="F8" s="297">
        <f t="shared" si="13"/>
        <v>47238.095238095244</v>
      </c>
      <c r="G8" s="297">
        <f t="shared" si="1"/>
        <v>955.8888888888888</v>
      </c>
      <c r="H8" s="297">
        <f t="shared" si="4"/>
        <v>1599.9999999999998</v>
      </c>
      <c r="I8" s="297">
        <f t="shared" si="5"/>
        <v>1003.6833333333333</v>
      </c>
      <c r="J8" s="297"/>
      <c r="K8" s="297">
        <f t="shared" si="6"/>
        <v>1761.9047619047617</v>
      </c>
      <c r="L8" s="297">
        <f t="shared" si="14"/>
        <v>54619.047619047618</v>
      </c>
      <c r="M8" s="297">
        <f t="shared" si="7"/>
        <v>1102.952380952381</v>
      </c>
      <c r="N8" s="297">
        <f t="shared" si="2"/>
        <v>1858.8095238095234</v>
      </c>
      <c r="O8" s="297">
        <f t="shared" si="8"/>
        <v>1163.6147619047617</v>
      </c>
      <c r="P8" s="297"/>
      <c r="Q8" s="297">
        <f t="shared" si="9"/>
        <v>2349.2063492063489</v>
      </c>
      <c r="R8" s="297">
        <f t="shared" si="15"/>
        <v>72825.396825396805</v>
      </c>
      <c r="S8" s="297">
        <f t="shared" si="10"/>
        <v>1470.6031746031745</v>
      </c>
      <c r="T8" s="297">
        <f t="shared" si="11"/>
        <v>2466.6666666666665</v>
      </c>
      <c r="U8" s="297">
        <f t="shared" si="12"/>
        <v>1544.1333333333332</v>
      </c>
    </row>
    <row r="9" spans="1:21">
      <c r="A9" s="298" t="s">
        <v>265</v>
      </c>
      <c r="B9" s="297">
        <v>1000</v>
      </c>
      <c r="C9" s="364">
        <f t="shared" si="3"/>
        <v>3.1746031746031744E-2</v>
      </c>
      <c r="D9" s="297"/>
      <c r="E9" s="297">
        <f t="shared" si="0"/>
        <v>3047.6190476190473</v>
      </c>
      <c r="F9" s="297">
        <f t="shared" si="13"/>
        <v>50285.71428571429</v>
      </c>
      <c r="G9" s="297">
        <f t="shared" si="1"/>
        <v>1911.7777777777776</v>
      </c>
      <c r="H9" s="297">
        <f t="shared" si="4"/>
        <v>3199.9999999999995</v>
      </c>
      <c r="I9" s="297">
        <f t="shared" si="5"/>
        <v>2007.3666666666666</v>
      </c>
      <c r="J9" s="297"/>
      <c r="K9" s="297">
        <f t="shared" si="6"/>
        <v>3523.8095238095234</v>
      </c>
      <c r="L9" s="297">
        <f t="shared" si="14"/>
        <v>58142.857142857145</v>
      </c>
      <c r="M9" s="297">
        <f t="shared" si="7"/>
        <v>2205.9047619047619</v>
      </c>
      <c r="N9" s="297">
        <f t="shared" si="2"/>
        <v>3717.6190476190468</v>
      </c>
      <c r="O9" s="297">
        <f t="shared" si="8"/>
        <v>2327.2295238095235</v>
      </c>
      <c r="P9" s="297"/>
      <c r="Q9" s="297">
        <f t="shared" si="9"/>
        <v>4698.4126984126979</v>
      </c>
      <c r="R9" s="297">
        <f t="shared" si="15"/>
        <v>77523.809523809497</v>
      </c>
      <c r="S9" s="297">
        <f t="shared" si="10"/>
        <v>2941.2063492063489</v>
      </c>
      <c r="T9" s="297">
        <f t="shared" si="11"/>
        <v>4933.333333333333</v>
      </c>
      <c r="U9" s="297">
        <f t="shared" si="12"/>
        <v>3088.2666666666664</v>
      </c>
    </row>
    <row r="10" spans="1:21">
      <c r="A10" s="298" t="s">
        <v>266</v>
      </c>
      <c r="B10" s="297">
        <v>2500</v>
      </c>
      <c r="C10" s="364">
        <f t="shared" si="3"/>
        <v>7.9365079365079361E-2</v>
      </c>
      <c r="D10" s="297"/>
      <c r="E10" s="297">
        <f t="shared" si="0"/>
        <v>7619.0476190476184</v>
      </c>
      <c r="F10" s="297">
        <f t="shared" si="13"/>
        <v>57904.761904761908</v>
      </c>
      <c r="G10" s="297">
        <f t="shared" si="1"/>
        <v>4779.4444444444443</v>
      </c>
      <c r="H10" s="297">
        <f t="shared" si="4"/>
        <v>8000</v>
      </c>
      <c r="I10" s="297">
        <f t="shared" si="5"/>
        <v>5018.416666666667</v>
      </c>
      <c r="J10" s="297"/>
      <c r="K10" s="297">
        <f t="shared" si="6"/>
        <v>8809.5238095238092</v>
      </c>
      <c r="L10" s="297">
        <f t="shared" si="14"/>
        <v>66952.380952380947</v>
      </c>
      <c r="M10" s="297">
        <f t="shared" si="7"/>
        <v>5514.7619047619046</v>
      </c>
      <c r="N10" s="297">
        <f t="shared" si="2"/>
        <v>9294.0476190476184</v>
      </c>
      <c r="O10" s="297">
        <f t="shared" si="8"/>
        <v>5818.0738095238094</v>
      </c>
      <c r="P10" s="297"/>
      <c r="Q10" s="297">
        <f t="shared" si="9"/>
        <v>11746.031746031746</v>
      </c>
      <c r="R10" s="297">
        <f t="shared" si="15"/>
        <v>89269.841269841243</v>
      </c>
      <c r="S10" s="297">
        <f t="shared" si="10"/>
        <v>7353.0158730158728</v>
      </c>
      <c r="T10" s="297">
        <f t="shared" si="11"/>
        <v>12333.333333333334</v>
      </c>
      <c r="U10" s="297">
        <f t="shared" si="12"/>
        <v>7720.666666666667</v>
      </c>
    </row>
    <row r="11" spans="1:21">
      <c r="A11" s="298" t="s">
        <v>267</v>
      </c>
      <c r="B11" s="297">
        <v>3800</v>
      </c>
      <c r="C11" s="364">
        <f t="shared" si="3"/>
        <v>0.12063492063492064</v>
      </c>
      <c r="D11" s="297"/>
      <c r="E11" s="297">
        <f t="shared" si="0"/>
        <v>11580.952380952382</v>
      </c>
      <c r="F11" s="297">
        <f t="shared" si="13"/>
        <v>69485.71428571429</v>
      </c>
      <c r="G11" s="297">
        <f t="shared" si="1"/>
        <v>7264.7555555555555</v>
      </c>
      <c r="H11" s="297">
        <f t="shared" si="4"/>
        <v>12160.000000000002</v>
      </c>
      <c r="I11" s="297">
        <f t="shared" si="5"/>
        <v>7627.9933333333338</v>
      </c>
      <c r="J11" s="297"/>
      <c r="K11" s="297">
        <f t="shared" si="6"/>
        <v>13390.476190476191</v>
      </c>
      <c r="L11" s="297">
        <f t="shared" si="14"/>
        <v>80342.85714285713</v>
      </c>
      <c r="M11" s="297">
        <f t="shared" si="7"/>
        <v>8382.4380952380961</v>
      </c>
      <c r="N11" s="297">
        <f t="shared" si="2"/>
        <v>14126.95238095238</v>
      </c>
      <c r="O11" s="297">
        <f t="shared" si="8"/>
        <v>8843.47219047619</v>
      </c>
      <c r="P11" s="297"/>
      <c r="Q11" s="297">
        <f t="shared" si="9"/>
        <v>17853.968253968254</v>
      </c>
      <c r="R11" s="297">
        <f t="shared" si="15"/>
        <v>107123.8095238095</v>
      </c>
      <c r="S11" s="297">
        <f t="shared" si="10"/>
        <v>11176.584126984128</v>
      </c>
      <c r="T11" s="297">
        <f t="shared" si="11"/>
        <v>18746.666666666668</v>
      </c>
      <c r="U11" s="297">
        <f t="shared" si="12"/>
        <v>11735.413333333334</v>
      </c>
    </row>
    <row r="12" spans="1:21">
      <c r="A12" s="298" t="s">
        <v>268</v>
      </c>
      <c r="B12" s="297">
        <v>4000</v>
      </c>
      <c r="C12" s="364">
        <f t="shared" si="3"/>
        <v>0.12698412698412698</v>
      </c>
      <c r="D12" s="297"/>
      <c r="E12" s="297">
        <f t="shared" si="0"/>
        <v>12190.476190476189</v>
      </c>
      <c r="F12" s="297">
        <f t="shared" si="13"/>
        <v>81676.190476190473</v>
      </c>
      <c r="G12" s="297">
        <f t="shared" si="1"/>
        <v>7647.1111111111104</v>
      </c>
      <c r="H12" s="297">
        <f t="shared" si="4"/>
        <v>12799.999999999998</v>
      </c>
      <c r="I12" s="297">
        <f t="shared" si="5"/>
        <v>8029.4666666666662</v>
      </c>
      <c r="J12" s="297"/>
      <c r="K12" s="297">
        <f t="shared" si="6"/>
        <v>14095.238095238094</v>
      </c>
      <c r="L12" s="297">
        <f t="shared" si="14"/>
        <v>94438.095238095222</v>
      </c>
      <c r="M12" s="297">
        <f t="shared" si="7"/>
        <v>8823.6190476190477</v>
      </c>
      <c r="N12" s="297">
        <f t="shared" si="2"/>
        <v>14870.476190476187</v>
      </c>
      <c r="O12" s="297">
        <f t="shared" si="8"/>
        <v>9308.9180952380939</v>
      </c>
      <c r="P12" s="297"/>
      <c r="Q12" s="297">
        <f t="shared" si="9"/>
        <v>18793.650793650791</v>
      </c>
      <c r="R12" s="297">
        <f t="shared" si="15"/>
        <v>125917.4603174603</v>
      </c>
      <c r="S12" s="297">
        <f t="shared" si="10"/>
        <v>11764.825396825396</v>
      </c>
      <c r="T12" s="297">
        <f t="shared" si="11"/>
        <v>19733.333333333332</v>
      </c>
      <c r="U12" s="297">
        <f t="shared" si="12"/>
        <v>12353.066666666666</v>
      </c>
    </row>
    <row r="13" spans="1:21">
      <c r="A13" s="298" t="s">
        <v>269</v>
      </c>
      <c r="B13" s="297">
        <v>4700</v>
      </c>
      <c r="C13" s="364">
        <f t="shared" si="3"/>
        <v>0.1492063492063492</v>
      </c>
      <c r="D13" s="297"/>
      <c r="E13" s="297">
        <f t="shared" si="0"/>
        <v>14323.809523809523</v>
      </c>
      <c r="F13" s="297">
        <f t="shared" si="13"/>
        <v>96000</v>
      </c>
      <c r="G13" s="297">
        <f t="shared" si="1"/>
        <v>8985.3555555555558</v>
      </c>
      <c r="H13" s="297">
        <f t="shared" si="4"/>
        <v>15040</v>
      </c>
      <c r="I13" s="297">
        <f t="shared" si="5"/>
        <v>9434.6233333333348</v>
      </c>
      <c r="J13" s="297"/>
      <c r="K13" s="297">
        <f t="shared" si="6"/>
        <v>16561.904761904763</v>
      </c>
      <c r="L13" s="297">
        <f t="shared" si="14"/>
        <v>110999.99999999999</v>
      </c>
      <c r="M13" s="297">
        <f t="shared" si="7"/>
        <v>10367.752380952381</v>
      </c>
      <c r="N13" s="297">
        <f t="shared" si="2"/>
        <v>17472.809523809523</v>
      </c>
      <c r="O13" s="297">
        <f t="shared" si="8"/>
        <v>10937.978761904762</v>
      </c>
      <c r="P13" s="297"/>
      <c r="Q13" s="297">
        <f t="shared" si="9"/>
        <v>22082.539682539682</v>
      </c>
      <c r="R13" s="297">
        <f t="shared" si="15"/>
        <v>147999.99999999997</v>
      </c>
      <c r="S13" s="297">
        <f t="shared" si="10"/>
        <v>13823.669841269841</v>
      </c>
      <c r="T13" s="297">
        <f t="shared" si="11"/>
        <v>23186.666666666668</v>
      </c>
      <c r="U13" s="297">
        <f t="shared" si="12"/>
        <v>14514.853333333333</v>
      </c>
    </row>
    <row r="14" spans="1:21">
      <c r="A14" s="298"/>
      <c r="B14" s="297">
        <f>SUM(B2:B13)</f>
        <v>31500</v>
      </c>
      <c r="C14" s="364">
        <f t="shared" si="3"/>
        <v>1</v>
      </c>
      <c r="D14" s="297"/>
      <c r="E14" s="297">
        <v>96000</v>
      </c>
      <c r="F14" s="297"/>
      <c r="G14" s="297">
        <v>60221</v>
      </c>
      <c r="H14" s="297">
        <f t="shared" si="4"/>
        <v>100800</v>
      </c>
      <c r="I14" s="297">
        <f t="shared" si="5"/>
        <v>63232.05</v>
      </c>
      <c r="J14" s="297"/>
      <c r="K14" s="297">
        <v>111000</v>
      </c>
      <c r="L14" s="297"/>
      <c r="M14" s="297">
        <f>K14*(1-0.374)</f>
        <v>69486</v>
      </c>
      <c r="N14" s="297">
        <f>K14*1.055</f>
        <v>117105</v>
      </c>
      <c r="O14" s="297">
        <f t="shared" si="8"/>
        <v>73307.73</v>
      </c>
      <c r="P14" s="297"/>
      <c r="Q14" s="297">
        <v>148000</v>
      </c>
      <c r="R14" s="297"/>
      <c r="S14" s="297">
        <f>Q14*(1-0.374)</f>
        <v>92648</v>
      </c>
      <c r="T14" s="297">
        <f t="shared" si="11"/>
        <v>155400</v>
      </c>
      <c r="U14" s="297">
        <f t="shared" si="12"/>
        <v>97280.400000000009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3"/>
  <sheetViews>
    <sheetView topLeftCell="A4" workbookViewId="0">
      <selection activeCell="L5" sqref="L5"/>
    </sheetView>
  </sheetViews>
  <sheetFormatPr baseColWidth="10" defaultColWidth="11.44140625" defaultRowHeight="15"/>
  <cols>
    <col min="1" max="1" width="7" style="10" customWidth="1"/>
    <col min="2" max="2" width="3.33203125" style="10" bestFit="1" customWidth="1"/>
    <col min="3" max="3" width="44.88671875" style="20" customWidth="1"/>
    <col min="4" max="4" width="13.33203125" style="22" customWidth="1"/>
    <col min="5" max="5" width="5.33203125" style="10" customWidth="1"/>
    <col min="6" max="6" width="11.44140625" style="10"/>
    <col min="7" max="7" width="38.44140625" style="10" customWidth="1"/>
    <col min="8" max="8" width="21.5546875" style="10" customWidth="1"/>
    <col min="9" max="16384" width="11.44140625" style="10"/>
  </cols>
  <sheetData>
    <row r="1" spans="2:8">
      <c r="D1" s="53"/>
    </row>
    <row r="2" spans="2:8" ht="21">
      <c r="C2" s="374" t="s">
        <v>206</v>
      </c>
      <c r="D2" s="375"/>
      <c r="E2" s="375"/>
      <c r="F2" s="375"/>
      <c r="G2" s="375"/>
      <c r="H2" s="375"/>
    </row>
    <row r="3" spans="2:8">
      <c r="D3" s="53"/>
    </row>
    <row r="4" spans="2:8">
      <c r="D4" s="53"/>
    </row>
    <row r="5" spans="2:8" ht="13.8" thickBot="1">
      <c r="C5" s="56"/>
      <c r="D5" s="57" t="s">
        <v>213</v>
      </c>
      <c r="H5" s="216" t="s">
        <v>213</v>
      </c>
    </row>
    <row r="6" spans="2:8" ht="13.5" customHeight="1" thickTop="1">
      <c r="B6" s="371" t="s">
        <v>109</v>
      </c>
      <c r="C6" s="63" t="s">
        <v>50</v>
      </c>
      <c r="D6" s="64"/>
      <c r="F6" s="376" t="s">
        <v>113</v>
      </c>
      <c r="G6" s="214"/>
      <c r="H6" s="62"/>
    </row>
    <row r="7" spans="2:8" ht="13.2">
      <c r="B7" s="372"/>
      <c r="C7" s="60" t="s">
        <v>3</v>
      </c>
      <c r="D7" s="81">
        <f>SUM(D8:D13)</f>
        <v>10250</v>
      </c>
      <c r="F7" s="377"/>
      <c r="G7" s="213" t="s">
        <v>224</v>
      </c>
      <c r="H7" s="65">
        <v>3000</v>
      </c>
    </row>
    <row r="8" spans="2:8" ht="13.2">
      <c r="B8" s="372"/>
      <c r="C8" s="66" t="s">
        <v>126</v>
      </c>
      <c r="D8" s="67">
        <v>500</v>
      </c>
      <c r="F8" s="377"/>
      <c r="G8" s="213"/>
      <c r="H8" s="65"/>
    </row>
    <row r="9" spans="2:8" ht="13.2">
      <c r="B9" s="372"/>
      <c r="C9" s="102" t="s">
        <v>217</v>
      </c>
      <c r="D9" s="233">
        <v>1200</v>
      </c>
      <c r="F9" s="377"/>
      <c r="G9" s="213"/>
      <c r="H9" s="65"/>
    </row>
    <row r="10" spans="2:8" ht="13.2">
      <c r="B10" s="372"/>
      <c r="C10" s="66" t="s">
        <v>212</v>
      </c>
      <c r="D10" s="67">
        <v>3000</v>
      </c>
      <c r="F10" s="377"/>
      <c r="G10" s="213"/>
      <c r="H10" s="65"/>
    </row>
    <row r="11" spans="2:8" ht="13.2">
      <c r="B11" s="372"/>
      <c r="C11" s="66" t="s">
        <v>219</v>
      </c>
      <c r="D11" s="67">
        <v>5000</v>
      </c>
      <c r="F11" s="377"/>
      <c r="G11" s="213" t="s">
        <v>129</v>
      </c>
      <c r="H11" s="65">
        <v>0</v>
      </c>
    </row>
    <row r="12" spans="2:8" ht="13.2">
      <c r="B12" s="372"/>
      <c r="C12" s="66" t="s">
        <v>221</v>
      </c>
      <c r="D12" s="67">
        <v>300</v>
      </c>
      <c r="F12" s="377"/>
      <c r="G12" s="213"/>
      <c r="H12" s="65"/>
    </row>
    <row r="13" spans="2:8" ht="13.2">
      <c r="B13" s="372"/>
      <c r="C13" s="66" t="s">
        <v>220</v>
      </c>
      <c r="D13" s="67">
        <v>250</v>
      </c>
      <c r="F13" s="377"/>
      <c r="G13" s="213" t="s">
        <v>222</v>
      </c>
      <c r="H13" s="65"/>
    </row>
    <row r="14" spans="2:8" ht="13.2">
      <c r="B14" s="372"/>
      <c r="C14" s="63" t="s">
        <v>50</v>
      </c>
      <c r="D14" s="64" t="s">
        <v>50</v>
      </c>
      <c r="F14" s="377"/>
      <c r="G14" s="213"/>
      <c r="H14" s="65"/>
    </row>
    <row r="15" spans="2:8" ht="13.2">
      <c r="B15" s="372"/>
      <c r="C15" s="60" t="s">
        <v>8</v>
      </c>
      <c r="D15" s="82">
        <f>SUM(D16:D16)</f>
        <v>5000</v>
      </c>
      <c r="F15" s="377"/>
      <c r="G15" s="213"/>
      <c r="H15" s="65"/>
    </row>
    <row r="16" spans="2:8" ht="13.2">
      <c r="B16" s="372"/>
      <c r="C16" s="66" t="s">
        <v>218</v>
      </c>
      <c r="D16" s="67">
        <v>5000</v>
      </c>
      <c r="F16" s="377"/>
      <c r="G16" s="213" t="s">
        <v>223</v>
      </c>
      <c r="H16" s="65">
        <f>SUM(H17:H18)</f>
        <v>15000</v>
      </c>
    </row>
    <row r="17" spans="2:8" ht="13.2">
      <c r="B17" s="372"/>
      <c r="C17" s="63" t="s">
        <v>50</v>
      </c>
      <c r="D17" s="64"/>
      <c r="F17" s="377"/>
      <c r="G17" s="66" t="s">
        <v>215</v>
      </c>
      <c r="H17" s="67">
        <v>15000</v>
      </c>
    </row>
    <row r="18" spans="2:8" ht="13.2">
      <c r="B18" s="372"/>
      <c r="C18" s="60" t="s">
        <v>15</v>
      </c>
      <c r="D18" s="65">
        <f>SUM(D19:D20)</f>
        <v>0</v>
      </c>
      <c r="F18" s="377"/>
      <c r="G18" s="66" t="s">
        <v>216</v>
      </c>
      <c r="H18" s="67">
        <v>0</v>
      </c>
    </row>
    <row r="19" spans="2:8" ht="13.2">
      <c r="B19" s="372"/>
      <c r="C19" s="66" t="s">
        <v>210</v>
      </c>
      <c r="D19" s="67">
        <v>0</v>
      </c>
      <c r="F19" s="377"/>
      <c r="G19" s="213"/>
      <c r="H19" s="65"/>
    </row>
    <row r="20" spans="2:8" ht="13.2">
      <c r="B20" s="372"/>
      <c r="C20" s="66" t="s">
        <v>211</v>
      </c>
      <c r="D20" s="67">
        <v>0</v>
      </c>
      <c r="F20" s="377"/>
      <c r="G20" s="213" t="s">
        <v>127</v>
      </c>
      <c r="H20" s="65">
        <v>0</v>
      </c>
    </row>
    <row r="21" spans="2:8" ht="13.2">
      <c r="B21" s="372"/>
      <c r="C21" s="60"/>
      <c r="D21" s="65"/>
      <c r="F21" s="377"/>
      <c r="G21" s="213"/>
      <c r="H21" s="65"/>
    </row>
    <row r="22" spans="2:8" ht="13.2">
      <c r="B22" s="372"/>
      <c r="C22" s="63"/>
      <c r="D22" s="69"/>
      <c r="F22" s="377"/>
      <c r="G22" s="215"/>
      <c r="H22" s="64"/>
    </row>
    <row r="23" spans="2:8" ht="13.2">
      <c r="B23" s="372"/>
      <c r="C23" s="60" t="s">
        <v>110</v>
      </c>
      <c r="D23" s="81">
        <f>SUM(D24:D26)</f>
        <v>0</v>
      </c>
      <c r="F23" s="377"/>
      <c r="G23" s="213" t="s">
        <v>208</v>
      </c>
      <c r="H23" s="65">
        <v>0</v>
      </c>
    </row>
    <row r="24" spans="2:8" ht="13.2">
      <c r="B24" s="372"/>
      <c r="C24" s="66" t="s">
        <v>207</v>
      </c>
      <c r="D24" s="67">
        <v>0</v>
      </c>
      <c r="F24" s="377"/>
      <c r="G24" s="213"/>
      <c r="H24" s="68"/>
    </row>
    <row r="25" spans="2:8" ht="13.2">
      <c r="B25" s="372"/>
      <c r="C25" s="66" t="s">
        <v>209</v>
      </c>
      <c r="D25" s="67">
        <v>0</v>
      </c>
      <c r="F25" s="377"/>
      <c r="G25" s="212"/>
      <c r="H25" s="12"/>
    </row>
    <row r="26" spans="2:8" ht="13.2">
      <c r="B26" s="372"/>
      <c r="C26" s="66" t="s">
        <v>214</v>
      </c>
      <c r="D26" s="67">
        <v>0</v>
      </c>
      <c r="F26" s="377"/>
      <c r="G26" s="212"/>
      <c r="H26" s="12"/>
    </row>
    <row r="27" spans="2:8" ht="13.2">
      <c r="B27" s="372"/>
      <c r="C27" s="63"/>
      <c r="D27" s="69"/>
      <c r="F27" s="377"/>
      <c r="G27" s="212"/>
      <c r="H27" s="12"/>
    </row>
    <row r="28" spans="2:8" ht="13.8" thickBot="1">
      <c r="B28" s="372"/>
      <c r="C28" s="210"/>
      <c r="D28" s="211"/>
      <c r="F28" s="377"/>
      <c r="H28" s="12"/>
    </row>
    <row r="29" spans="2:8" ht="14.4" thickTop="1" thickBot="1">
      <c r="B29" s="372"/>
      <c r="C29" s="209" t="s">
        <v>112</v>
      </c>
      <c r="D29" s="85">
        <f>D23+D18+D15+D7</f>
        <v>15250</v>
      </c>
      <c r="F29" s="377"/>
      <c r="H29" s="12"/>
    </row>
    <row r="30" spans="2:8" ht="13.8" thickTop="1">
      <c r="B30" s="372"/>
      <c r="C30" s="10"/>
      <c r="D30" s="10"/>
      <c r="F30" s="377"/>
      <c r="H30" s="12"/>
    </row>
    <row r="31" spans="2:8" ht="13.8" thickBot="1">
      <c r="B31" s="372"/>
      <c r="C31" s="10"/>
      <c r="D31" s="10"/>
      <c r="F31" s="377"/>
      <c r="H31" s="12"/>
    </row>
    <row r="32" spans="2:8" ht="13.8" thickTop="1">
      <c r="B32" s="372"/>
      <c r="C32" s="10"/>
      <c r="D32" s="10"/>
      <c r="F32" s="377"/>
      <c r="G32" s="16" t="s">
        <v>114</v>
      </c>
      <c r="H32" s="217">
        <f>SUM(H7:H31)-H17-H18</f>
        <v>18000</v>
      </c>
    </row>
    <row r="33" spans="2:6" ht="13.8" thickBot="1">
      <c r="B33" s="373"/>
      <c r="C33" s="10"/>
      <c r="D33" s="10"/>
      <c r="F33" s="378"/>
    </row>
    <row r="34" spans="2:6" ht="14.4" thickTop="1" thickBot="1">
      <c r="C34" s="79" t="s">
        <v>115</v>
      </c>
      <c r="D34" s="84">
        <f>H32-D29</f>
        <v>2750</v>
      </c>
    </row>
    <row r="35" spans="2:6" ht="13.8" thickTop="1">
      <c r="C35" s="10"/>
      <c r="D35" s="10"/>
    </row>
    <row r="36" spans="2:6" ht="13.2">
      <c r="C36" s="10"/>
      <c r="D36" s="10"/>
    </row>
    <row r="37" spans="2:6" ht="13.2">
      <c r="C37" s="10"/>
      <c r="D37" s="10"/>
    </row>
    <row r="38" spans="2:6" ht="13.2">
      <c r="C38" s="10"/>
      <c r="D38" s="10"/>
    </row>
    <row r="39" spans="2:6" ht="13.2">
      <c r="C39" s="10"/>
      <c r="D39" s="10"/>
    </row>
    <row r="40" spans="2:6" ht="13.2">
      <c r="C40" s="10"/>
      <c r="D40" s="10"/>
    </row>
    <row r="41" spans="2:6" ht="13.2">
      <c r="C41" s="10"/>
      <c r="D41" s="10"/>
    </row>
    <row r="42" spans="2:6" ht="13.2">
      <c r="C42" s="10"/>
      <c r="D42" s="10"/>
    </row>
    <row r="43" spans="2:6" ht="13.2">
      <c r="C43" s="10"/>
      <c r="D43" s="10"/>
    </row>
  </sheetData>
  <mergeCells count="3">
    <mergeCell ref="B6:B33"/>
    <mergeCell ref="C2:H2"/>
    <mergeCell ref="F6:F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01"/>
  <sheetViews>
    <sheetView workbookViewId="0">
      <selection activeCell="F4" sqref="F4"/>
    </sheetView>
  </sheetViews>
  <sheetFormatPr baseColWidth="10" defaultColWidth="11.44140625" defaultRowHeight="13.2"/>
  <cols>
    <col min="1" max="1" width="11.44140625" style="142"/>
    <col min="2" max="2" width="16.33203125" style="142" customWidth="1"/>
    <col min="3" max="3" width="16.33203125" style="193" customWidth="1"/>
    <col min="4" max="8" width="16.33203125" style="142" customWidth="1"/>
    <col min="9" max="10" width="11.44140625" style="142"/>
    <col min="11" max="11" width="11.44140625" style="146"/>
    <col min="12" max="13" width="11.44140625" style="142"/>
    <col min="14" max="16384" width="11.44140625" style="10"/>
  </cols>
  <sheetData>
    <row r="1" spans="1:13" ht="13.8" thickBot="1">
      <c r="A1" s="10"/>
      <c r="B1" s="10"/>
      <c r="C1" s="141"/>
      <c r="D1" s="10"/>
      <c r="E1" s="10"/>
      <c r="F1" s="10"/>
      <c r="G1" s="10"/>
      <c r="H1" s="10"/>
      <c r="I1" s="10"/>
      <c r="J1" s="10"/>
      <c r="K1" s="140"/>
      <c r="L1" s="10"/>
      <c r="M1" s="10"/>
    </row>
    <row r="2" spans="1:13" ht="22.2" thickTop="1" thickBot="1">
      <c r="A2" s="10"/>
      <c r="B2" s="383" t="s">
        <v>130</v>
      </c>
      <c r="C2" s="384"/>
      <c r="D2" s="384"/>
      <c r="E2" s="384"/>
      <c r="F2" s="384"/>
      <c r="G2" s="384"/>
      <c r="H2" s="385"/>
      <c r="I2" s="10"/>
      <c r="J2" s="10"/>
      <c r="K2" s="140"/>
      <c r="L2" s="10"/>
      <c r="M2" s="10"/>
    </row>
    <row r="3" spans="1:13" ht="15.6" thickTop="1">
      <c r="B3" s="143"/>
      <c r="C3" s="144"/>
      <c r="D3" s="143"/>
      <c r="E3" s="145"/>
      <c r="F3" s="145"/>
    </row>
    <row r="4" spans="1:13" s="142" customFormat="1" ht="23.4" thickBot="1">
      <c r="B4" s="147"/>
      <c r="C4" s="148"/>
      <c r="D4" s="147"/>
      <c r="E4" s="149">
        <f>E12*12</f>
        <v>4178.4484942980534</v>
      </c>
      <c r="F4" s="149"/>
      <c r="G4" s="149"/>
      <c r="K4" s="146"/>
    </row>
    <row r="5" spans="1:13" s="154" customFormat="1" ht="14.25" customHeight="1" thickTop="1">
      <c r="A5" s="150"/>
      <c r="B5" s="386" t="s">
        <v>194</v>
      </c>
      <c r="C5" s="387"/>
      <c r="D5" s="151">
        <v>12250</v>
      </c>
      <c r="E5" s="152"/>
      <c r="F5" s="386" t="s">
        <v>195</v>
      </c>
      <c r="G5" s="387"/>
      <c r="H5" s="153">
        <f>IF(Valeurs_saisies,-PMT(taux_interet_annueld/nombre_versements_an,duree_du_pret*nombre_versements_an,montant_du_pretd),"")</f>
        <v>348.20404119150447</v>
      </c>
      <c r="I5" s="152"/>
      <c r="J5" s="154" t="s">
        <v>285</v>
      </c>
    </row>
    <row r="6" spans="1:13" s="154" customFormat="1" ht="14.25" customHeight="1">
      <c r="A6" s="150"/>
      <c r="B6" s="379" t="s">
        <v>196</v>
      </c>
      <c r="C6" s="380"/>
      <c r="D6" s="156">
        <v>1.4999999999999999E-2</v>
      </c>
      <c r="E6" s="152"/>
      <c r="F6" s="379" t="s">
        <v>197</v>
      </c>
      <c r="G6" s="380"/>
      <c r="H6" s="157">
        <f>IF(AND(COUNT(duree_du_pret),COUNT(nombre_versements_an)),duree_du_pret*nombre_versements_an,"")</f>
        <v>36</v>
      </c>
      <c r="I6" s="158"/>
      <c r="K6" s="155"/>
    </row>
    <row r="7" spans="1:13" s="154" customFormat="1" ht="14.25" customHeight="1" thickBot="1">
      <c r="A7" s="150"/>
      <c r="B7" s="379" t="s">
        <v>198</v>
      </c>
      <c r="C7" s="380"/>
      <c r="D7" s="159">
        <v>3</v>
      </c>
      <c r="E7" s="152"/>
      <c r="F7" s="381" t="s">
        <v>204</v>
      </c>
      <c r="G7" s="382"/>
      <c r="H7" s="160">
        <f>SUM(G12:G371)</f>
        <v>285.34548289389306</v>
      </c>
      <c r="I7" s="158"/>
      <c r="K7" s="155"/>
    </row>
    <row r="8" spans="1:13" s="154" customFormat="1" ht="14.25" customHeight="1" thickTop="1">
      <c r="A8" s="150"/>
      <c r="B8" s="379" t="s">
        <v>199</v>
      </c>
      <c r="C8" s="380"/>
      <c r="D8" s="159">
        <v>12</v>
      </c>
      <c r="E8" s="152"/>
      <c r="F8" s="161"/>
      <c r="G8" s="162"/>
      <c r="H8" s="163"/>
      <c r="I8" s="158"/>
      <c r="K8" s="155"/>
    </row>
    <row r="9" spans="1:13" s="154" customFormat="1" ht="14.25" customHeight="1" thickBot="1">
      <c r="A9" s="150"/>
      <c r="B9" s="381" t="s">
        <v>200</v>
      </c>
      <c r="C9" s="382"/>
      <c r="D9" s="164">
        <v>41640</v>
      </c>
      <c r="E9" s="152"/>
      <c r="F9" s="152"/>
      <c r="G9" s="165"/>
      <c r="H9" s="166"/>
      <c r="I9" s="158"/>
      <c r="K9" s="155"/>
    </row>
    <row r="10" spans="1:13" s="154" customFormat="1" ht="14.25" customHeight="1" thickTop="1">
      <c r="A10" s="167"/>
      <c r="B10" s="167"/>
      <c r="C10" s="168"/>
      <c r="D10" s="167"/>
      <c r="E10" s="155"/>
      <c r="F10" s="167"/>
      <c r="G10" s="351">
        <f>SUM(G36:G47)</f>
        <v>33.752777584993943</v>
      </c>
      <c r="H10" s="167"/>
      <c r="I10" s="167"/>
      <c r="K10" s="155"/>
    </row>
    <row r="11" spans="1:13" s="169" customFormat="1" ht="25.5" customHeight="1">
      <c r="B11" s="170" t="s">
        <v>195</v>
      </c>
      <c r="C11" s="171" t="s">
        <v>203</v>
      </c>
      <c r="D11" s="170" t="s">
        <v>205</v>
      </c>
      <c r="E11" s="170" t="s">
        <v>195</v>
      </c>
      <c r="F11" s="170" t="s">
        <v>201</v>
      </c>
      <c r="G11" s="170" t="s">
        <v>131</v>
      </c>
      <c r="H11" s="170" t="s">
        <v>202</v>
      </c>
      <c r="L11" s="172"/>
    </row>
    <row r="12" spans="1:13" s="169" customFormat="1" ht="14.25" customHeight="1">
      <c r="B12" s="173">
        <f>IF(Valeurs_saisies,IF(duree_du_pret&gt;L12,1,""),"")</f>
        <v>1</v>
      </c>
      <c r="C12" s="174">
        <f>IF(colonneA&lt;&gt;"",DATE(YEAR($D$9),MONTH($D$9)+(colonneA)*12/nombre_versements_an,DAY($D$9)),"")</f>
        <v>41671</v>
      </c>
      <c r="D12" s="175">
        <f>IF(Valeurs_saisies,montant_du_pretd,"")</f>
        <v>12250</v>
      </c>
      <c r="E12" s="175">
        <f t="shared" ref="E12:E75" si="0">IF(colonneA&lt;&gt;"",$H$5,"")</f>
        <v>348.20404119150447</v>
      </c>
      <c r="F12" s="175">
        <f>IF(colonneA&lt;&gt;"",mensualite-G12,"")</f>
        <v>332.89154119150447</v>
      </c>
      <c r="G12" s="175">
        <f>IF(colonneA&lt;&gt;"",capital_restant_du*(taux_interet_annueld/nombre_versements_an),"")</f>
        <v>15.3125</v>
      </c>
      <c r="H12" s="175">
        <f>IF(colonneA&lt;&gt;"",D12-F12,"")</f>
        <v>11917.108458808496</v>
      </c>
      <c r="L12" s="172">
        <v>0</v>
      </c>
    </row>
    <row r="13" spans="1:13" s="169" customFormat="1" ht="14.25" customHeight="1">
      <c r="B13" s="173">
        <f>IF(Valeurs_saisies,IF(duree_du_pret&gt;L13,B12+1,""),"")</f>
        <v>2</v>
      </c>
      <c r="C13" s="174">
        <f>IF(Valeurs_saisies,IF(colonneA&lt;&gt;"",DATE(YEAR($D$9),MONTH($D$9)+(colonneA)*12/nombre_versements_an,DAY($D$9)),""),"")</f>
        <v>41699</v>
      </c>
      <c r="D13" s="175">
        <f>IF(Valeurs_saisies,IF(colonneA&lt;&gt;"",H12,""),"")</f>
        <v>11917.108458808496</v>
      </c>
      <c r="E13" s="175">
        <f t="shared" si="0"/>
        <v>348.20404119150447</v>
      </c>
      <c r="F13" s="175">
        <f>IF(Valeurs_saisies,IF(colonneA&lt;&gt;"",mensualite-G13,""),"")</f>
        <v>333.30765561799387</v>
      </c>
      <c r="G13" s="175">
        <f>IF(Valeurs_saisies,IF(colonneA&lt;&gt;"",capital_restant_du*(taux_interet_annueld/nombre_versements_an),""),"")</f>
        <v>14.896385573510621</v>
      </c>
      <c r="H13" s="175">
        <f>IF(Valeurs_saisies,IF(colonneA&lt;&gt;"",D13-F13,""),"")</f>
        <v>11583.800803190503</v>
      </c>
      <c r="L13" s="172">
        <v>0</v>
      </c>
    </row>
    <row r="14" spans="1:13" s="169" customFormat="1" ht="14.25" customHeight="1">
      <c r="B14" s="173">
        <f>IF(Valeurs_saisies,IF(duree_du_pret&gt;L14,B13+1,""),"")</f>
        <v>3</v>
      </c>
      <c r="C14" s="174">
        <f>IF(Valeurs_saisies,IF(colonneA&lt;&gt;"",DATE(YEAR($D$9),MONTH($D$9)+(colonneA)*12/nombre_versements_an,DAY($D$9)),""),"")</f>
        <v>41730</v>
      </c>
      <c r="D14" s="175">
        <f>IF(Valeurs_saisies,IF(colonneA&lt;&gt;"",H13,""),"")</f>
        <v>11583.800803190503</v>
      </c>
      <c r="E14" s="175">
        <f t="shared" si="0"/>
        <v>348.20404119150447</v>
      </c>
      <c r="F14" s="175">
        <f>IF(Valeurs_saisies,IF(colonneA&lt;&gt;"",mensualite-G14,""),"")</f>
        <v>333.72429018751632</v>
      </c>
      <c r="G14" s="175">
        <f>IF(Valeurs_saisies,IF(colonneA&lt;&gt;"",capital_restant_du*(taux_interet_annueld/nombre_versements_an),""),"")</f>
        <v>14.479751003988129</v>
      </c>
      <c r="H14" s="175">
        <f>IF(Valeurs_saisies,IF(colonneA&lt;&gt;"",D14-F14,""),"")</f>
        <v>11250.076513002987</v>
      </c>
      <c r="L14" s="172">
        <v>0</v>
      </c>
    </row>
    <row r="15" spans="1:13" s="169" customFormat="1" ht="14.25" customHeight="1">
      <c r="B15" s="173">
        <f>IF(Valeurs_saisies,IF(duree_du_pret&gt;L15,B14+1,""),"")</f>
        <v>4</v>
      </c>
      <c r="C15" s="174">
        <f>IF(Valeurs_saisies,IF(colonneA&lt;&gt;"",DATE(YEAR($D$9),MONTH($D$9)+(colonneA)*12/nombre_versements_an,DAY($D$9)),""),"")</f>
        <v>41760</v>
      </c>
      <c r="D15" s="175">
        <f>IF(Valeurs_saisies,IF(colonneA&lt;&gt;"",H14,""),"")</f>
        <v>11250.076513002987</v>
      </c>
      <c r="E15" s="175">
        <f t="shared" si="0"/>
        <v>348.20404119150447</v>
      </c>
      <c r="F15" s="175">
        <f>IF(Valeurs_saisies,IF(colonneA&lt;&gt;"",mensualite-G15,""),"")</f>
        <v>334.14144555025075</v>
      </c>
      <c r="G15" s="175">
        <f>IF(Valeurs_saisies,IF(colonneA&lt;&gt;"",capital_restant_du*(taux_interet_annueld/nombre_versements_an),""),"")</f>
        <v>14.062595641253735</v>
      </c>
      <c r="H15" s="175">
        <f>IF(Valeurs_saisies,IF(colonneA&lt;&gt;"",D15-F15,""),"")</f>
        <v>10915.935067452736</v>
      </c>
      <c r="L15" s="172">
        <v>0</v>
      </c>
    </row>
    <row r="16" spans="1:13" s="169" customFormat="1" ht="14.25" customHeight="1">
      <c r="B16" s="173">
        <f>IF(Valeurs_saisies,IF(duree_du_pret&gt;L16,B15+1,""),"")</f>
        <v>5</v>
      </c>
      <c r="C16" s="174">
        <f>IF(Valeurs_saisies,IF(colonneA&lt;&gt;"",DATE(YEAR($D$9),MONTH($D$9)+(colonneA)*12/nombre_versements_an,DAY($D$9)),""),"")</f>
        <v>41791</v>
      </c>
      <c r="D16" s="175">
        <f>IF(Valeurs_saisies,IF(colonneA&lt;&gt;"",H15,""),"")</f>
        <v>10915.935067452736</v>
      </c>
      <c r="E16" s="175">
        <f t="shared" si="0"/>
        <v>348.20404119150447</v>
      </c>
      <c r="F16" s="175">
        <f>IF(Valeurs_saisies,IF(colonneA&lt;&gt;"",mensualite-G16,""),"")</f>
        <v>334.55912235718853</v>
      </c>
      <c r="G16" s="175">
        <f>IF(Valeurs_saisies,IF(colonneA&lt;&gt;"",capital_restant_du*(taux_interet_annueld/nombre_versements_an),""),"")</f>
        <v>13.64491883431592</v>
      </c>
      <c r="H16" s="175">
        <f>IF(Valeurs_saisies,IF(colonneA&lt;&gt;"",D16-F16,""),"")</f>
        <v>10581.375945095548</v>
      </c>
      <c r="L16" s="172">
        <v>0</v>
      </c>
    </row>
    <row r="17" spans="2:12" s="169" customFormat="1" ht="14.25" customHeight="1">
      <c r="B17" s="173">
        <f>IF(Valeurs_saisies,IF(duree_du_pret&gt;L17,B16+1,""),"")</f>
        <v>6</v>
      </c>
      <c r="C17" s="174">
        <f>IF(Valeurs_saisies,IF(colonneA&lt;&gt;"",DATE(YEAR($D$9),MONTH($D$9)+(colonneA)*12/nombre_versements_an,DAY($D$9)),""),"")</f>
        <v>41821</v>
      </c>
      <c r="D17" s="175">
        <f>IF(Valeurs_saisies,IF(colonneA&lt;&gt;"",H16,""),"")</f>
        <v>10581.375945095548</v>
      </c>
      <c r="E17" s="175">
        <f t="shared" si="0"/>
        <v>348.20404119150447</v>
      </c>
      <c r="F17" s="175">
        <f>IF(Valeurs_saisies,IF(colonneA&lt;&gt;"",mensualite-G17,""),"")</f>
        <v>334.97732126013506</v>
      </c>
      <c r="G17" s="175">
        <f>IF(Valeurs_saisies,IF(colonneA&lt;&gt;"",capital_restant_du*(taux_interet_annueld/nombre_versements_an),""),"")</f>
        <v>13.226719931369434</v>
      </c>
      <c r="H17" s="175">
        <f>IF(Valeurs_saisies,IF(colonneA&lt;&gt;"",D17-F17,""),"")</f>
        <v>10246.398623835412</v>
      </c>
      <c r="L17" s="172">
        <v>0</v>
      </c>
    </row>
    <row r="18" spans="2:12" s="169" customFormat="1" ht="14.25" customHeight="1">
      <c r="B18" s="173">
        <f>IF(Valeurs_saisies,IF(duree_du_pret&gt;L18,B17+1,""),"")</f>
        <v>7</v>
      </c>
      <c r="C18" s="174">
        <f>IF(Valeurs_saisies,IF(colonneA&lt;&gt;"",DATE(YEAR($D$9),MONTH($D$9)+(colonneA)*12/nombre_versements_an,DAY($D$9)),""),"")</f>
        <v>41852</v>
      </c>
      <c r="D18" s="175">
        <f>IF(Valeurs_saisies,IF(colonneA&lt;&gt;"",H17,""),"")</f>
        <v>10246.398623835412</v>
      </c>
      <c r="E18" s="175">
        <f t="shared" si="0"/>
        <v>348.20404119150447</v>
      </c>
      <c r="F18" s="175">
        <f>IF(Valeurs_saisies,IF(colonneA&lt;&gt;"",mensualite-G18,""),"")</f>
        <v>335.3960429117102</v>
      </c>
      <c r="G18" s="175">
        <f>IF(Valeurs_saisies,IF(colonneA&lt;&gt;"",capital_restant_du*(taux_interet_annueld/nombre_versements_an),""),"")</f>
        <v>12.807998279794266</v>
      </c>
      <c r="H18" s="175">
        <f>IF(Valeurs_saisies,IF(colonneA&lt;&gt;"",D18-F18,""),"")</f>
        <v>9911.0025809237013</v>
      </c>
      <c r="L18" s="172">
        <v>0</v>
      </c>
    </row>
    <row r="19" spans="2:12" s="169" customFormat="1" ht="14.25" customHeight="1">
      <c r="B19" s="173">
        <f>IF(Valeurs_saisies,IF(duree_du_pret&gt;L19,B18+1,""),"")</f>
        <v>8</v>
      </c>
      <c r="C19" s="174">
        <f>IF(Valeurs_saisies,IF(colonneA&lt;&gt;"",DATE(YEAR($D$9),MONTH($D$9)+(colonneA)*12/nombre_versements_an,DAY($D$9)),""),"")</f>
        <v>41883</v>
      </c>
      <c r="D19" s="175">
        <f>IF(Valeurs_saisies,IF(colonneA&lt;&gt;"",H18,""),"")</f>
        <v>9911.0025809237013</v>
      </c>
      <c r="E19" s="175">
        <f t="shared" si="0"/>
        <v>348.20404119150447</v>
      </c>
      <c r="F19" s="175">
        <f>IF(Valeurs_saisies,IF(colonneA&lt;&gt;"",mensualite-G19,""),"")</f>
        <v>335.81528796534985</v>
      </c>
      <c r="G19" s="175">
        <f>IF(Valeurs_saisies,IF(colonneA&lt;&gt;"",capital_restant_du*(taux_interet_annueld/nombre_versements_an),""),"")</f>
        <v>12.388753226154627</v>
      </c>
      <c r="H19" s="175">
        <f>IF(Valeurs_saisies,IF(colonneA&lt;&gt;"",D19-F19,""),"")</f>
        <v>9575.1872929583515</v>
      </c>
      <c r="L19" s="172">
        <v>0</v>
      </c>
    </row>
    <row r="20" spans="2:12" s="169" customFormat="1" ht="14.25" customHeight="1">
      <c r="B20" s="173">
        <f>IF(Valeurs_saisies,IF(duree_du_pret&gt;L20,B19+1,""),"")</f>
        <v>9</v>
      </c>
      <c r="C20" s="174">
        <f>IF(Valeurs_saisies,IF(colonneA&lt;&gt;"",DATE(YEAR($D$9),MONTH($D$9)+(colonneA)*12/nombre_versements_an,DAY($D$9)),""),"")</f>
        <v>41913</v>
      </c>
      <c r="D20" s="175">
        <f>IF(Valeurs_saisies,IF(colonneA&lt;&gt;"",H19,""),"")</f>
        <v>9575.1872929583515</v>
      </c>
      <c r="E20" s="175">
        <f t="shared" si="0"/>
        <v>348.20404119150447</v>
      </c>
      <c r="F20" s="175">
        <f>IF(Valeurs_saisies,IF(colonneA&lt;&gt;"",mensualite-G20,""),"")</f>
        <v>336.23505707530654</v>
      </c>
      <c r="G20" s="175">
        <f>IF(Valeurs_saisies,IF(colonneA&lt;&gt;"",capital_restant_du*(taux_interet_annueld/nombre_versements_an),""),"")</f>
        <v>11.968984116197939</v>
      </c>
      <c r="H20" s="175">
        <f>IF(Valeurs_saisies,IF(colonneA&lt;&gt;"",D20-F20,""),"")</f>
        <v>9238.9522358830454</v>
      </c>
      <c r="L20" s="172">
        <v>0</v>
      </c>
    </row>
    <row r="21" spans="2:12" s="169" customFormat="1" ht="14.25" customHeight="1">
      <c r="B21" s="173">
        <f>IF(Valeurs_saisies,IF(duree_du_pret&gt;L21,B20+1,""),"")</f>
        <v>10</v>
      </c>
      <c r="C21" s="174">
        <f>IF(Valeurs_saisies,IF(colonneA&lt;&gt;"",DATE(YEAR($D$9),MONTH($D$9)+(colonneA)*12/nombre_versements_an,DAY($D$9)),""),"")</f>
        <v>41944</v>
      </c>
      <c r="D21" s="175">
        <f>IF(Valeurs_saisies,IF(colonneA&lt;&gt;"",H20,""),"")</f>
        <v>9238.9522358830454</v>
      </c>
      <c r="E21" s="175">
        <f t="shared" si="0"/>
        <v>348.20404119150447</v>
      </c>
      <c r="F21" s="175">
        <f>IF(Valeurs_saisies,IF(colonneA&lt;&gt;"",mensualite-G21,""),"")</f>
        <v>336.65535089665065</v>
      </c>
      <c r="G21" s="175">
        <f>IF(Valeurs_saisies,IF(colonneA&lt;&gt;"",capital_restant_du*(taux_interet_annueld/nombre_versements_an),""),"")</f>
        <v>11.548690294853808</v>
      </c>
      <c r="H21" s="175">
        <f>IF(Valeurs_saisies,IF(colonneA&lt;&gt;"",D21-F21,""),"")</f>
        <v>8902.2968849863955</v>
      </c>
      <c r="L21" s="172">
        <v>0</v>
      </c>
    </row>
    <row r="22" spans="2:12" s="169" customFormat="1" ht="14.25" customHeight="1">
      <c r="B22" s="173">
        <f>IF(Valeurs_saisies,IF(duree_du_pret&gt;L22,B21+1,""),"")</f>
        <v>11</v>
      </c>
      <c r="C22" s="174">
        <f>IF(Valeurs_saisies,IF(colonneA&lt;&gt;"",DATE(YEAR($D$9),MONTH($D$9)+(colonneA)*12/nombre_versements_an,DAY($D$9)),""),"")</f>
        <v>41974</v>
      </c>
      <c r="D22" s="175">
        <f>IF(Valeurs_saisies,IF(colonneA&lt;&gt;"",H21,""),"")</f>
        <v>8902.2968849863955</v>
      </c>
      <c r="E22" s="175">
        <f t="shared" si="0"/>
        <v>348.20404119150447</v>
      </c>
      <c r="F22" s="175">
        <f>IF(Valeurs_saisies,IF(colonneA&lt;&gt;"",mensualite-G22,""),"")</f>
        <v>337.07617008527149</v>
      </c>
      <c r="G22" s="175">
        <f>IF(Valeurs_saisies,IF(colonneA&lt;&gt;"",capital_restant_du*(taux_interet_annueld/nombre_versements_an),""),"")</f>
        <v>11.127871106232995</v>
      </c>
      <c r="H22" s="175">
        <f>IF(Valeurs_saisies,IF(colonneA&lt;&gt;"",D22-F22,""),"")</f>
        <v>8565.2207149011247</v>
      </c>
      <c r="L22" s="172">
        <v>0</v>
      </c>
    </row>
    <row r="23" spans="2:12" s="169" customFormat="1" ht="14.25" customHeight="1">
      <c r="B23" s="173">
        <f>IF(Valeurs_saisies,IF(duree_du_pret&gt;L23,B22+1,""),"")</f>
        <v>12</v>
      </c>
      <c r="C23" s="174">
        <f>IF(Valeurs_saisies,IF(colonneA&lt;&gt;"",DATE(YEAR($D$9),MONTH($D$9)+(colonneA)*12/nombre_versements_an,DAY($D$9)),""),"")</f>
        <v>42005</v>
      </c>
      <c r="D23" s="175">
        <f>IF(Valeurs_saisies,IF(colonneA&lt;&gt;"",H22,""),"")</f>
        <v>8565.2207149011247</v>
      </c>
      <c r="E23" s="175">
        <f t="shared" si="0"/>
        <v>348.20404119150447</v>
      </c>
      <c r="F23" s="175">
        <f>IF(Valeurs_saisies,IF(colonneA&lt;&gt;"",mensualite-G23,""),"")</f>
        <v>337.49751529787807</v>
      </c>
      <c r="G23" s="175">
        <f>IF(Valeurs_saisies,IF(colonneA&lt;&gt;"",capital_restant_du*(taux_interet_annueld/nombre_versements_an),""),"")</f>
        <v>10.706525893626406</v>
      </c>
      <c r="H23" s="175">
        <f>IF(Valeurs_saisies,IF(colonneA&lt;&gt;"",D23-F23,""),"")</f>
        <v>8227.723199603246</v>
      </c>
      <c r="L23" s="172">
        <v>0</v>
      </c>
    </row>
    <row r="24" spans="2:12" s="169" customFormat="1" ht="14.25" customHeight="1">
      <c r="B24" s="173">
        <f>IF(Valeurs_saisies,IF(duree_du_pret&gt;L24,B23+1,""),"")</f>
        <v>13</v>
      </c>
      <c r="C24" s="174">
        <f>IF(Valeurs_saisies,IF(colonneA&lt;&gt;"",DATE(YEAR($D$9),MONTH($D$9)+(colonneA)*12/nombre_versements_an,DAY($D$9)),""),"")</f>
        <v>42036</v>
      </c>
      <c r="D24" s="175">
        <f>IF(Valeurs_saisies,IF(colonneA&lt;&gt;"",H23,""),"")</f>
        <v>8227.723199603246</v>
      </c>
      <c r="E24" s="175">
        <f t="shared" si="0"/>
        <v>348.20404119150447</v>
      </c>
      <c r="F24" s="175">
        <f>IF(Valeurs_saisies,IF(colonneA&lt;&gt;"",mensualite-G24,""),"")</f>
        <v>337.91938719200044</v>
      </c>
      <c r="G24" s="175">
        <f>IF(Valeurs_saisies,IF(colonneA&lt;&gt;"",capital_restant_du*(taux_interet_annueld/nombre_versements_an),""),"")</f>
        <v>10.284653999504057</v>
      </c>
      <c r="H24" s="175">
        <f>IF(Valeurs_saisies,IF(colonneA&lt;&gt;"",D24-F24,""),"")</f>
        <v>7889.8038124112454</v>
      </c>
      <c r="L24" s="172">
        <f>L12+1</f>
        <v>1</v>
      </c>
    </row>
    <row r="25" spans="2:12" s="169" customFormat="1" ht="14.25" customHeight="1">
      <c r="B25" s="173">
        <f>IF(Valeurs_saisies,IF(duree_du_pret&gt;L25,B24+1,""),"")</f>
        <v>14</v>
      </c>
      <c r="C25" s="174">
        <f>IF(Valeurs_saisies,IF(colonneA&lt;&gt;"",DATE(YEAR($D$9),MONTH($D$9)+(colonneA)*12/nombre_versements_an,DAY($D$9)),""),"")</f>
        <v>42064</v>
      </c>
      <c r="D25" s="175">
        <f>IF(Valeurs_saisies,IF(colonneA&lt;&gt;"",H24,""),"")</f>
        <v>7889.8038124112454</v>
      </c>
      <c r="E25" s="175">
        <f t="shared" si="0"/>
        <v>348.20404119150447</v>
      </c>
      <c r="F25" s="175">
        <f>IF(Valeurs_saisies,IF(colonneA&lt;&gt;"",mensualite-G25,""),"")</f>
        <v>338.34178642599039</v>
      </c>
      <c r="G25" s="175">
        <f>IF(Valeurs_saisies,IF(colonneA&lt;&gt;"",capital_restant_du*(taux_interet_annueld/nombre_versements_an),""),"")</f>
        <v>9.8622547655140576</v>
      </c>
      <c r="H25" s="175">
        <f>IF(Valeurs_saisies,IF(colonneA&lt;&gt;"",D25-F25,""),"")</f>
        <v>7551.4620259852554</v>
      </c>
      <c r="L25" s="172">
        <f t="shared" ref="L25:L88" si="1">L13+1</f>
        <v>1</v>
      </c>
    </row>
    <row r="26" spans="2:12" s="169" customFormat="1" ht="14.25" customHeight="1">
      <c r="B26" s="173">
        <f>IF(Valeurs_saisies,IF(duree_du_pret&gt;L26,B25+1,""),"")</f>
        <v>15</v>
      </c>
      <c r="C26" s="174">
        <f>IF(Valeurs_saisies,IF(colonneA&lt;&gt;"",DATE(YEAR($D$9),MONTH($D$9)+(colonneA)*12/nombre_versements_an,DAY($D$9)),""),"")</f>
        <v>42095</v>
      </c>
      <c r="D26" s="175">
        <f>IF(Valeurs_saisies,IF(colonneA&lt;&gt;"",H25,""),"")</f>
        <v>7551.4620259852554</v>
      </c>
      <c r="E26" s="175">
        <f t="shared" si="0"/>
        <v>348.20404119150447</v>
      </c>
      <c r="F26" s="175">
        <f>IF(Valeurs_saisies,IF(colonneA&lt;&gt;"",mensualite-G26,""),"")</f>
        <v>338.7647136590229</v>
      </c>
      <c r="G26" s="175">
        <f>IF(Valeurs_saisies,IF(colonneA&lt;&gt;"",capital_restant_du*(taux_interet_annueld/nombre_versements_an),""),"")</f>
        <v>9.4393275324815686</v>
      </c>
      <c r="H26" s="175">
        <f>IF(Valeurs_saisies,IF(colonneA&lt;&gt;"",D26-F26,""),"")</f>
        <v>7212.6973123262323</v>
      </c>
      <c r="L26" s="172">
        <f t="shared" si="1"/>
        <v>1</v>
      </c>
    </row>
    <row r="27" spans="2:12" s="169" customFormat="1" ht="14.25" customHeight="1">
      <c r="B27" s="173">
        <f>IF(Valeurs_saisies,IF(duree_du_pret&gt;L27,B26+1,""),"")</f>
        <v>16</v>
      </c>
      <c r="C27" s="174">
        <f>IF(Valeurs_saisies,IF(colonneA&lt;&gt;"",DATE(YEAR($D$9),MONTH($D$9)+(colonneA)*12/nombre_versements_an,DAY($D$9)),""),"")</f>
        <v>42125</v>
      </c>
      <c r="D27" s="175">
        <f>IF(Valeurs_saisies,IF(colonneA&lt;&gt;"",H26,""),"")</f>
        <v>7212.6973123262323</v>
      </c>
      <c r="E27" s="175">
        <f t="shared" si="0"/>
        <v>348.20404119150447</v>
      </c>
      <c r="F27" s="175">
        <f>IF(Valeurs_saisies,IF(colonneA&lt;&gt;"",mensualite-G27,""),"")</f>
        <v>339.18816955109668</v>
      </c>
      <c r="G27" s="175">
        <f>IF(Valeurs_saisies,IF(colonneA&lt;&gt;"",capital_restant_du*(taux_interet_annueld/nombre_versements_an),""),"")</f>
        <v>9.0158716404077914</v>
      </c>
      <c r="H27" s="175">
        <f>IF(Valeurs_saisies,IF(colonneA&lt;&gt;"",D27-F27,""),"")</f>
        <v>6873.5091427751358</v>
      </c>
      <c r="L27" s="172">
        <f t="shared" si="1"/>
        <v>1</v>
      </c>
    </row>
    <row r="28" spans="2:12" s="169" customFormat="1" ht="14.25" customHeight="1">
      <c r="B28" s="173">
        <f>IF(Valeurs_saisies,IF(duree_du_pret&gt;L28,B27+1,""),"")</f>
        <v>17</v>
      </c>
      <c r="C28" s="174">
        <f>IF(Valeurs_saisies,IF(colonneA&lt;&gt;"",DATE(YEAR($D$9),MONTH($D$9)+(colonneA)*12/nombre_versements_an,DAY($D$9)),""),"")</f>
        <v>42156</v>
      </c>
      <c r="D28" s="175">
        <f>IF(Valeurs_saisies,IF(colonneA&lt;&gt;"",H27,""),"")</f>
        <v>6873.5091427751358</v>
      </c>
      <c r="E28" s="175">
        <f t="shared" si="0"/>
        <v>348.20404119150447</v>
      </c>
      <c r="F28" s="175">
        <f>IF(Valeurs_saisies,IF(colonneA&lt;&gt;"",mensualite-G28,""),"")</f>
        <v>339.61215476303556</v>
      </c>
      <c r="G28" s="175">
        <f>IF(Valeurs_saisies,IF(colonneA&lt;&gt;"",capital_restant_du*(taux_interet_annueld/nombre_versements_an),""),"")</f>
        <v>8.5918864284689196</v>
      </c>
      <c r="H28" s="175">
        <f>IF(Valeurs_saisies,IF(colonneA&lt;&gt;"",D28-F28,""),"")</f>
        <v>6533.8969880121003</v>
      </c>
      <c r="L28" s="172">
        <f t="shared" si="1"/>
        <v>1</v>
      </c>
    </row>
    <row r="29" spans="2:12" s="169" customFormat="1" ht="14.25" customHeight="1">
      <c r="B29" s="173">
        <f>IF(Valeurs_saisies,IF(duree_du_pret&gt;L29,B28+1,""),"")</f>
        <v>18</v>
      </c>
      <c r="C29" s="174">
        <f>IF(Valeurs_saisies,IF(colonneA&lt;&gt;"",DATE(YEAR($D$9),MONTH($D$9)+(colonneA)*12/nombre_versements_an,DAY($D$9)),""),"")</f>
        <v>42186</v>
      </c>
      <c r="D29" s="175">
        <f>IF(Valeurs_saisies,IF(colonneA&lt;&gt;"",H28,""),"")</f>
        <v>6533.8969880121003</v>
      </c>
      <c r="E29" s="175">
        <f t="shared" si="0"/>
        <v>348.20404119150447</v>
      </c>
      <c r="F29" s="175">
        <f>IF(Valeurs_saisies,IF(colonneA&lt;&gt;"",mensualite-G29,""),"")</f>
        <v>340.03666995648933</v>
      </c>
      <c r="G29" s="175">
        <f>IF(Valeurs_saisies,IF(colonneA&lt;&gt;"",capital_restant_du*(taux_interet_annueld/nombre_versements_an),""),"")</f>
        <v>8.1673712350151249</v>
      </c>
      <c r="H29" s="175">
        <f>IF(Valeurs_saisies,IF(colonneA&lt;&gt;"",D29-F29,""),"")</f>
        <v>6193.8603180556111</v>
      </c>
      <c r="L29" s="172">
        <f t="shared" si="1"/>
        <v>1</v>
      </c>
    </row>
    <row r="30" spans="2:12" s="169" customFormat="1" ht="14.25" customHeight="1">
      <c r="B30" s="173">
        <f>IF(Valeurs_saisies,IF(duree_du_pret&gt;L30,B29+1,""),"")</f>
        <v>19</v>
      </c>
      <c r="C30" s="174">
        <f>IF(Valeurs_saisies,IF(colonneA&lt;&gt;"",DATE(YEAR($D$9),MONTH($D$9)+(colonneA)*12/nombre_versements_an,DAY($D$9)),""),"")</f>
        <v>42217</v>
      </c>
      <c r="D30" s="175">
        <f>IF(Valeurs_saisies,IF(colonneA&lt;&gt;"",H29,""),"")</f>
        <v>6193.8603180556111</v>
      </c>
      <c r="E30" s="175">
        <f t="shared" si="0"/>
        <v>348.20404119150447</v>
      </c>
      <c r="F30" s="175">
        <f>IF(Valeurs_saisies,IF(colonneA&lt;&gt;"",mensualite-G30,""),"")</f>
        <v>340.46171579393496</v>
      </c>
      <c r="G30" s="175">
        <f>IF(Valeurs_saisies,IF(colonneA&lt;&gt;"",capital_restant_du*(taux_interet_annueld/nombre_versements_an),""),"")</f>
        <v>7.7423253975695143</v>
      </c>
      <c r="H30" s="175">
        <f>IF(Valeurs_saisies,IF(colonneA&lt;&gt;"",D30-F30,""),"")</f>
        <v>5853.3986022616764</v>
      </c>
      <c r="L30" s="172">
        <f t="shared" si="1"/>
        <v>1</v>
      </c>
    </row>
    <row r="31" spans="2:12" s="169" customFormat="1" ht="14.25" customHeight="1">
      <c r="B31" s="173">
        <f>IF(Valeurs_saisies,IF(duree_du_pret&gt;L31,B30+1,""),"")</f>
        <v>20</v>
      </c>
      <c r="C31" s="174">
        <f>IF(Valeurs_saisies,IF(colonneA&lt;&gt;"",DATE(YEAR($D$9),MONTH($D$9)+(colonneA)*12/nombre_versements_an,DAY($D$9)),""),"")</f>
        <v>42248</v>
      </c>
      <c r="D31" s="175">
        <f>IF(Valeurs_saisies,IF(colonneA&lt;&gt;"",H30,""),"")</f>
        <v>5853.3986022616764</v>
      </c>
      <c r="E31" s="175">
        <f t="shared" si="0"/>
        <v>348.20404119150447</v>
      </c>
      <c r="F31" s="175">
        <f>IF(Valeurs_saisies,IF(colonneA&lt;&gt;"",mensualite-G31,""),"")</f>
        <v>340.88729293867738</v>
      </c>
      <c r="G31" s="175">
        <f>IF(Valeurs_saisies,IF(colonneA&lt;&gt;"",capital_restant_du*(taux_interet_annueld/nombre_versements_an),""),"")</f>
        <v>7.3167482528270957</v>
      </c>
      <c r="H31" s="175">
        <f>IF(Valeurs_saisies,IF(colonneA&lt;&gt;"",D31-F31,""),"")</f>
        <v>5512.5113093229993</v>
      </c>
      <c r="L31" s="172">
        <f t="shared" si="1"/>
        <v>1</v>
      </c>
    </row>
    <row r="32" spans="2:12" s="169" customFormat="1" ht="14.25" customHeight="1">
      <c r="B32" s="173">
        <f>IF(Valeurs_saisies,IF(duree_du_pret&gt;L32,B31+1,""),"")</f>
        <v>21</v>
      </c>
      <c r="C32" s="174">
        <f>IF(Valeurs_saisies,IF(colonneA&lt;&gt;"",DATE(YEAR($D$9),MONTH($D$9)+(colonneA)*12/nombre_versements_an,DAY($D$9)),""),"")</f>
        <v>42278</v>
      </c>
      <c r="D32" s="175">
        <f>IF(Valeurs_saisies,IF(colonneA&lt;&gt;"",H31,""),"")</f>
        <v>5512.5113093229993</v>
      </c>
      <c r="E32" s="175">
        <f t="shared" si="0"/>
        <v>348.20404119150447</v>
      </c>
      <c r="F32" s="175">
        <f>IF(Valeurs_saisies,IF(colonneA&lt;&gt;"",mensualite-G32,""),"")</f>
        <v>341.31340205485071</v>
      </c>
      <c r="G32" s="175">
        <f>IF(Valeurs_saisies,IF(colonneA&lt;&gt;"",capital_restant_du*(taux_interet_annueld/nombre_versements_an),""),"")</f>
        <v>6.8906391366537489</v>
      </c>
      <c r="H32" s="175">
        <f>IF(Valeurs_saisies,IF(colonneA&lt;&gt;"",D32-F32,""),"")</f>
        <v>5171.1979072681488</v>
      </c>
      <c r="L32" s="172">
        <f t="shared" si="1"/>
        <v>1</v>
      </c>
    </row>
    <row r="33" spans="2:12" s="169" customFormat="1" ht="14.25" customHeight="1">
      <c r="B33" s="173">
        <f>IF(Valeurs_saisies,IF(duree_du_pret&gt;L33,B32+1,""),"")</f>
        <v>22</v>
      </c>
      <c r="C33" s="174">
        <f>IF(Valeurs_saisies,IF(colonneA&lt;&gt;"",DATE(YEAR($D$9),MONTH($D$9)+(colonneA)*12/nombre_versements_an,DAY($D$9)),""),"")</f>
        <v>42309</v>
      </c>
      <c r="D33" s="175">
        <f>IF(Valeurs_saisies,IF(colonneA&lt;&gt;"",H32,""),"")</f>
        <v>5171.1979072681488</v>
      </c>
      <c r="E33" s="175">
        <f t="shared" si="0"/>
        <v>348.20404119150447</v>
      </c>
      <c r="F33" s="175">
        <f>IF(Valeurs_saisies,IF(colonneA&lt;&gt;"",mensualite-G33,""),"")</f>
        <v>341.74004380741928</v>
      </c>
      <c r="G33" s="175">
        <f>IF(Valeurs_saisies,IF(colonneA&lt;&gt;"",capital_restant_du*(taux_interet_annueld/nombre_versements_an),""),"")</f>
        <v>6.4639973840851859</v>
      </c>
      <c r="H33" s="175">
        <f>IF(Valeurs_saisies,IF(colonneA&lt;&gt;"",D33-F33,""),"")</f>
        <v>4829.4578634607296</v>
      </c>
      <c r="L33" s="172">
        <f t="shared" si="1"/>
        <v>1</v>
      </c>
    </row>
    <row r="34" spans="2:12" s="169" customFormat="1" ht="14.25" customHeight="1">
      <c r="B34" s="173">
        <f>IF(Valeurs_saisies,IF(duree_du_pret&gt;L34,B33+1,""),"")</f>
        <v>23</v>
      </c>
      <c r="C34" s="174">
        <f>IF(Valeurs_saisies,IF(colonneA&lt;&gt;"",DATE(YEAR($D$9),MONTH($D$9)+(colonneA)*12/nombre_versements_an,DAY($D$9)),""),"")</f>
        <v>42339</v>
      </c>
      <c r="D34" s="175">
        <f>IF(Valeurs_saisies,IF(colonneA&lt;&gt;"",H33,""),"")</f>
        <v>4829.4578634607296</v>
      </c>
      <c r="E34" s="175">
        <f t="shared" si="0"/>
        <v>348.20404119150447</v>
      </c>
      <c r="F34" s="175">
        <f>IF(Valeurs_saisies,IF(colonneA&lt;&gt;"",mensualite-G34,""),"")</f>
        <v>342.16721886217857</v>
      </c>
      <c r="G34" s="175">
        <f>IF(Valeurs_saisies,IF(colonneA&lt;&gt;"",capital_restant_du*(taux_interet_annueld/nombre_versements_an),""),"")</f>
        <v>6.0368223293259122</v>
      </c>
      <c r="H34" s="175">
        <f>IF(Valeurs_saisies,IF(colonneA&lt;&gt;"",D34-F34,""),"")</f>
        <v>4487.2906445985509</v>
      </c>
      <c r="L34" s="172">
        <f t="shared" si="1"/>
        <v>1</v>
      </c>
    </row>
    <row r="35" spans="2:12" s="169" customFormat="1" ht="14.25" customHeight="1">
      <c r="B35" s="173">
        <f>IF(Valeurs_saisies,IF(duree_du_pret&gt;L35,B34+1,""),"")</f>
        <v>24</v>
      </c>
      <c r="C35" s="174">
        <f>IF(Valeurs_saisies,IF(colonneA&lt;&gt;"",DATE(YEAR($D$9),MONTH($D$9)+(colonneA)*12/nombre_versements_an,DAY($D$9)),""),"")</f>
        <v>42370</v>
      </c>
      <c r="D35" s="175">
        <f>IF(Valeurs_saisies,IF(colonneA&lt;&gt;"",H34,""),"")</f>
        <v>4487.2906445985509</v>
      </c>
      <c r="E35" s="175">
        <f t="shared" si="0"/>
        <v>348.20404119150447</v>
      </c>
      <c r="F35" s="175">
        <f>IF(Valeurs_saisies,IF(colonneA&lt;&gt;"",mensualite-G35,""),"")</f>
        <v>342.59492788575631</v>
      </c>
      <c r="G35" s="175">
        <f>IF(Valeurs_saisies,IF(colonneA&lt;&gt;"",capital_restant_du*(taux_interet_annueld/nombre_versements_an),""),"")</f>
        <v>5.6091133057481883</v>
      </c>
      <c r="H35" s="175">
        <f>IF(Valeurs_saisies,IF(colonneA&lt;&gt;"",D35-F35,""),"")</f>
        <v>4144.6957167127948</v>
      </c>
      <c r="L35" s="172">
        <f t="shared" si="1"/>
        <v>1</v>
      </c>
    </row>
    <row r="36" spans="2:12" s="169" customFormat="1" ht="14.25" customHeight="1">
      <c r="B36" s="173">
        <f>IF(Valeurs_saisies,IF(duree_du_pret&gt;L36,B35+1,""),"")</f>
        <v>25</v>
      </c>
      <c r="C36" s="174">
        <f>IF(Valeurs_saisies,IF(colonneA&lt;&gt;"",DATE(YEAR($D$9),MONTH($D$9)+(colonneA)*12/nombre_versements_an,DAY($D$9)),""),"")</f>
        <v>42401</v>
      </c>
      <c r="D36" s="175">
        <f>IF(Valeurs_saisies,IF(colonneA&lt;&gt;"",H35,""),"")</f>
        <v>4144.6957167127948</v>
      </c>
      <c r="E36" s="175">
        <f t="shared" si="0"/>
        <v>348.20404119150447</v>
      </c>
      <c r="F36" s="175">
        <f>IF(Valeurs_saisies,IF(colonneA&lt;&gt;"",mensualite-G36,""),"")</f>
        <v>343.02317154561348</v>
      </c>
      <c r="G36" s="175">
        <f>IF(Valeurs_saisies,IF(colonneA&lt;&gt;"",capital_restant_du*(taux_interet_annueld/nombre_versements_an),""),"")</f>
        <v>5.1808696458909935</v>
      </c>
      <c r="H36" s="175">
        <f>IF(Valeurs_saisies,IF(colonneA&lt;&gt;"",D36-F36,""),"")</f>
        <v>3801.6725451671814</v>
      </c>
      <c r="L36" s="172">
        <f t="shared" si="1"/>
        <v>2</v>
      </c>
    </row>
    <row r="37" spans="2:12" s="169" customFormat="1" ht="14.25" customHeight="1">
      <c r="B37" s="173">
        <f>IF(Valeurs_saisies,IF(duree_du_pret&gt;L37,B36+1,""),"")</f>
        <v>26</v>
      </c>
      <c r="C37" s="174">
        <f>IF(Valeurs_saisies,IF(colonneA&lt;&gt;"",DATE(YEAR($D$9),MONTH($D$9)+(colonneA)*12/nombre_versements_an,DAY($D$9)),""),"")</f>
        <v>42430</v>
      </c>
      <c r="D37" s="175">
        <f>IF(Valeurs_saisies,IF(colonneA&lt;&gt;"",H36,""),"")</f>
        <v>3801.6725451671814</v>
      </c>
      <c r="E37" s="175">
        <f t="shared" si="0"/>
        <v>348.20404119150447</v>
      </c>
      <c r="F37" s="175">
        <f>IF(Valeurs_saisies,IF(colonneA&lt;&gt;"",mensualite-G37,""),"")</f>
        <v>343.45195051004549</v>
      </c>
      <c r="G37" s="175">
        <f>IF(Valeurs_saisies,IF(colonneA&lt;&gt;"",capital_restant_du*(taux_interet_annueld/nombre_versements_an),""),"")</f>
        <v>4.7520906814589772</v>
      </c>
      <c r="H37" s="175">
        <f>IF(Valeurs_saisies,IF(colonneA&lt;&gt;"",D37-F37,""),"")</f>
        <v>3458.2205946571357</v>
      </c>
      <c r="L37" s="172">
        <f t="shared" si="1"/>
        <v>2</v>
      </c>
    </row>
    <row r="38" spans="2:12" s="169" customFormat="1" ht="14.25" customHeight="1">
      <c r="B38" s="173">
        <f>IF(Valeurs_saisies,IF(duree_du_pret&gt;L38,B37+1,""),"")</f>
        <v>27</v>
      </c>
      <c r="C38" s="174">
        <f>IF(Valeurs_saisies,IF(colonneA&lt;&gt;"",DATE(YEAR($D$9),MONTH($D$9)+(colonneA)*12/nombre_versements_an,DAY($D$9)),""),"")</f>
        <v>42461</v>
      </c>
      <c r="D38" s="175">
        <f>IF(Valeurs_saisies,IF(colonneA&lt;&gt;"",H37,""),"")</f>
        <v>3458.2205946571357</v>
      </c>
      <c r="E38" s="175">
        <f t="shared" si="0"/>
        <v>348.20404119150447</v>
      </c>
      <c r="F38" s="175">
        <f>IF(Valeurs_saisies,IF(colonneA&lt;&gt;"",mensualite-G38,""),"")</f>
        <v>343.88126544818306</v>
      </c>
      <c r="G38" s="175">
        <f>IF(Valeurs_saisies,IF(colonneA&lt;&gt;"",capital_restant_du*(taux_interet_annueld/nombre_versements_an),""),"")</f>
        <v>4.3227757433214196</v>
      </c>
      <c r="H38" s="175">
        <f>IF(Valeurs_saisies,IF(colonneA&lt;&gt;"",D38-F38,""),"")</f>
        <v>3114.3393292089527</v>
      </c>
      <c r="L38" s="172">
        <f t="shared" si="1"/>
        <v>2</v>
      </c>
    </row>
    <row r="39" spans="2:12" s="169" customFormat="1" ht="14.25" customHeight="1">
      <c r="B39" s="173">
        <f>IF(Valeurs_saisies,IF(duree_du_pret&gt;L39,B38+1,""),"")</f>
        <v>28</v>
      </c>
      <c r="C39" s="174">
        <f>IF(Valeurs_saisies,IF(colonneA&lt;&gt;"",DATE(YEAR($D$9),MONTH($D$9)+(colonneA)*12/nombre_versements_an,DAY($D$9)),""),"")</f>
        <v>42491</v>
      </c>
      <c r="D39" s="175">
        <f>IF(Valeurs_saisies,IF(colonneA&lt;&gt;"",H38,""),"")</f>
        <v>3114.3393292089527</v>
      </c>
      <c r="E39" s="175">
        <f t="shared" si="0"/>
        <v>348.20404119150447</v>
      </c>
      <c r="F39" s="175">
        <f>IF(Valeurs_saisies,IF(colonneA&lt;&gt;"",mensualite-G39,""),"")</f>
        <v>344.31111702999328</v>
      </c>
      <c r="G39" s="175">
        <f>IF(Valeurs_saisies,IF(colonneA&lt;&gt;"",capital_restant_du*(taux_interet_annueld/nombre_versements_an),""),"")</f>
        <v>3.8929241615111909</v>
      </c>
      <c r="H39" s="175">
        <f>IF(Valeurs_saisies,IF(colonneA&lt;&gt;"",D39-F39,""),"")</f>
        <v>2770.0282121789596</v>
      </c>
      <c r="L39" s="172">
        <f t="shared" si="1"/>
        <v>2</v>
      </c>
    </row>
    <row r="40" spans="2:12" s="169" customFormat="1" ht="14.25" customHeight="1">
      <c r="B40" s="173">
        <f>IF(Valeurs_saisies,IF(duree_du_pret&gt;L40,B39+1,""),"")</f>
        <v>29</v>
      </c>
      <c r="C40" s="174">
        <f>IF(Valeurs_saisies,IF(colonneA&lt;&gt;"",DATE(YEAR($D$9),MONTH($D$9)+(colonneA)*12/nombre_versements_an,DAY($D$9)),""),"")</f>
        <v>42522</v>
      </c>
      <c r="D40" s="175">
        <f>IF(Valeurs_saisies,IF(colonneA&lt;&gt;"",H39,""),"")</f>
        <v>2770.0282121789596</v>
      </c>
      <c r="E40" s="175">
        <f t="shared" si="0"/>
        <v>348.20404119150447</v>
      </c>
      <c r="F40" s="175">
        <f>IF(Valeurs_saisies,IF(colonneA&lt;&gt;"",mensualite-G40,""),"")</f>
        <v>344.74150592628075</v>
      </c>
      <c r="G40" s="175">
        <f>IF(Valeurs_saisies,IF(colonneA&lt;&gt;"",capital_restant_du*(taux_interet_annueld/nombre_versements_an),""),"")</f>
        <v>3.4625352652236998</v>
      </c>
      <c r="H40" s="175">
        <f>IF(Valeurs_saisies,IF(colonneA&lt;&gt;"",D40-F40,""),"")</f>
        <v>2425.2867062526789</v>
      </c>
      <c r="L40" s="172">
        <f t="shared" si="1"/>
        <v>2</v>
      </c>
    </row>
    <row r="41" spans="2:12" s="169" customFormat="1" ht="14.25" customHeight="1">
      <c r="B41" s="173">
        <f>IF(Valeurs_saisies,IF(duree_du_pret&gt;L41,B40+1,""),"")</f>
        <v>30</v>
      </c>
      <c r="C41" s="174">
        <f>IF(Valeurs_saisies,IF(colonneA&lt;&gt;"",DATE(YEAR($D$9),MONTH($D$9)+(colonneA)*12/nombre_versements_an,DAY($D$9)),""),"")</f>
        <v>42552</v>
      </c>
      <c r="D41" s="175">
        <f>IF(Valeurs_saisies,IF(colonneA&lt;&gt;"",H40,""),"")</f>
        <v>2425.2867062526789</v>
      </c>
      <c r="E41" s="175">
        <f t="shared" si="0"/>
        <v>348.20404119150447</v>
      </c>
      <c r="F41" s="175">
        <f>IF(Valeurs_saisies,IF(colonneA&lt;&gt;"",mensualite-G41,""),"")</f>
        <v>345.1724328086886</v>
      </c>
      <c r="G41" s="175">
        <f>IF(Valeurs_saisies,IF(colonneA&lt;&gt;"",capital_restant_du*(taux_interet_annueld/nombre_versements_an),""),"")</f>
        <v>3.0316083828158487</v>
      </c>
      <c r="H41" s="175">
        <f>IF(Valeurs_saisies,IF(colonneA&lt;&gt;"",D41-F41,""),"")</f>
        <v>2080.1142734439904</v>
      </c>
      <c r="L41" s="172">
        <f t="shared" si="1"/>
        <v>2</v>
      </c>
    </row>
    <row r="42" spans="2:12" s="169" customFormat="1" ht="14.25" customHeight="1">
      <c r="B42" s="173">
        <f>IF(Valeurs_saisies,IF(duree_du_pret&gt;L42,B41+1,""),"")</f>
        <v>31</v>
      </c>
      <c r="C42" s="174">
        <f>IF(Valeurs_saisies,IF(colonneA&lt;&gt;"",DATE(YEAR($D$9),MONTH($D$9)+(colonneA)*12/nombre_versements_an,DAY($D$9)),""),"")</f>
        <v>42583</v>
      </c>
      <c r="D42" s="175">
        <f>IF(Valeurs_saisies,IF(colonneA&lt;&gt;"",H41,""),"")</f>
        <v>2080.1142734439904</v>
      </c>
      <c r="E42" s="175">
        <f t="shared" si="0"/>
        <v>348.20404119150447</v>
      </c>
      <c r="F42" s="175">
        <f>IF(Valeurs_saisies,IF(colonneA&lt;&gt;"",mensualite-G42,""),"")</f>
        <v>345.60389834969948</v>
      </c>
      <c r="G42" s="175">
        <f>IF(Valeurs_saisies,IF(colonneA&lt;&gt;"",capital_restant_du*(taux_interet_annueld/nombre_versements_an),""),"")</f>
        <v>2.6001428418049879</v>
      </c>
      <c r="H42" s="175">
        <f>IF(Valeurs_saisies,IF(colonneA&lt;&gt;"",D42-F42,""),"")</f>
        <v>1734.510375094291</v>
      </c>
      <c r="L42" s="172">
        <f t="shared" si="1"/>
        <v>2</v>
      </c>
    </row>
    <row r="43" spans="2:12" s="169" customFormat="1" ht="14.25" customHeight="1">
      <c r="B43" s="173">
        <f>IF(Valeurs_saisies,IF(duree_du_pret&gt;L43,B42+1,""),"")</f>
        <v>32</v>
      </c>
      <c r="C43" s="174">
        <f>IF(Valeurs_saisies,IF(colonneA&lt;&gt;"",DATE(YEAR($D$9),MONTH($D$9)+(colonneA)*12/nombre_versements_an,DAY($D$9)),""),"")</f>
        <v>42614</v>
      </c>
      <c r="D43" s="175">
        <f>IF(Valeurs_saisies,IF(colonneA&lt;&gt;"",H42,""),"")</f>
        <v>1734.510375094291</v>
      </c>
      <c r="E43" s="175">
        <f t="shared" si="0"/>
        <v>348.20404119150447</v>
      </c>
      <c r="F43" s="175">
        <f>IF(Valeurs_saisies,IF(colonneA&lt;&gt;"",mensualite-G43,""),"")</f>
        <v>346.03590322263659</v>
      </c>
      <c r="G43" s="175">
        <f>IF(Valeurs_saisies,IF(colonneA&lt;&gt;"",capital_restant_du*(taux_interet_annueld/nombre_versements_an),""),"")</f>
        <v>2.1681379688678639</v>
      </c>
      <c r="H43" s="175">
        <f>IF(Valeurs_saisies,IF(colonneA&lt;&gt;"",D43-F43,""),"")</f>
        <v>1388.4744718716545</v>
      </c>
      <c r="L43" s="172">
        <f t="shared" si="1"/>
        <v>2</v>
      </c>
    </row>
    <row r="44" spans="2:12" s="169" customFormat="1" ht="14.25" customHeight="1">
      <c r="B44" s="173">
        <f>IF(Valeurs_saisies,IF(duree_du_pret&gt;L44,B43+1,""),"")</f>
        <v>33</v>
      </c>
      <c r="C44" s="174">
        <f>IF(Valeurs_saisies,IF(colonneA&lt;&gt;"",DATE(YEAR($D$9),MONTH($D$9)+(colonneA)*12/nombre_versements_an,DAY($D$9)),""),"")</f>
        <v>42644</v>
      </c>
      <c r="D44" s="175">
        <f>IF(Valeurs_saisies,IF(colonneA&lt;&gt;"",H43,""),"")</f>
        <v>1388.4744718716545</v>
      </c>
      <c r="E44" s="175">
        <f t="shared" si="0"/>
        <v>348.20404119150447</v>
      </c>
      <c r="F44" s="175">
        <f>IF(Valeurs_saisies,IF(colonneA&lt;&gt;"",mensualite-G44,""),"")</f>
        <v>346.46844810166493</v>
      </c>
      <c r="G44" s="175">
        <f>IF(Valeurs_saisies,IF(colonneA&lt;&gt;"",capital_restant_du*(taux_interet_annueld/nombre_versements_an),""),"")</f>
        <v>1.7355930898395682</v>
      </c>
      <c r="H44" s="175">
        <f>IF(Valeurs_saisies,IF(colonneA&lt;&gt;"",D44-F44,""),"")</f>
        <v>1042.0060237699895</v>
      </c>
      <c r="L44" s="172">
        <f t="shared" si="1"/>
        <v>2</v>
      </c>
    </row>
    <row r="45" spans="2:12" s="169" customFormat="1" ht="14.25" customHeight="1">
      <c r="B45" s="173">
        <f>IF(Valeurs_saisies,IF(duree_du_pret&gt;L45,B44+1,""),"")</f>
        <v>34</v>
      </c>
      <c r="C45" s="174">
        <f>IF(Valeurs_saisies,IF(colonneA&lt;&gt;"",DATE(YEAR($D$9),MONTH($D$9)+(colonneA)*12/nombre_versements_an,DAY($D$9)),""),"")</f>
        <v>42675</v>
      </c>
      <c r="D45" s="175">
        <f>IF(Valeurs_saisies,IF(colonneA&lt;&gt;"",H44,""),"")</f>
        <v>1042.0060237699895</v>
      </c>
      <c r="E45" s="175">
        <f t="shared" si="0"/>
        <v>348.20404119150447</v>
      </c>
      <c r="F45" s="175">
        <f>IF(Valeurs_saisies,IF(colonneA&lt;&gt;"",mensualite-G45,""),"")</f>
        <v>346.90153366179197</v>
      </c>
      <c r="G45" s="175">
        <f>IF(Valeurs_saisies,IF(colonneA&lt;&gt;"",capital_restant_du*(taux_interet_annueld/nombre_versements_an),""),"")</f>
        <v>1.3025075297124868</v>
      </c>
      <c r="H45" s="175">
        <f>IF(Valeurs_saisies,IF(colonneA&lt;&gt;"",D45-F45,""),"")</f>
        <v>695.10449010819752</v>
      </c>
      <c r="L45" s="172">
        <f t="shared" si="1"/>
        <v>2</v>
      </c>
    </row>
    <row r="46" spans="2:12" s="169" customFormat="1" ht="14.25" customHeight="1">
      <c r="B46" s="173">
        <f>IF(Valeurs_saisies,IF(duree_du_pret&gt;L46,B45+1,""),"")</f>
        <v>35</v>
      </c>
      <c r="C46" s="174">
        <f>IF(Valeurs_saisies,IF(colonneA&lt;&gt;"",DATE(YEAR($D$9),MONTH($D$9)+(colonneA)*12/nombre_versements_an,DAY($D$9)),""),"")</f>
        <v>42705</v>
      </c>
      <c r="D46" s="175">
        <f>IF(Valeurs_saisies,IF(colonneA&lt;&gt;"",H45,""),"")</f>
        <v>695.10449010819752</v>
      </c>
      <c r="E46" s="175">
        <f t="shared" si="0"/>
        <v>348.20404119150447</v>
      </c>
      <c r="F46" s="175">
        <f>IF(Valeurs_saisies,IF(colonneA&lt;&gt;"",mensualite-G46,""),"")</f>
        <v>347.33516057886925</v>
      </c>
      <c r="G46" s="175">
        <f>IF(Valeurs_saisies,IF(colonneA&lt;&gt;"",capital_restant_du*(taux_interet_annueld/nombre_versements_an),""),"")</f>
        <v>0.86888061263524696</v>
      </c>
      <c r="H46" s="175">
        <f>IF(Valeurs_saisies,IF(colonneA&lt;&gt;"",D46-F46,""),"")</f>
        <v>347.76932952932827</v>
      </c>
      <c r="L46" s="172">
        <f t="shared" si="1"/>
        <v>2</v>
      </c>
    </row>
    <row r="47" spans="2:12" s="169" customFormat="1" ht="14.25" customHeight="1">
      <c r="B47" s="173">
        <f>IF(Valeurs_saisies,IF(duree_du_pret&gt;L47,B46+1,""),"")</f>
        <v>36</v>
      </c>
      <c r="C47" s="174">
        <f>IF(Valeurs_saisies,IF(colonneA&lt;&gt;"",DATE(YEAR($D$9),MONTH($D$9)+(colonneA)*12/nombre_versements_an,DAY($D$9)),""),"")</f>
        <v>42736</v>
      </c>
      <c r="D47" s="175">
        <f>IF(Valeurs_saisies,IF(colonneA&lt;&gt;"",H46,""),"")</f>
        <v>347.76932952932827</v>
      </c>
      <c r="E47" s="175">
        <f t="shared" si="0"/>
        <v>348.20404119150447</v>
      </c>
      <c r="F47" s="175">
        <f>IF(Valeurs_saisies,IF(colonneA&lt;&gt;"",mensualite-G47,""),"")</f>
        <v>347.76932952959282</v>
      </c>
      <c r="G47" s="175">
        <f>IF(Valeurs_saisies,IF(colonneA&lt;&gt;"",capital_restant_du*(taux_interet_annueld/nombre_versements_an),""),"")</f>
        <v>0.43471166191166033</v>
      </c>
      <c r="H47" s="175">
        <f>IF(Valeurs_saisies,IF(colonneA&lt;&gt;"",D47-F47,""),"")</f>
        <v>-2.645492713782005E-10</v>
      </c>
      <c r="L47" s="172">
        <f t="shared" si="1"/>
        <v>2</v>
      </c>
    </row>
    <row r="48" spans="2:12" s="169" customFormat="1" ht="14.25" customHeight="1">
      <c r="B48" s="173" t="str">
        <f>IF(Valeurs_saisies,IF(duree_du_pret&gt;L48,B47+1,""),"")</f>
        <v/>
      </c>
      <c r="C48" s="174" t="str">
        <f>IF(Valeurs_saisies,IF(colonneA&lt;&gt;"",DATE(YEAR($D$9),MONTH($D$9)+(colonneA)*12/nombre_versements_an,DAY($D$9)),""),"")</f>
        <v/>
      </c>
      <c r="D48" s="175" t="str">
        <f>IF(Valeurs_saisies,IF(colonneA&lt;&gt;"",H47,""),"")</f>
        <v/>
      </c>
      <c r="E48" s="175" t="str">
        <f t="shared" si="0"/>
        <v/>
      </c>
      <c r="F48" s="175" t="str">
        <f>IF(Valeurs_saisies,IF(colonneA&lt;&gt;"",mensualite-G48,""),"")</f>
        <v/>
      </c>
      <c r="G48" s="175" t="str">
        <f>IF(Valeurs_saisies,IF(colonneA&lt;&gt;"",capital_restant_du*(taux_interet_annueld/nombre_versements_an),""),"")</f>
        <v/>
      </c>
      <c r="H48" s="175" t="str">
        <f>IF(Valeurs_saisies,IF(colonneA&lt;&gt;"",D48-F48,""),"")</f>
        <v/>
      </c>
      <c r="L48" s="172">
        <f t="shared" si="1"/>
        <v>3</v>
      </c>
    </row>
    <row r="49" spans="2:12" s="169" customFormat="1" ht="14.25" customHeight="1">
      <c r="B49" s="173" t="str">
        <f>IF(Valeurs_saisies,IF(duree_du_pret&gt;L49,B48+1,""),"")</f>
        <v/>
      </c>
      <c r="C49" s="174" t="str">
        <f>IF(Valeurs_saisies,IF(colonneA&lt;&gt;"",DATE(YEAR($D$9),MONTH($D$9)+(colonneA)*12/nombre_versements_an,DAY($D$9)),""),"")</f>
        <v/>
      </c>
      <c r="D49" s="175" t="str">
        <f>IF(Valeurs_saisies,IF(colonneA&lt;&gt;"",H48,""),"")</f>
        <v/>
      </c>
      <c r="E49" s="175" t="str">
        <f t="shared" si="0"/>
        <v/>
      </c>
      <c r="F49" s="175" t="str">
        <f>IF(Valeurs_saisies,IF(colonneA&lt;&gt;"",mensualite-G49,""),"")</f>
        <v/>
      </c>
      <c r="G49" s="175" t="str">
        <f>IF(Valeurs_saisies,IF(colonneA&lt;&gt;"",capital_restant_du*(taux_interet_annueld/nombre_versements_an),""),"")</f>
        <v/>
      </c>
      <c r="H49" s="175" t="str">
        <f>IF(Valeurs_saisies,IF(colonneA&lt;&gt;"",D49-F49,""),"")</f>
        <v/>
      </c>
      <c r="L49" s="172">
        <f t="shared" si="1"/>
        <v>3</v>
      </c>
    </row>
    <row r="50" spans="2:12" s="169" customFormat="1" ht="14.25" customHeight="1">
      <c r="B50" s="173" t="str">
        <f>IF(Valeurs_saisies,IF(duree_du_pret&gt;L50,B49+1,""),"")</f>
        <v/>
      </c>
      <c r="C50" s="174" t="str">
        <f>IF(Valeurs_saisies,IF(colonneA&lt;&gt;"",DATE(YEAR($D$9),MONTH($D$9)+(colonneA)*12/nombre_versements_an,DAY($D$9)),""),"")</f>
        <v/>
      </c>
      <c r="D50" s="175" t="str">
        <f>IF(Valeurs_saisies,IF(colonneA&lt;&gt;"",H49,""),"")</f>
        <v/>
      </c>
      <c r="E50" s="175" t="str">
        <f t="shared" si="0"/>
        <v/>
      </c>
      <c r="F50" s="175" t="str">
        <f>IF(Valeurs_saisies,IF(colonneA&lt;&gt;"",mensualite-G50,""),"")</f>
        <v/>
      </c>
      <c r="G50" s="175" t="str">
        <f>IF(Valeurs_saisies,IF(colonneA&lt;&gt;"",capital_restant_du*(taux_interet_annueld/nombre_versements_an),""),"")</f>
        <v/>
      </c>
      <c r="H50" s="175" t="str">
        <f>IF(Valeurs_saisies,IF(colonneA&lt;&gt;"",D50-F50,""),"")</f>
        <v/>
      </c>
      <c r="L50" s="172">
        <f t="shared" si="1"/>
        <v>3</v>
      </c>
    </row>
    <row r="51" spans="2:12" s="169" customFormat="1" ht="14.25" customHeight="1">
      <c r="B51" s="173" t="str">
        <f>IF(Valeurs_saisies,IF(duree_du_pret&gt;L51,B50+1,""),"")</f>
        <v/>
      </c>
      <c r="C51" s="174" t="str">
        <f>IF(Valeurs_saisies,IF(colonneA&lt;&gt;"",DATE(YEAR($D$9),MONTH($D$9)+(colonneA)*12/nombre_versements_an,DAY($D$9)),""),"")</f>
        <v/>
      </c>
      <c r="D51" s="175" t="str">
        <f>IF(Valeurs_saisies,IF(colonneA&lt;&gt;"",H50,""),"")</f>
        <v/>
      </c>
      <c r="E51" s="175" t="str">
        <f t="shared" si="0"/>
        <v/>
      </c>
      <c r="F51" s="175" t="str">
        <f>IF(Valeurs_saisies,IF(colonneA&lt;&gt;"",mensualite-G51,""),"")</f>
        <v/>
      </c>
      <c r="G51" s="175" t="str">
        <f>IF(Valeurs_saisies,IF(colonneA&lt;&gt;"",capital_restant_du*(taux_interet_annueld/nombre_versements_an),""),"")</f>
        <v/>
      </c>
      <c r="H51" s="175" t="str">
        <f>IF(Valeurs_saisies,IF(colonneA&lt;&gt;"",D51-F51,""),"")</f>
        <v/>
      </c>
      <c r="L51" s="172">
        <f t="shared" si="1"/>
        <v>3</v>
      </c>
    </row>
    <row r="52" spans="2:12" s="169" customFormat="1" ht="14.25" customHeight="1">
      <c r="B52" s="173" t="str">
        <f>IF(Valeurs_saisies,IF(duree_du_pret&gt;L52,B51+1,""),"")</f>
        <v/>
      </c>
      <c r="C52" s="174" t="str">
        <f>IF(Valeurs_saisies,IF(colonneA&lt;&gt;"",DATE(YEAR($D$9),MONTH($D$9)+(colonneA)*12/nombre_versements_an,DAY($D$9)),""),"")</f>
        <v/>
      </c>
      <c r="D52" s="175" t="str">
        <f>IF(Valeurs_saisies,IF(colonneA&lt;&gt;"",H51,""),"")</f>
        <v/>
      </c>
      <c r="E52" s="175" t="str">
        <f t="shared" si="0"/>
        <v/>
      </c>
      <c r="F52" s="175" t="str">
        <f>IF(Valeurs_saisies,IF(colonneA&lt;&gt;"",mensualite-G52,""),"")</f>
        <v/>
      </c>
      <c r="G52" s="175" t="str">
        <f>IF(Valeurs_saisies,IF(colonneA&lt;&gt;"",capital_restant_du*(taux_interet_annueld/nombre_versements_an),""),"")</f>
        <v/>
      </c>
      <c r="H52" s="175" t="str">
        <f>IF(Valeurs_saisies,IF(colonneA&lt;&gt;"",D52-F52,""),"")</f>
        <v/>
      </c>
      <c r="L52" s="172">
        <f t="shared" si="1"/>
        <v>3</v>
      </c>
    </row>
    <row r="53" spans="2:12" s="169" customFormat="1" ht="14.25" customHeight="1">
      <c r="B53" s="173" t="str">
        <f>IF(Valeurs_saisies,IF(duree_du_pret&gt;L53,B52+1,""),"")</f>
        <v/>
      </c>
      <c r="C53" s="174" t="str">
        <f>IF(Valeurs_saisies,IF(colonneA&lt;&gt;"",DATE(YEAR($D$9),MONTH($D$9)+(colonneA)*12/nombre_versements_an,DAY($D$9)),""),"")</f>
        <v/>
      </c>
      <c r="D53" s="175" t="str">
        <f>IF(Valeurs_saisies,IF(colonneA&lt;&gt;"",H52,""),"")</f>
        <v/>
      </c>
      <c r="E53" s="175" t="str">
        <f t="shared" si="0"/>
        <v/>
      </c>
      <c r="F53" s="175" t="str">
        <f>IF(Valeurs_saisies,IF(colonneA&lt;&gt;"",mensualite-G53,""),"")</f>
        <v/>
      </c>
      <c r="G53" s="175" t="str">
        <f>IF(Valeurs_saisies,IF(colonneA&lt;&gt;"",capital_restant_du*(taux_interet_annueld/nombre_versements_an),""),"")</f>
        <v/>
      </c>
      <c r="H53" s="175" t="str">
        <f>IF(Valeurs_saisies,IF(colonneA&lt;&gt;"",D53-F53,""),"")</f>
        <v/>
      </c>
      <c r="L53" s="172">
        <f t="shared" si="1"/>
        <v>3</v>
      </c>
    </row>
    <row r="54" spans="2:12" s="169" customFormat="1" ht="14.25" customHeight="1">
      <c r="B54" s="173" t="str">
        <f>IF(Valeurs_saisies,IF(duree_du_pret&gt;L54,B53+1,""),"")</f>
        <v/>
      </c>
      <c r="C54" s="174" t="str">
        <f>IF(Valeurs_saisies,IF(colonneA&lt;&gt;"",DATE(YEAR($D$9),MONTH($D$9)+(colonneA)*12/nombre_versements_an,DAY($D$9)),""),"")</f>
        <v/>
      </c>
      <c r="D54" s="175" t="str">
        <f>IF(Valeurs_saisies,IF(colonneA&lt;&gt;"",H53,""),"")</f>
        <v/>
      </c>
      <c r="E54" s="175" t="str">
        <f t="shared" si="0"/>
        <v/>
      </c>
      <c r="F54" s="175" t="str">
        <f>IF(Valeurs_saisies,IF(colonneA&lt;&gt;"",mensualite-G54,""),"")</f>
        <v/>
      </c>
      <c r="G54" s="175" t="str">
        <f>IF(Valeurs_saisies,IF(colonneA&lt;&gt;"",capital_restant_du*(taux_interet_annueld/nombre_versements_an),""),"")</f>
        <v/>
      </c>
      <c r="H54" s="175" t="str">
        <f>IF(Valeurs_saisies,IF(colonneA&lt;&gt;"",D54-F54,""),"")</f>
        <v/>
      </c>
      <c r="L54" s="172">
        <f t="shared" si="1"/>
        <v>3</v>
      </c>
    </row>
    <row r="55" spans="2:12" s="169" customFormat="1" ht="14.25" customHeight="1">
      <c r="B55" s="173" t="str">
        <f>IF(Valeurs_saisies,IF(duree_du_pret&gt;L55,B54+1,""),"")</f>
        <v/>
      </c>
      <c r="C55" s="174" t="str">
        <f>IF(Valeurs_saisies,IF(colonneA&lt;&gt;"",DATE(YEAR($D$9),MONTH($D$9)+(colonneA)*12/nombre_versements_an,DAY($D$9)),""),"")</f>
        <v/>
      </c>
      <c r="D55" s="175" t="str">
        <f>IF(Valeurs_saisies,IF(colonneA&lt;&gt;"",H54,""),"")</f>
        <v/>
      </c>
      <c r="E55" s="175" t="str">
        <f t="shared" si="0"/>
        <v/>
      </c>
      <c r="F55" s="175" t="str">
        <f>IF(Valeurs_saisies,IF(colonneA&lt;&gt;"",mensualite-G55,""),"")</f>
        <v/>
      </c>
      <c r="G55" s="175" t="str">
        <f>IF(Valeurs_saisies,IF(colonneA&lt;&gt;"",capital_restant_du*(taux_interet_annueld/nombre_versements_an),""),"")</f>
        <v/>
      </c>
      <c r="H55" s="175" t="str">
        <f>IF(Valeurs_saisies,IF(colonneA&lt;&gt;"",D55-F55,""),"")</f>
        <v/>
      </c>
      <c r="L55" s="172">
        <f t="shared" si="1"/>
        <v>3</v>
      </c>
    </row>
    <row r="56" spans="2:12" s="169" customFormat="1" ht="14.25" customHeight="1">
      <c r="B56" s="173" t="str">
        <f>IF(Valeurs_saisies,IF(duree_du_pret&gt;L56,B55+1,""),"")</f>
        <v/>
      </c>
      <c r="C56" s="174" t="str">
        <f>IF(Valeurs_saisies,IF(colonneA&lt;&gt;"",DATE(YEAR($D$9),MONTH($D$9)+(colonneA)*12/nombre_versements_an,DAY($D$9)),""),"")</f>
        <v/>
      </c>
      <c r="D56" s="175" t="str">
        <f>IF(Valeurs_saisies,IF(colonneA&lt;&gt;"",H55,""),"")</f>
        <v/>
      </c>
      <c r="E56" s="175" t="str">
        <f t="shared" si="0"/>
        <v/>
      </c>
      <c r="F56" s="175" t="str">
        <f>IF(Valeurs_saisies,IF(colonneA&lt;&gt;"",mensualite-G56,""),"")</f>
        <v/>
      </c>
      <c r="G56" s="175" t="str">
        <f>IF(Valeurs_saisies,IF(colonneA&lt;&gt;"",capital_restant_du*(taux_interet_annueld/nombre_versements_an),""),"")</f>
        <v/>
      </c>
      <c r="H56" s="175" t="str">
        <f>IF(Valeurs_saisies,IF(colonneA&lt;&gt;"",D56-F56,""),"")</f>
        <v/>
      </c>
      <c r="L56" s="172">
        <f t="shared" si="1"/>
        <v>3</v>
      </c>
    </row>
    <row r="57" spans="2:12" s="169" customFormat="1" ht="14.25" customHeight="1">
      <c r="B57" s="173" t="str">
        <f>IF(Valeurs_saisies,IF(duree_du_pret&gt;L57,B56+1,""),"")</f>
        <v/>
      </c>
      <c r="C57" s="174" t="str">
        <f>IF(Valeurs_saisies,IF(colonneA&lt;&gt;"",DATE(YEAR($D$9),MONTH($D$9)+(colonneA)*12/nombre_versements_an,DAY($D$9)),""),"")</f>
        <v/>
      </c>
      <c r="D57" s="175" t="str">
        <f>IF(Valeurs_saisies,IF(colonneA&lt;&gt;"",H56,""),"")</f>
        <v/>
      </c>
      <c r="E57" s="175" t="str">
        <f t="shared" si="0"/>
        <v/>
      </c>
      <c r="F57" s="175" t="str">
        <f>IF(Valeurs_saisies,IF(colonneA&lt;&gt;"",mensualite-G57,""),"")</f>
        <v/>
      </c>
      <c r="G57" s="175" t="str">
        <f>IF(Valeurs_saisies,IF(colonneA&lt;&gt;"",capital_restant_du*(taux_interet_annueld/nombre_versements_an),""),"")</f>
        <v/>
      </c>
      <c r="H57" s="175" t="str">
        <f>IF(Valeurs_saisies,IF(colonneA&lt;&gt;"",D57-F57,""),"")</f>
        <v/>
      </c>
      <c r="L57" s="172">
        <f t="shared" si="1"/>
        <v>3</v>
      </c>
    </row>
    <row r="58" spans="2:12" s="169" customFormat="1" ht="14.25" customHeight="1">
      <c r="B58" s="173" t="str">
        <f>IF(Valeurs_saisies,IF(duree_du_pret&gt;L58,B57+1,""),"")</f>
        <v/>
      </c>
      <c r="C58" s="174" t="str">
        <f>IF(Valeurs_saisies,IF(colonneA&lt;&gt;"",DATE(YEAR($D$9),MONTH($D$9)+(colonneA)*12/nombre_versements_an,DAY($D$9)),""),"")</f>
        <v/>
      </c>
      <c r="D58" s="175" t="str">
        <f>IF(Valeurs_saisies,IF(colonneA&lt;&gt;"",H57,""),"")</f>
        <v/>
      </c>
      <c r="E58" s="175" t="str">
        <f t="shared" si="0"/>
        <v/>
      </c>
      <c r="F58" s="175" t="str">
        <f>IF(Valeurs_saisies,IF(colonneA&lt;&gt;"",mensualite-G58,""),"")</f>
        <v/>
      </c>
      <c r="G58" s="175" t="str">
        <f>IF(Valeurs_saisies,IF(colonneA&lt;&gt;"",capital_restant_du*(taux_interet_annueld/nombre_versements_an),""),"")</f>
        <v/>
      </c>
      <c r="H58" s="175" t="str">
        <f>IF(Valeurs_saisies,IF(colonneA&lt;&gt;"",D58-F58,""),"")</f>
        <v/>
      </c>
      <c r="L58" s="172">
        <f t="shared" si="1"/>
        <v>3</v>
      </c>
    </row>
    <row r="59" spans="2:12" s="169" customFormat="1" ht="14.25" customHeight="1">
      <c r="B59" s="173" t="str">
        <f>IF(Valeurs_saisies,IF(duree_du_pret&gt;L59,B58+1,""),"")</f>
        <v/>
      </c>
      <c r="C59" s="174" t="str">
        <f>IF(Valeurs_saisies,IF(colonneA&lt;&gt;"",DATE(YEAR($D$9),MONTH($D$9)+(colonneA)*12/nombre_versements_an,DAY($D$9)),""),"")</f>
        <v/>
      </c>
      <c r="D59" s="175" t="str">
        <f>IF(Valeurs_saisies,IF(colonneA&lt;&gt;"",H58,""),"")</f>
        <v/>
      </c>
      <c r="E59" s="175" t="str">
        <f t="shared" si="0"/>
        <v/>
      </c>
      <c r="F59" s="175" t="str">
        <f>IF(Valeurs_saisies,IF(colonneA&lt;&gt;"",mensualite-G59,""),"")</f>
        <v/>
      </c>
      <c r="G59" s="175" t="str">
        <f>IF(Valeurs_saisies,IF(colonneA&lt;&gt;"",capital_restant_du*(taux_interet_annueld/nombre_versements_an),""),"")</f>
        <v/>
      </c>
      <c r="H59" s="175" t="str">
        <f>IF(Valeurs_saisies,IF(colonneA&lt;&gt;"",D59-F59,""),"")</f>
        <v/>
      </c>
      <c r="L59" s="172">
        <f t="shared" si="1"/>
        <v>3</v>
      </c>
    </row>
    <row r="60" spans="2:12" s="169" customFormat="1" ht="14.25" customHeight="1">
      <c r="B60" s="173" t="str">
        <f>IF(Valeurs_saisies,IF(duree_du_pret&gt;L60,B59+1,""),"")</f>
        <v/>
      </c>
      <c r="C60" s="174" t="str">
        <f>IF(Valeurs_saisies,IF(colonneA&lt;&gt;"",DATE(YEAR($D$9),MONTH($D$9)+(colonneA)*12/nombre_versements_an,DAY($D$9)),""),"")</f>
        <v/>
      </c>
      <c r="D60" s="175" t="str">
        <f>IF(Valeurs_saisies,IF(colonneA&lt;&gt;"",H59,""),"")</f>
        <v/>
      </c>
      <c r="E60" s="175" t="str">
        <f t="shared" si="0"/>
        <v/>
      </c>
      <c r="F60" s="175" t="str">
        <f>IF(Valeurs_saisies,IF(colonneA&lt;&gt;"",mensualite-G60,""),"")</f>
        <v/>
      </c>
      <c r="G60" s="175" t="str">
        <f>IF(Valeurs_saisies,IF(colonneA&lt;&gt;"",capital_restant_du*(taux_interet_annueld/nombre_versements_an),""),"")</f>
        <v/>
      </c>
      <c r="H60" s="175" t="str">
        <f>IF(Valeurs_saisies,IF(colonneA&lt;&gt;"",D60-F60,""),"")</f>
        <v/>
      </c>
      <c r="L60" s="172">
        <f t="shared" si="1"/>
        <v>4</v>
      </c>
    </row>
    <row r="61" spans="2:12" s="169" customFormat="1" ht="14.25" customHeight="1">
      <c r="B61" s="173" t="str">
        <f>IF(Valeurs_saisies,IF(duree_du_pret&gt;L61,B60+1,""),"")</f>
        <v/>
      </c>
      <c r="C61" s="174" t="str">
        <f>IF(Valeurs_saisies,IF(colonneA&lt;&gt;"",DATE(YEAR($D$9),MONTH($D$9)+(colonneA)*12/nombre_versements_an,DAY($D$9)),""),"")</f>
        <v/>
      </c>
      <c r="D61" s="175" t="str">
        <f>IF(Valeurs_saisies,IF(colonneA&lt;&gt;"",H60,""),"")</f>
        <v/>
      </c>
      <c r="E61" s="175" t="str">
        <f t="shared" si="0"/>
        <v/>
      </c>
      <c r="F61" s="175" t="str">
        <f>IF(Valeurs_saisies,IF(colonneA&lt;&gt;"",mensualite-G61,""),"")</f>
        <v/>
      </c>
      <c r="G61" s="175" t="str">
        <f>IF(Valeurs_saisies,IF(colonneA&lt;&gt;"",capital_restant_du*(taux_interet_annueld/nombre_versements_an),""),"")</f>
        <v/>
      </c>
      <c r="H61" s="175" t="str">
        <f>IF(Valeurs_saisies,IF(colonneA&lt;&gt;"",D61-F61,""),"")</f>
        <v/>
      </c>
      <c r="L61" s="172">
        <f t="shared" si="1"/>
        <v>4</v>
      </c>
    </row>
    <row r="62" spans="2:12" s="169" customFormat="1" ht="14.25" customHeight="1">
      <c r="B62" s="173" t="str">
        <f>IF(Valeurs_saisies,IF(duree_du_pret&gt;L62,B61+1,""),"")</f>
        <v/>
      </c>
      <c r="C62" s="174" t="str">
        <f>IF(Valeurs_saisies,IF(colonneA&lt;&gt;"",DATE(YEAR($D$9),MONTH($D$9)+(colonneA)*12/nombre_versements_an,DAY($D$9)),""),"")</f>
        <v/>
      </c>
      <c r="D62" s="175" t="str">
        <f>IF(Valeurs_saisies,IF(colonneA&lt;&gt;"",H61,""),"")</f>
        <v/>
      </c>
      <c r="E62" s="175" t="str">
        <f t="shared" si="0"/>
        <v/>
      </c>
      <c r="F62" s="175" t="str">
        <f>IF(Valeurs_saisies,IF(colonneA&lt;&gt;"",mensualite-G62,""),"")</f>
        <v/>
      </c>
      <c r="G62" s="175" t="str">
        <f>IF(Valeurs_saisies,IF(colonneA&lt;&gt;"",capital_restant_du*(taux_interet_annueld/nombre_versements_an),""),"")</f>
        <v/>
      </c>
      <c r="H62" s="175" t="str">
        <f>IF(Valeurs_saisies,IF(colonneA&lt;&gt;"",D62-F62,""),"")</f>
        <v/>
      </c>
      <c r="L62" s="172">
        <f t="shared" si="1"/>
        <v>4</v>
      </c>
    </row>
    <row r="63" spans="2:12" s="169" customFormat="1" ht="14.25" customHeight="1">
      <c r="B63" s="173" t="str">
        <f>IF(Valeurs_saisies,IF(duree_du_pret&gt;L63,B62+1,""),"")</f>
        <v/>
      </c>
      <c r="C63" s="174" t="str">
        <f>IF(Valeurs_saisies,IF(colonneA&lt;&gt;"",DATE(YEAR($D$9),MONTH($D$9)+(colonneA)*12/nombre_versements_an,DAY($D$9)),""),"")</f>
        <v/>
      </c>
      <c r="D63" s="175" t="str">
        <f>IF(Valeurs_saisies,IF(colonneA&lt;&gt;"",H62,""),"")</f>
        <v/>
      </c>
      <c r="E63" s="175" t="str">
        <f t="shared" si="0"/>
        <v/>
      </c>
      <c r="F63" s="175" t="str">
        <f>IF(Valeurs_saisies,IF(colonneA&lt;&gt;"",mensualite-G63,""),"")</f>
        <v/>
      </c>
      <c r="G63" s="175" t="str">
        <f>IF(Valeurs_saisies,IF(colonneA&lt;&gt;"",capital_restant_du*(taux_interet_annueld/nombre_versements_an),""),"")</f>
        <v/>
      </c>
      <c r="H63" s="175" t="str">
        <f>IF(Valeurs_saisies,IF(colonneA&lt;&gt;"",D63-F63,""),"")</f>
        <v/>
      </c>
      <c r="L63" s="172">
        <f t="shared" si="1"/>
        <v>4</v>
      </c>
    </row>
    <row r="64" spans="2:12" s="169" customFormat="1" ht="14.25" customHeight="1">
      <c r="B64" s="173" t="str">
        <f>IF(Valeurs_saisies,IF(duree_du_pret&gt;L64,B63+1,""),"")</f>
        <v/>
      </c>
      <c r="C64" s="174" t="str">
        <f>IF(Valeurs_saisies,IF(colonneA&lt;&gt;"",DATE(YEAR($D$9),MONTH($D$9)+(colonneA)*12/nombre_versements_an,DAY($D$9)),""),"")</f>
        <v/>
      </c>
      <c r="D64" s="175" t="str">
        <f>IF(Valeurs_saisies,IF(colonneA&lt;&gt;"",H63,""),"")</f>
        <v/>
      </c>
      <c r="E64" s="175" t="str">
        <f t="shared" si="0"/>
        <v/>
      </c>
      <c r="F64" s="175" t="str">
        <f>IF(Valeurs_saisies,IF(colonneA&lt;&gt;"",mensualite-G64,""),"")</f>
        <v/>
      </c>
      <c r="G64" s="175" t="str">
        <f>IF(Valeurs_saisies,IF(colonneA&lt;&gt;"",capital_restant_du*(taux_interet_annueld/nombre_versements_an),""),"")</f>
        <v/>
      </c>
      <c r="H64" s="175" t="str">
        <f>IF(Valeurs_saisies,IF(colonneA&lt;&gt;"",D64-F64,""),"")</f>
        <v/>
      </c>
      <c r="L64" s="172">
        <f t="shared" si="1"/>
        <v>4</v>
      </c>
    </row>
    <row r="65" spans="2:12" s="169" customFormat="1" ht="14.25" customHeight="1">
      <c r="B65" s="173" t="str">
        <f>IF(Valeurs_saisies,IF(duree_du_pret&gt;L65,B64+1,""),"")</f>
        <v/>
      </c>
      <c r="C65" s="174" t="str">
        <f>IF(Valeurs_saisies,IF(colonneA&lt;&gt;"",DATE(YEAR($D$9),MONTH($D$9)+(colonneA)*12/nombre_versements_an,DAY($D$9)),""),"")</f>
        <v/>
      </c>
      <c r="D65" s="175" t="str">
        <f>IF(Valeurs_saisies,IF(colonneA&lt;&gt;"",H64,""),"")</f>
        <v/>
      </c>
      <c r="E65" s="175" t="str">
        <f t="shared" si="0"/>
        <v/>
      </c>
      <c r="F65" s="175" t="str">
        <f>IF(Valeurs_saisies,IF(colonneA&lt;&gt;"",mensualite-G65,""),"")</f>
        <v/>
      </c>
      <c r="G65" s="175" t="str">
        <f>IF(Valeurs_saisies,IF(colonneA&lt;&gt;"",capital_restant_du*(taux_interet_annueld/nombre_versements_an),""),"")</f>
        <v/>
      </c>
      <c r="H65" s="175" t="str">
        <f>IF(Valeurs_saisies,IF(colonneA&lt;&gt;"",D65-F65,""),"")</f>
        <v/>
      </c>
      <c r="L65" s="172">
        <f t="shared" si="1"/>
        <v>4</v>
      </c>
    </row>
    <row r="66" spans="2:12" s="169" customFormat="1" ht="14.25" customHeight="1">
      <c r="B66" s="173" t="str">
        <f>IF(Valeurs_saisies,IF(duree_du_pret&gt;L66,B65+1,""),"")</f>
        <v/>
      </c>
      <c r="C66" s="174" t="str">
        <f>IF(Valeurs_saisies,IF(colonneA&lt;&gt;"",DATE(YEAR($D$9),MONTH($D$9)+(colonneA)*12/nombre_versements_an,DAY($D$9)),""),"")</f>
        <v/>
      </c>
      <c r="D66" s="175" t="str">
        <f>IF(Valeurs_saisies,IF(colonneA&lt;&gt;"",H65,""),"")</f>
        <v/>
      </c>
      <c r="E66" s="175" t="str">
        <f t="shared" si="0"/>
        <v/>
      </c>
      <c r="F66" s="175" t="str">
        <f>IF(Valeurs_saisies,IF(colonneA&lt;&gt;"",mensualite-G66,""),"")</f>
        <v/>
      </c>
      <c r="G66" s="175" t="str">
        <f>IF(Valeurs_saisies,IF(colonneA&lt;&gt;"",capital_restant_du*(taux_interet_annueld/nombre_versements_an),""),"")</f>
        <v/>
      </c>
      <c r="H66" s="175" t="str">
        <f>IF(Valeurs_saisies,IF(colonneA&lt;&gt;"",D66-F66,""),"")</f>
        <v/>
      </c>
      <c r="L66" s="172">
        <f t="shared" si="1"/>
        <v>4</v>
      </c>
    </row>
    <row r="67" spans="2:12" s="169" customFormat="1" ht="14.25" customHeight="1">
      <c r="B67" s="173" t="str">
        <f>IF(Valeurs_saisies,IF(duree_du_pret&gt;L67,B66+1,""),"")</f>
        <v/>
      </c>
      <c r="C67" s="174" t="str">
        <f>IF(Valeurs_saisies,IF(colonneA&lt;&gt;"",DATE(YEAR($D$9),MONTH($D$9)+(colonneA)*12/nombre_versements_an,DAY($D$9)),""),"")</f>
        <v/>
      </c>
      <c r="D67" s="175" t="str">
        <f>IF(Valeurs_saisies,IF(colonneA&lt;&gt;"",H66,""),"")</f>
        <v/>
      </c>
      <c r="E67" s="175" t="str">
        <f t="shared" si="0"/>
        <v/>
      </c>
      <c r="F67" s="175" t="str">
        <f>IF(Valeurs_saisies,IF(colonneA&lt;&gt;"",mensualite-G67,""),"")</f>
        <v/>
      </c>
      <c r="G67" s="175" t="str">
        <f>IF(Valeurs_saisies,IF(colonneA&lt;&gt;"",capital_restant_du*(taux_interet_annueld/nombre_versements_an),""),"")</f>
        <v/>
      </c>
      <c r="H67" s="175" t="str">
        <f>IF(Valeurs_saisies,IF(colonneA&lt;&gt;"",D67-F67,""),"")</f>
        <v/>
      </c>
      <c r="L67" s="172">
        <f t="shared" si="1"/>
        <v>4</v>
      </c>
    </row>
    <row r="68" spans="2:12" s="169" customFormat="1" ht="14.25" customHeight="1">
      <c r="B68" s="173" t="str">
        <f>IF(Valeurs_saisies,IF(duree_du_pret&gt;L68,B67+1,""),"")</f>
        <v/>
      </c>
      <c r="C68" s="174" t="str">
        <f>IF(Valeurs_saisies,IF(colonneA&lt;&gt;"",DATE(YEAR($D$9),MONTH($D$9)+(colonneA)*12/nombre_versements_an,DAY($D$9)),""),"")</f>
        <v/>
      </c>
      <c r="D68" s="175" t="str">
        <f>IF(Valeurs_saisies,IF(colonneA&lt;&gt;"",H67,""),"")</f>
        <v/>
      </c>
      <c r="E68" s="175" t="str">
        <f t="shared" si="0"/>
        <v/>
      </c>
      <c r="F68" s="175" t="str">
        <f>IF(Valeurs_saisies,IF(colonneA&lt;&gt;"",mensualite-G68,""),"")</f>
        <v/>
      </c>
      <c r="G68" s="175" t="str">
        <f>IF(Valeurs_saisies,IF(colonneA&lt;&gt;"",capital_restant_du*(taux_interet_annueld/nombre_versements_an),""),"")</f>
        <v/>
      </c>
      <c r="H68" s="175" t="str">
        <f>IF(Valeurs_saisies,IF(colonneA&lt;&gt;"",D68-F68,""),"")</f>
        <v/>
      </c>
      <c r="L68" s="172">
        <f t="shared" si="1"/>
        <v>4</v>
      </c>
    </row>
    <row r="69" spans="2:12" s="169" customFormat="1" ht="14.25" customHeight="1">
      <c r="B69" s="173" t="str">
        <f>IF(Valeurs_saisies,IF(duree_du_pret&gt;L69,B68+1,""),"")</f>
        <v/>
      </c>
      <c r="C69" s="174" t="str">
        <f>IF(Valeurs_saisies,IF(colonneA&lt;&gt;"",DATE(YEAR($D$9),MONTH($D$9)+(colonneA)*12/nombre_versements_an,DAY($D$9)),""),"")</f>
        <v/>
      </c>
      <c r="D69" s="175" t="str">
        <f>IF(Valeurs_saisies,IF(colonneA&lt;&gt;"",H68,""),"")</f>
        <v/>
      </c>
      <c r="E69" s="175" t="str">
        <f t="shared" si="0"/>
        <v/>
      </c>
      <c r="F69" s="175" t="str">
        <f>IF(Valeurs_saisies,IF(colonneA&lt;&gt;"",mensualite-G69,""),"")</f>
        <v/>
      </c>
      <c r="G69" s="175" t="str">
        <f>IF(Valeurs_saisies,IF(colonneA&lt;&gt;"",capital_restant_du*(taux_interet_annueld/nombre_versements_an),""),"")</f>
        <v/>
      </c>
      <c r="H69" s="175" t="str">
        <f>IF(Valeurs_saisies,IF(colonneA&lt;&gt;"",D69-F69,""),"")</f>
        <v/>
      </c>
      <c r="L69" s="172">
        <f t="shared" si="1"/>
        <v>4</v>
      </c>
    </row>
    <row r="70" spans="2:12" s="169" customFormat="1" ht="14.25" customHeight="1">
      <c r="B70" s="173" t="str">
        <f>IF(Valeurs_saisies,IF(duree_du_pret&gt;L70,B69+1,""),"")</f>
        <v/>
      </c>
      <c r="C70" s="174" t="str">
        <f>IF(Valeurs_saisies,IF(colonneA&lt;&gt;"",DATE(YEAR($D$9),MONTH($D$9)+(colonneA)*12/nombre_versements_an,DAY($D$9)),""),"")</f>
        <v/>
      </c>
      <c r="D70" s="175" t="str">
        <f>IF(Valeurs_saisies,IF(colonneA&lt;&gt;"",H69,""),"")</f>
        <v/>
      </c>
      <c r="E70" s="175" t="str">
        <f t="shared" si="0"/>
        <v/>
      </c>
      <c r="F70" s="175" t="str">
        <f>IF(Valeurs_saisies,IF(colonneA&lt;&gt;"",mensualite-G70,""),"")</f>
        <v/>
      </c>
      <c r="G70" s="175" t="str">
        <f>IF(Valeurs_saisies,IF(colonneA&lt;&gt;"",capital_restant_du*(taux_interet_annueld/nombre_versements_an),""),"")</f>
        <v/>
      </c>
      <c r="H70" s="175" t="str">
        <f>IF(Valeurs_saisies,IF(colonneA&lt;&gt;"",D70-F70,""),"")</f>
        <v/>
      </c>
      <c r="L70" s="172">
        <f t="shared" si="1"/>
        <v>4</v>
      </c>
    </row>
    <row r="71" spans="2:12" s="169" customFormat="1" ht="14.25" customHeight="1">
      <c r="B71" s="173" t="str">
        <f>IF(Valeurs_saisies,IF(duree_du_pret&gt;L71,B70+1,""),"")</f>
        <v/>
      </c>
      <c r="C71" s="174" t="str">
        <f>IF(Valeurs_saisies,IF(colonneA&lt;&gt;"",DATE(YEAR($D$9),MONTH($D$9)+(colonneA)*12/nombre_versements_an,DAY($D$9)),""),"")</f>
        <v/>
      </c>
      <c r="D71" s="175" t="str">
        <f>IF(Valeurs_saisies,IF(colonneA&lt;&gt;"",H70,""),"")</f>
        <v/>
      </c>
      <c r="E71" s="175" t="str">
        <f t="shared" si="0"/>
        <v/>
      </c>
      <c r="F71" s="175" t="str">
        <f>IF(Valeurs_saisies,IF(colonneA&lt;&gt;"",mensualite-G71,""),"")</f>
        <v/>
      </c>
      <c r="G71" s="175" t="str">
        <f>IF(Valeurs_saisies,IF(colonneA&lt;&gt;"",capital_restant_du*(taux_interet_annueld/nombre_versements_an),""),"")</f>
        <v/>
      </c>
      <c r="H71" s="175" t="str">
        <f>IF(Valeurs_saisies,IF(colonneA&lt;&gt;"",D71-F71,""),"")</f>
        <v/>
      </c>
      <c r="L71" s="172">
        <f t="shared" si="1"/>
        <v>4</v>
      </c>
    </row>
    <row r="72" spans="2:12" s="169" customFormat="1" ht="14.25" customHeight="1">
      <c r="B72" s="173" t="str">
        <f>IF(Valeurs_saisies,IF(duree_du_pret&gt;L72,B71+1,""),"")</f>
        <v/>
      </c>
      <c r="C72" s="174" t="str">
        <f>IF(Valeurs_saisies,IF(colonneA&lt;&gt;"",DATE(YEAR($D$9),MONTH($D$9)+(colonneA)*12/nombre_versements_an,DAY($D$9)),""),"")</f>
        <v/>
      </c>
      <c r="D72" s="175" t="str">
        <f>IF(Valeurs_saisies,IF(colonneA&lt;&gt;"",H71,""),"")</f>
        <v/>
      </c>
      <c r="E72" s="175" t="str">
        <f t="shared" si="0"/>
        <v/>
      </c>
      <c r="F72" s="175" t="str">
        <f>IF(Valeurs_saisies,IF(colonneA&lt;&gt;"",mensualite-G72,""),"")</f>
        <v/>
      </c>
      <c r="G72" s="175" t="str">
        <f>IF(Valeurs_saisies,IF(colonneA&lt;&gt;"",capital_restant_du*(taux_interet_annueld/nombre_versements_an),""),"")</f>
        <v/>
      </c>
      <c r="H72" s="175" t="str">
        <f>IF(Valeurs_saisies,IF(colonneA&lt;&gt;"",D72-F72,""),"")</f>
        <v/>
      </c>
      <c r="L72" s="172">
        <f t="shared" si="1"/>
        <v>5</v>
      </c>
    </row>
    <row r="73" spans="2:12" s="169" customFormat="1" ht="14.25" customHeight="1">
      <c r="B73" s="173" t="str">
        <f>IF(Valeurs_saisies,IF(duree_du_pret&gt;L73,B72+1,""),"")</f>
        <v/>
      </c>
      <c r="C73" s="174" t="str">
        <f>IF(Valeurs_saisies,IF(colonneA&lt;&gt;"",DATE(YEAR($D$9),MONTH($D$9)+(colonneA)*12/nombre_versements_an,DAY($D$9)),""),"")</f>
        <v/>
      </c>
      <c r="D73" s="175" t="str">
        <f>IF(Valeurs_saisies,IF(colonneA&lt;&gt;"",H72,""),"")</f>
        <v/>
      </c>
      <c r="E73" s="175" t="str">
        <f t="shared" si="0"/>
        <v/>
      </c>
      <c r="F73" s="175" t="str">
        <f>IF(Valeurs_saisies,IF(colonneA&lt;&gt;"",mensualite-G73,""),"")</f>
        <v/>
      </c>
      <c r="G73" s="175" t="str">
        <f>IF(Valeurs_saisies,IF(colonneA&lt;&gt;"",capital_restant_du*(taux_interet_annueld/nombre_versements_an),""),"")</f>
        <v/>
      </c>
      <c r="H73" s="175" t="str">
        <f>IF(Valeurs_saisies,IF(colonneA&lt;&gt;"",D73-F73,""),"")</f>
        <v/>
      </c>
      <c r="L73" s="172">
        <f t="shared" si="1"/>
        <v>5</v>
      </c>
    </row>
    <row r="74" spans="2:12" s="169" customFormat="1" ht="14.25" customHeight="1">
      <c r="B74" s="173" t="str">
        <f>IF(Valeurs_saisies,IF(duree_du_pret&gt;L74,B73+1,""),"")</f>
        <v/>
      </c>
      <c r="C74" s="174" t="str">
        <f>IF(Valeurs_saisies,IF(colonneA&lt;&gt;"",DATE(YEAR($D$9),MONTH($D$9)+(colonneA)*12/nombre_versements_an,DAY($D$9)),""),"")</f>
        <v/>
      </c>
      <c r="D74" s="175" t="str">
        <f>IF(Valeurs_saisies,IF(colonneA&lt;&gt;"",H73,""),"")</f>
        <v/>
      </c>
      <c r="E74" s="175" t="str">
        <f t="shared" si="0"/>
        <v/>
      </c>
      <c r="F74" s="175" t="str">
        <f>IF(Valeurs_saisies,IF(colonneA&lt;&gt;"",mensualite-G74,""),"")</f>
        <v/>
      </c>
      <c r="G74" s="175" t="str">
        <f>IF(Valeurs_saisies,IF(colonneA&lt;&gt;"",capital_restant_du*(taux_interet_annueld/nombre_versements_an),""),"")</f>
        <v/>
      </c>
      <c r="H74" s="175" t="str">
        <f>IF(Valeurs_saisies,IF(colonneA&lt;&gt;"",D74-F74,""),"")</f>
        <v/>
      </c>
      <c r="L74" s="172">
        <f t="shared" si="1"/>
        <v>5</v>
      </c>
    </row>
    <row r="75" spans="2:12" s="169" customFormat="1" ht="14.25" customHeight="1">
      <c r="B75" s="173" t="str">
        <f>IF(Valeurs_saisies,IF(duree_du_pret&gt;L75,B74+1,""),"")</f>
        <v/>
      </c>
      <c r="C75" s="174" t="str">
        <f>IF(Valeurs_saisies,IF(colonneA&lt;&gt;"",DATE(YEAR($D$9),MONTH($D$9)+(colonneA)*12/nombre_versements_an,DAY($D$9)),""),"")</f>
        <v/>
      </c>
      <c r="D75" s="175" t="str">
        <f>IF(Valeurs_saisies,IF(colonneA&lt;&gt;"",H74,""),"")</f>
        <v/>
      </c>
      <c r="E75" s="175" t="str">
        <f t="shared" si="0"/>
        <v/>
      </c>
      <c r="F75" s="175" t="str">
        <f>IF(Valeurs_saisies,IF(colonneA&lt;&gt;"",mensualite-G75,""),"")</f>
        <v/>
      </c>
      <c r="G75" s="175" t="str">
        <f>IF(Valeurs_saisies,IF(colonneA&lt;&gt;"",capital_restant_du*(taux_interet_annueld/nombre_versements_an),""),"")</f>
        <v/>
      </c>
      <c r="H75" s="175" t="str">
        <f>IF(Valeurs_saisies,IF(colonneA&lt;&gt;"",D75-F75,""),"")</f>
        <v/>
      </c>
      <c r="L75" s="172">
        <f t="shared" si="1"/>
        <v>5</v>
      </c>
    </row>
    <row r="76" spans="2:12" s="169" customFormat="1" ht="14.25" customHeight="1">
      <c r="B76" s="173" t="str">
        <f>IF(Valeurs_saisies,IF(duree_du_pret&gt;L76,B75+1,""),"")</f>
        <v/>
      </c>
      <c r="C76" s="174" t="str">
        <f>IF(Valeurs_saisies,IF(colonneA&lt;&gt;"",DATE(YEAR($D$9),MONTH($D$9)+(colonneA)*12/nombre_versements_an,DAY($D$9)),""),"")</f>
        <v/>
      </c>
      <c r="D76" s="175" t="str">
        <f>IF(Valeurs_saisies,IF(colonneA&lt;&gt;"",H75,""),"")</f>
        <v/>
      </c>
      <c r="E76" s="175" t="str">
        <f t="shared" ref="E76:E139" si="2">IF(colonneA&lt;&gt;"",$H$5,"")</f>
        <v/>
      </c>
      <c r="F76" s="175" t="str">
        <f>IF(Valeurs_saisies,IF(colonneA&lt;&gt;"",mensualite-G76,""),"")</f>
        <v/>
      </c>
      <c r="G76" s="175" t="str">
        <f>IF(Valeurs_saisies,IF(colonneA&lt;&gt;"",capital_restant_du*(taux_interet_annueld/nombre_versements_an),""),"")</f>
        <v/>
      </c>
      <c r="H76" s="175" t="str">
        <f>IF(Valeurs_saisies,IF(colonneA&lt;&gt;"",D76-F76,""),"")</f>
        <v/>
      </c>
      <c r="L76" s="172">
        <f t="shared" si="1"/>
        <v>5</v>
      </c>
    </row>
    <row r="77" spans="2:12" s="169" customFormat="1" ht="14.25" customHeight="1">
      <c r="B77" s="173" t="str">
        <f>IF(Valeurs_saisies,IF(duree_du_pret&gt;L77,B76+1,""),"")</f>
        <v/>
      </c>
      <c r="C77" s="174" t="str">
        <f>IF(Valeurs_saisies,IF(colonneA&lt;&gt;"",DATE(YEAR($D$9),MONTH($D$9)+(colonneA)*12/nombre_versements_an,DAY($D$9)),""),"")</f>
        <v/>
      </c>
      <c r="D77" s="175" t="str">
        <f>IF(Valeurs_saisies,IF(colonneA&lt;&gt;"",H76,""),"")</f>
        <v/>
      </c>
      <c r="E77" s="175" t="str">
        <f t="shared" si="2"/>
        <v/>
      </c>
      <c r="F77" s="175" t="str">
        <f>IF(Valeurs_saisies,IF(colonneA&lt;&gt;"",mensualite-G77,""),"")</f>
        <v/>
      </c>
      <c r="G77" s="175" t="str">
        <f>IF(Valeurs_saisies,IF(colonneA&lt;&gt;"",capital_restant_du*(taux_interet_annueld/nombre_versements_an),""),"")</f>
        <v/>
      </c>
      <c r="H77" s="175" t="str">
        <f>IF(Valeurs_saisies,IF(colonneA&lt;&gt;"",D77-F77,""),"")</f>
        <v/>
      </c>
      <c r="L77" s="172">
        <f t="shared" si="1"/>
        <v>5</v>
      </c>
    </row>
    <row r="78" spans="2:12" s="169" customFormat="1" ht="14.25" customHeight="1">
      <c r="B78" s="173" t="str">
        <f>IF(Valeurs_saisies,IF(duree_du_pret&gt;L78,B77+1,""),"")</f>
        <v/>
      </c>
      <c r="C78" s="174" t="str">
        <f>IF(Valeurs_saisies,IF(colonneA&lt;&gt;"",DATE(YEAR($D$9),MONTH($D$9)+(colonneA)*12/nombre_versements_an,DAY($D$9)),""),"")</f>
        <v/>
      </c>
      <c r="D78" s="175" t="str">
        <f>IF(Valeurs_saisies,IF(colonneA&lt;&gt;"",H77,""),"")</f>
        <v/>
      </c>
      <c r="E78" s="175" t="str">
        <f t="shared" si="2"/>
        <v/>
      </c>
      <c r="F78" s="175" t="str">
        <f>IF(Valeurs_saisies,IF(colonneA&lt;&gt;"",mensualite-G78,""),"")</f>
        <v/>
      </c>
      <c r="G78" s="175" t="str">
        <f>IF(Valeurs_saisies,IF(colonneA&lt;&gt;"",capital_restant_du*(taux_interet_annueld/nombre_versements_an),""),"")</f>
        <v/>
      </c>
      <c r="H78" s="175" t="str">
        <f>IF(Valeurs_saisies,IF(colonneA&lt;&gt;"",D78-F78,""),"")</f>
        <v/>
      </c>
      <c r="L78" s="172">
        <f t="shared" si="1"/>
        <v>5</v>
      </c>
    </row>
    <row r="79" spans="2:12" s="169" customFormat="1" ht="14.25" customHeight="1">
      <c r="B79" s="173" t="str">
        <f>IF(Valeurs_saisies,IF(duree_du_pret&gt;L79,B78+1,""),"")</f>
        <v/>
      </c>
      <c r="C79" s="174" t="str">
        <f>IF(Valeurs_saisies,IF(colonneA&lt;&gt;"",DATE(YEAR($D$9),MONTH($D$9)+(colonneA)*12/nombre_versements_an,DAY($D$9)),""),"")</f>
        <v/>
      </c>
      <c r="D79" s="175" t="str">
        <f>IF(Valeurs_saisies,IF(colonneA&lt;&gt;"",H78,""),"")</f>
        <v/>
      </c>
      <c r="E79" s="175" t="str">
        <f t="shared" si="2"/>
        <v/>
      </c>
      <c r="F79" s="175" t="str">
        <f>IF(Valeurs_saisies,IF(colonneA&lt;&gt;"",mensualite-G79,""),"")</f>
        <v/>
      </c>
      <c r="G79" s="175" t="str">
        <f>IF(Valeurs_saisies,IF(colonneA&lt;&gt;"",capital_restant_du*(taux_interet_annueld/nombre_versements_an),""),"")</f>
        <v/>
      </c>
      <c r="H79" s="175" t="str">
        <f>IF(Valeurs_saisies,IF(colonneA&lt;&gt;"",D79-F79,""),"")</f>
        <v/>
      </c>
      <c r="L79" s="172">
        <f t="shared" si="1"/>
        <v>5</v>
      </c>
    </row>
    <row r="80" spans="2:12" s="169" customFormat="1" ht="14.25" customHeight="1">
      <c r="B80" s="173" t="str">
        <f>IF(Valeurs_saisies,IF(duree_du_pret&gt;L80,B79+1,""),"")</f>
        <v/>
      </c>
      <c r="C80" s="174" t="str">
        <f>IF(Valeurs_saisies,IF(colonneA&lt;&gt;"",DATE(YEAR($D$9),MONTH($D$9)+(colonneA)*12/nombre_versements_an,DAY($D$9)),""),"")</f>
        <v/>
      </c>
      <c r="D80" s="175" t="str">
        <f>IF(Valeurs_saisies,IF(colonneA&lt;&gt;"",H79,""),"")</f>
        <v/>
      </c>
      <c r="E80" s="175" t="str">
        <f t="shared" si="2"/>
        <v/>
      </c>
      <c r="F80" s="175" t="str">
        <f>IF(Valeurs_saisies,IF(colonneA&lt;&gt;"",mensualite-G80,""),"")</f>
        <v/>
      </c>
      <c r="G80" s="175" t="str">
        <f>IF(Valeurs_saisies,IF(colonneA&lt;&gt;"",capital_restant_du*(taux_interet_annueld/nombre_versements_an),""),"")</f>
        <v/>
      </c>
      <c r="H80" s="175" t="str">
        <f>IF(Valeurs_saisies,IF(colonneA&lt;&gt;"",D80-F80,""),"")</f>
        <v/>
      </c>
      <c r="L80" s="172">
        <f t="shared" si="1"/>
        <v>5</v>
      </c>
    </row>
    <row r="81" spans="2:12" s="169" customFormat="1" ht="14.25" customHeight="1">
      <c r="B81" s="173" t="str">
        <f>IF(Valeurs_saisies,IF(duree_du_pret&gt;L81,B80+1,""),"")</f>
        <v/>
      </c>
      <c r="C81" s="174" t="str">
        <f>IF(Valeurs_saisies,IF(colonneA&lt;&gt;"",DATE(YEAR($D$9),MONTH($D$9)+(colonneA)*12/nombre_versements_an,DAY($D$9)),""),"")</f>
        <v/>
      </c>
      <c r="D81" s="175" t="str">
        <f>IF(Valeurs_saisies,IF(colonneA&lt;&gt;"",H80,""),"")</f>
        <v/>
      </c>
      <c r="E81" s="175" t="str">
        <f t="shared" si="2"/>
        <v/>
      </c>
      <c r="F81" s="175" t="str">
        <f>IF(Valeurs_saisies,IF(colonneA&lt;&gt;"",mensualite-G81,""),"")</f>
        <v/>
      </c>
      <c r="G81" s="175" t="str">
        <f>IF(Valeurs_saisies,IF(colonneA&lt;&gt;"",capital_restant_du*(taux_interet_annueld/nombre_versements_an),""),"")</f>
        <v/>
      </c>
      <c r="H81" s="175" t="str">
        <f>IF(Valeurs_saisies,IF(colonneA&lt;&gt;"",D81-F81,""),"")</f>
        <v/>
      </c>
      <c r="L81" s="172">
        <f t="shared" si="1"/>
        <v>5</v>
      </c>
    </row>
    <row r="82" spans="2:12" s="169" customFormat="1" ht="14.25" customHeight="1">
      <c r="B82" s="173" t="str">
        <f>IF(Valeurs_saisies,IF(duree_du_pret&gt;L82,B81+1,""),"")</f>
        <v/>
      </c>
      <c r="C82" s="174" t="str">
        <f>IF(Valeurs_saisies,IF(colonneA&lt;&gt;"",DATE(YEAR($D$9),MONTH($D$9)+(colonneA)*12/nombre_versements_an,DAY($D$9)),""),"")</f>
        <v/>
      </c>
      <c r="D82" s="175" t="str">
        <f>IF(Valeurs_saisies,IF(colonneA&lt;&gt;"",H81,""),"")</f>
        <v/>
      </c>
      <c r="E82" s="175" t="str">
        <f t="shared" si="2"/>
        <v/>
      </c>
      <c r="F82" s="175" t="str">
        <f>IF(Valeurs_saisies,IF(colonneA&lt;&gt;"",mensualite-G82,""),"")</f>
        <v/>
      </c>
      <c r="G82" s="175" t="str">
        <f>IF(Valeurs_saisies,IF(colonneA&lt;&gt;"",capital_restant_du*(taux_interet_annueld/nombre_versements_an),""),"")</f>
        <v/>
      </c>
      <c r="H82" s="175" t="str">
        <f>IF(Valeurs_saisies,IF(colonneA&lt;&gt;"",D82-F82,""),"")</f>
        <v/>
      </c>
      <c r="L82" s="172">
        <f t="shared" si="1"/>
        <v>5</v>
      </c>
    </row>
    <row r="83" spans="2:12" s="169" customFormat="1" ht="14.25" customHeight="1">
      <c r="B83" s="173" t="str">
        <f>IF(Valeurs_saisies,IF(duree_du_pret&gt;L83,B82+1,""),"")</f>
        <v/>
      </c>
      <c r="C83" s="174" t="str">
        <f>IF(Valeurs_saisies,IF(colonneA&lt;&gt;"",DATE(YEAR($D$9),MONTH($D$9)+(colonneA)*12/nombre_versements_an,DAY($D$9)),""),"")</f>
        <v/>
      </c>
      <c r="D83" s="175" t="str">
        <f>IF(Valeurs_saisies,IF(colonneA&lt;&gt;"",H82,""),"")</f>
        <v/>
      </c>
      <c r="E83" s="175" t="str">
        <f t="shared" si="2"/>
        <v/>
      </c>
      <c r="F83" s="175" t="str">
        <f>IF(Valeurs_saisies,IF(colonneA&lt;&gt;"",mensualite-G83,""),"")</f>
        <v/>
      </c>
      <c r="G83" s="175" t="str">
        <f>IF(Valeurs_saisies,IF(colonneA&lt;&gt;"",capital_restant_du*(taux_interet_annueld/nombre_versements_an),""),"")</f>
        <v/>
      </c>
      <c r="H83" s="175" t="str">
        <f>IF(Valeurs_saisies,IF(colonneA&lt;&gt;"",D83-F83,""),"")</f>
        <v/>
      </c>
      <c r="L83" s="172">
        <f t="shared" si="1"/>
        <v>5</v>
      </c>
    </row>
    <row r="84" spans="2:12" s="169" customFormat="1" ht="14.25" customHeight="1">
      <c r="B84" s="173" t="str">
        <f>IF(Valeurs_saisies,IF(duree_du_pret&gt;L84,B83+1,""),"")</f>
        <v/>
      </c>
      <c r="C84" s="174" t="str">
        <f>IF(Valeurs_saisies,IF(colonneA&lt;&gt;"",DATE(YEAR($D$9),MONTH($D$9)+(colonneA)*12/nombre_versements_an,DAY($D$9)),""),"")</f>
        <v/>
      </c>
      <c r="D84" s="175" t="str">
        <f>IF(Valeurs_saisies,IF(colonneA&lt;&gt;"",H83,""),"")</f>
        <v/>
      </c>
      <c r="E84" s="175" t="str">
        <f t="shared" si="2"/>
        <v/>
      </c>
      <c r="F84" s="175" t="str">
        <f>IF(Valeurs_saisies,IF(colonneA&lt;&gt;"",mensualite-G84,""),"")</f>
        <v/>
      </c>
      <c r="G84" s="175" t="str">
        <f>IF(Valeurs_saisies,IF(colonneA&lt;&gt;"",capital_restant_du*(taux_interet_annueld/nombre_versements_an),""),"")</f>
        <v/>
      </c>
      <c r="H84" s="175" t="str">
        <f>IF(Valeurs_saisies,IF(colonneA&lt;&gt;"",D84-F84,""),"")</f>
        <v/>
      </c>
      <c r="L84" s="172">
        <f t="shared" si="1"/>
        <v>6</v>
      </c>
    </row>
    <row r="85" spans="2:12" s="169" customFormat="1" ht="14.25" customHeight="1">
      <c r="B85" s="173" t="str">
        <f>IF(Valeurs_saisies,IF(duree_du_pret&gt;L85,B84+1,""),"")</f>
        <v/>
      </c>
      <c r="C85" s="174" t="str">
        <f>IF(Valeurs_saisies,IF(colonneA&lt;&gt;"",DATE(YEAR($D$9),MONTH($D$9)+(colonneA)*12/nombre_versements_an,DAY($D$9)),""),"")</f>
        <v/>
      </c>
      <c r="D85" s="175" t="str">
        <f>IF(Valeurs_saisies,IF(colonneA&lt;&gt;"",H84,""),"")</f>
        <v/>
      </c>
      <c r="E85" s="175" t="str">
        <f t="shared" si="2"/>
        <v/>
      </c>
      <c r="F85" s="175" t="str">
        <f>IF(Valeurs_saisies,IF(colonneA&lt;&gt;"",mensualite-G85,""),"")</f>
        <v/>
      </c>
      <c r="G85" s="175" t="str">
        <f>IF(Valeurs_saisies,IF(colonneA&lt;&gt;"",capital_restant_du*(taux_interet_annueld/nombre_versements_an),""),"")</f>
        <v/>
      </c>
      <c r="H85" s="175" t="str">
        <f>IF(Valeurs_saisies,IF(colonneA&lt;&gt;"",D85-F85,""),"")</f>
        <v/>
      </c>
      <c r="L85" s="172">
        <f t="shared" si="1"/>
        <v>6</v>
      </c>
    </row>
    <row r="86" spans="2:12" s="169" customFormat="1" ht="14.25" customHeight="1">
      <c r="B86" s="173" t="str">
        <f>IF(Valeurs_saisies,IF(duree_du_pret&gt;L86,B85+1,""),"")</f>
        <v/>
      </c>
      <c r="C86" s="174" t="str">
        <f>IF(Valeurs_saisies,IF(colonneA&lt;&gt;"",DATE(YEAR($D$9),MONTH($D$9)+(colonneA)*12/nombre_versements_an,DAY($D$9)),""),"")</f>
        <v/>
      </c>
      <c r="D86" s="175" t="str">
        <f>IF(Valeurs_saisies,IF(colonneA&lt;&gt;"",H85,""),"")</f>
        <v/>
      </c>
      <c r="E86" s="175" t="str">
        <f t="shared" si="2"/>
        <v/>
      </c>
      <c r="F86" s="175" t="str">
        <f>IF(Valeurs_saisies,IF(colonneA&lt;&gt;"",mensualite-G86,""),"")</f>
        <v/>
      </c>
      <c r="G86" s="175" t="str">
        <f>IF(Valeurs_saisies,IF(colonneA&lt;&gt;"",capital_restant_du*(taux_interet_annueld/nombre_versements_an),""),"")</f>
        <v/>
      </c>
      <c r="H86" s="175" t="str">
        <f>IF(Valeurs_saisies,IF(colonneA&lt;&gt;"",D86-F86,""),"")</f>
        <v/>
      </c>
      <c r="L86" s="172">
        <f t="shared" si="1"/>
        <v>6</v>
      </c>
    </row>
    <row r="87" spans="2:12" s="169" customFormat="1" ht="14.25" customHeight="1">
      <c r="B87" s="173" t="str">
        <f>IF(Valeurs_saisies,IF(duree_du_pret&gt;L87,B86+1,""),"")</f>
        <v/>
      </c>
      <c r="C87" s="174" t="str">
        <f>IF(Valeurs_saisies,IF(colonneA&lt;&gt;"",DATE(YEAR($D$9),MONTH($D$9)+(colonneA)*12/nombre_versements_an,DAY($D$9)),""),"")</f>
        <v/>
      </c>
      <c r="D87" s="175" t="str">
        <f>IF(Valeurs_saisies,IF(colonneA&lt;&gt;"",H86,""),"")</f>
        <v/>
      </c>
      <c r="E87" s="175" t="str">
        <f t="shared" si="2"/>
        <v/>
      </c>
      <c r="F87" s="175" t="str">
        <f>IF(Valeurs_saisies,IF(colonneA&lt;&gt;"",mensualite-G87,""),"")</f>
        <v/>
      </c>
      <c r="G87" s="175" t="str">
        <f>IF(Valeurs_saisies,IF(colonneA&lt;&gt;"",capital_restant_du*(taux_interet_annueld/nombre_versements_an),""),"")</f>
        <v/>
      </c>
      <c r="H87" s="175" t="str">
        <f>IF(Valeurs_saisies,IF(colonneA&lt;&gt;"",D87-F87,""),"")</f>
        <v/>
      </c>
      <c r="L87" s="172">
        <f t="shared" si="1"/>
        <v>6</v>
      </c>
    </row>
    <row r="88" spans="2:12" s="169" customFormat="1" ht="14.25" customHeight="1">
      <c r="B88" s="173" t="str">
        <f>IF(Valeurs_saisies,IF(duree_du_pret&gt;L88,B87+1,""),"")</f>
        <v/>
      </c>
      <c r="C88" s="174" t="str">
        <f>IF(Valeurs_saisies,IF(colonneA&lt;&gt;"",DATE(YEAR($D$9),MONTH($D$9)+(colonneA)*12/nombre_versements_an,DAY($D$9)),""),"")</f>
        <v/>
      </c>
      <c r="D88" s="175" t="str">
        <f>IF(Valeurs_saisies,IF(colonneA&lt;&gt;"",H87,""),"")</f>
        <v/>
      </c>
      <c r="E88" s="175" t="str">
        <f t="shared" si="2"/>
        <v/>
      </c>
      <c r="F88" s="175" t="str">
        <f>IF(Valeurs_saisies,IF(colonneA&lt;&gt;"",mensualite-G88,""),"")</f>
        <v/>
      </c>
      <c r="G88" s="175" t="str">
        <f>IF(Valeurs_saisies,IF(colonneA&lt;&gt;"",capital_restant_du*(taux_interet_annueld/nombre_versements_an),""),"")</f>
        <v/>
      </c>
      <c r="H88" s="175" t="str">
        <f>IF(Valeurs_saisies,IF(colonneA&lt;&gt;"",D88-F88,""),"")</f>
        <v/>
      </c>
      <c r="L88" s="172">
        <f t="shared" si="1"/>
        <v>6</v>
      </c>
    </row>
    <row r="89" spans="2:12" s="169" customFormat="1" ht="14.25" customHeight="1">
      <c r="B89" s="173" t="str">
        <f>IF(Valeurs_saisies,IF(duree_du_pret&gt;L89,B88+1,""),"")</f>
        <v/>
      </c>
      <c r="C89" s="174" t="str">
        <f>IF(Valeurs_saisies,IF(colonneA&lt;&gt;"",DATE(YEAR($D$9),MONTH($D$9)+(colonneA)*12/nombre_versements_an,DAY($D$9)),""),"")</f>
        <v/>
      </c>
      <c r="D89" s="175" t="str">
        <f>IF(Valeurs_saisies,IF(colonneA&lt;&gt;"",H88,""),"")</f>
        <v/>
      </c>
      <c r="E89" s="175" t="str">
        <f t="shared" si="2"/>
        <v/>
      </c>
      <c r="F89" s="175" t="str">
        <f>IF(Valeurs_saisies,IF(colonneA&lt;&gt;"",mensualite-G89,""),"")</f>
        <v/>
      </c>
      <c r="G89" s="175" t="str">
        <f>IF(Valeurs_saisies,IF(colonneA&lt;&gt;"",capital_restant_du*(taux_interet_annueld/nombre_versements_an),""),"")</f>
        <v/>
      </c>
      <c r="H89" s="175" t="str">
        <f>IF(Valeurs_saisies,IF(colonneA&lt;&gt;"",D89-F89,""),"")</f>
        <v/>
      </c>
      <c r="L89" s="172">
        <f t="shared" ref="L89:L152" si="3">L77+1</f>
        <v>6</v>
      </c>
    </row>
    <row r="90" spans="2:12" s="169" customFormat="1" ht="14.25" customHeight="1">
      <c r="B90" s="173" t="str">
        <f>IF(Valeurs_saisies,IF(duree_du_pret&gt;L90,B89+1,""),"")</f>
        <v/>
      </c>
      <c r="C90" s="174" t="str">
        <f>IF(Valeurs_saisies,IF(colonneA&lt;&gt;"",DATE(YEAR($D$9),MONTH($D$9)+(colonneA)*12/nombre_versements_an,DAY($D$9)),""),"")</f>
        <v/>
      </c>
      <c r="D90" s="175" t="str">
        <f>IF(Valeurs_saisies,IF(colonneA&lt;&gt;"",H89,""),"")</f>
        <v/>
      </c>
      <c r="E90" s="175" t="str">
        <f t="shared" si="2"/>
        <v/>
      </c>
      <c r="F90" s="175" t="str">
        <f>IF(Valeurs_saisies,IF(colonneA&lt;&gt;"",mensualite-G90,""),"")</f>
        <v/>
      </c>
      <c r="G90" s="175" t="str">
        <f>IF(Valeurs_saisies,IF(colonneA&lt;&gt;"",capital_restant_du*(taux_interet_annueld/nombre_versements_an),""),"")</f>
        <v/>
      </c>
      <c r="H90" s="175" t="str">
        <f>IF(Valeurs_saisies,IF(colonneA&lt;&gt;"",D90-F90,""),"")</f>
        <v/>
      </c>
      <c r="L90" s="172">
        <f t="shared" si="3"/>
        <v>6</v>
      </c>
    </row>
    <row r="91" spans="2:12" s="169" customFormat="1" ht="14.25" customHeight="1">
      <c r="B91" s="173" t="str">
        <f>IF(Valeurs_saisies,IF(duree_du_pret&gt;L91,B90+1,""),"")</f>
        <v/>
      </c>
      <c r="C91" s="174" t="str">
        <f>IF(Valeurs_saisies,IF(colonneA&lt;&gt;"",DATE(YEAR($D$9),MONTH($D$9)+(colonneA)*12/nombre_versements_an,DAY($D$9)),""),"")</f>
        <v/>
      </c>
      <c r="D91" s="175" t="str">
        <f>IF(Valeurs_saisies,IF(colonneA&lt;&gt;"",H90,""),"")</f>
        <v/>
      </c>
      <c r="E91" s="175" t="str">
        <f t="shared" si="2"/>
        <v/>
      </c>
      <c r="F91" s="175" t="str">
        <f>IF(Valeurs_saisies,IF(colonneA&lt;&gt;"",mensualite-G91,""),"")</f>
        <v/>
      </c>
      <c r="G91" s="175" t="str">
        <f>IF(Valeurs_saisies,IF(colonneA&lt;&gt;"",capital_restant_du*(taux_interet_annueld/nombre_versements_an),""),"")</f>
        <v/>
      </c>
      <c r="H91" s="175" t="str">
        <f>IF(Valeurs_saisies,IF(colonneA&lt;&gt;"",D91-F91,""),"")</f>
        <v/>
      </c>
      <c r="L91" s="172">
        <f t="shared" si="3"/>
        <v>6</v>
      </c>
    </row>
    <row r="92" spans="2:12" s="169" customFormat="1" ht="14.25" customHeight="1">
      <c r="B92" s="173" t="str">
        <f>IF(Valeurs_saisies,IF(duree_du_pret&gt;L92,B91+1,""),"")</f>
        <v/>
      </c>
      <c r="C92" s="174" t="str">
        <f>IF(Valeurs_saisies,IF(colonneA&lt;&gt;"",DATE(YEAR($D$9),MONTH($D$9)+(colonneA)*12/nombre_versements_an,DAY($D$9)),""),"")</f>
        <v/>
      </c>
      <c r="D92" s="175" t="str">
        <f>IF(Valeurs_saisies,IF(colonneA&lt;&gt;"",H91,""),"")</f>
        <v/>
      </c>
      <c r="E92" s="175" t="str">
        <f t="shared" si="2"/>
        <v/>
      </c>
      <c r="F92" s="175" t="str">
        <f>IF(Valeurs_saisies,IF(colonneA&lt;&gt;"",mensualite-G92,""),"")</f>
        <v/>
      </c>
      <c r="G92" s="175" t="str">
        <f>IF(Valeurs_saisies,IF(colonneA&lt;&gt;"",capital_restant_du*(taux_interet_annueld/nombre_versements_an),""),"")</f>
        <v/>
      </c>
      <c r="H92" s="175" t="str">
        <f>IF(Valeurs_saisies,IF(colonneA&lt;&gt;"",D92-F92,""),"")</f>
        <v/>
      </c>
      <c r="L92" s="172">
        <f t="shared" si="3"/>
        <v>6</v>
      </c>
    </row>
    <row r="93" spans="2:12" s="169" customFormat="1" ht="14.25" customHeight="1">
      <c r="B93" s="173" t="str">
        <f>IF(Valeurs_saisies,IF(duree_du_pret&gt;L93,B92+1,""),"")</f>
        <v/>
      </c>
      <c r="C93" s="174" t="str">
        <f>IF(Valeurs_saisies,IF(colonneA&lt;&gt;"",DATE(YEAR($D$9),MONTH($D$9)+(colonneA)*12/nombre_versements_an,DAY($D$9)),""),"")</f>
        <v/>
      </c>
      <c r="D93" s="175" t="str">
        <f>IF(Valeurs_saisies,IF(colonneA&lt;&gt;"",H92,""),"")</f>
        <v/>
      </c>
      <c r="E93" s="175" t="str">
        <f t="shared" si="2"/>
        <v/>
      </c>
      <c r="F93" s="175" t="str">
        <f>IF(Valeurs_saisies,IF(colonneA&lt;&gt;"",mensualite-G93,""),"")</f>
        <v/>
      </c>
      <c r="G93" s="175" t="str">
        <f>IF(Valeurs_saisies,IF(colonneA&lt;&gt;"",capital_restant_du*(taux_interet_annueld/nombre_versements_an),""),"")</f>
        <v/>
      </c>
      <c r="H93" s="175" t="str">
        <f>IF(Valeurs_saisies,IF(colonneA&lt;&gt;"",D93-F93,""),"")</f>
        <v/>
      </c>
      <c r="L93" s="172">
        <f t="shared" si="3"/>
        <v>6</v>
      </c>
    </row>
    <row r="94" spans="2:12" s="169" customFormat="1" ht="14.25" customHeight="1">
      <c r="B94" s="173" t="str">
        <f>IF(Valeurs_saisies,IF(duree_du_pret&gt;L94,B93+1,""),"")</f>
        <v/>
      </c>
      <c r="C94" s="174" t="str">
        <f>IF(Valeurs_saisies,IF(colonneA&lt;&gt;"",DATE(YEAR($D$9),MONTH($D$9)+(colonneA)*12/nombre_versements_an,DAY($D$9)),""),"")</f>
        <v/>
      </c>
      <c r="D94" s="175" t="str">
        <f>IF(Valeurs_saisies,IF(colonneA&lt;&gt;"",H93,""),"")</f>
        <v/>
      </c>
      <c r="E94" s="175" t="str">
        <f t="shared" si="2"/>
        <v/>
      </c>
      <c r="F94" s="175" t="str">
        <f>IF(Valeurs_saisies,IF(colonneA&lt;&gt;"",mensualite-G94,""),"")</f>
        <v/>
      </c>
      <c r="G94" s="175" t="str">
        <f>IF(Valeurs_saisies,IF(colonneA&lt;&gt;"",capital_restant_du*(taux_interet_annueld/nombre_versements_an),""),"")</f>
        <v/>
      </c>
      <c r="H94" s="175" t="str">
        <f>IF(Valeurs_saisies,IF(colonneA&lt;&gt;"",D94-F94,""),"")</f>
        <v/>
      </c>
      <c r="L94" s="172">
        <f t="shared" si="3"/>
        <v>6</v>
      </c>
    </row>
    <row r="95" spans="2:12" s="169" customFormat="1" ht="14.25" customHeight="1">
      <c r="B95" s="173" t="str">
        <f>IF(Valeurs_saisies,IF(duree_du_pret&gt;L95,B94+1,""),"")</f>
        <v/>
      </c>
      <c r="C95" s="174" t="str">
        <f>IF(Valeurs_saisies,IF(colonneA&lt;&gt;"",DATE(YEAR($D$9),MONTH($D$9)+(colonneA)*12/nombre_versements_an,DAY($D$9)),""),"")</f>
        <v/>
      </c>
      <c r="D95" s="175" t="str">
        <f>IF(Valeurs_saisies,IF(colonneA&lt;&gt;"",H94,""),"")</f>
        <v/>
      </c>
      <c r="E95" s="175" t="str">
        <f t="shared" si="2"/>
        <v/>
      </c>
      <c r="F95" s="175" t="str">
        <f>IF(Valeurs_saisies,IF(colonneA&lt;&gt;"",mensualite-G95,""),"")</f>
        <v/>
      </c>
      <c r="G95" s="175" t="str">
        <f>IF(Valeurs_saisies,IF(colonneA&lt;&gt;"",capital_restant_du*(taux_interet_annueld/nombre_versements_an),""),"")</f>
        <v/>
      </c>
      <c r="H95" s="175" t="str">
        <f>IF(Valeurs_saisies,IF(colonneA&lt;&gt;"",D95-F95,""),"")</f>
        <v/>
      </c>
      <c r="L95" s="172">
        <f t="shared" si="3"/>
        <v>6</v>
      </c>
    </row>
    <row r="96" spans="2:12" s="169" customFormat="1" ht="14.25" customHeight="1">
      <c r="B96" s="173" t="str">
        <f>IF(Valeurs_saisies,IF(duree_du_pret&gt;L96,B95+1,""),"")</f>
        <v/>
      </c>
      <c r="C96" s="174" t="str">
        <f>IF(Valeurs_saisies,IF(colonneA&lt;&gt;"",DATE(YEAR($D$9),MONTH($D$9)+(colonneA)*12/nombre_versements_an,DAY($D$9)),""),"")</f>
        <v/>
      </c>
      <c r="D96" s="175" t="str">
        <f>IF(Valeurs_saisies,IF(colonneA&lt;&gt;"",H95,""),"")</f>
        <v/>
      </c>
      <c r="E96" s="175" t="str">
        <f t="shared" si="2"/>
        <v/>
      </c>
      <c r="F96" s="175" t="str">
        <f>IF(Valeurs_saisies,IF(colonneA&lt;&gt;"",mensualite-G96,""),"")</f>
        <v/>
      </c>
      <c r="G96" s="175" t="str">
        <f>IF(Valeurs_saisies,IF(colonneA&lt;&gt;"",capital_restant_du*(taux_interet_annueld/nombre_versements_an),""),"")</f>
        <v/>
      </c>
      <c r="H96" s="175" t="str">
        <f>IF(Valeurs_saisies,IF(colonneA&lt;&gt;"",D96-F96,""),"")</f>
        <v/>
      </c>
      <c r="L96" s="172">
        <f t="shared" si="3"/>
        <v>7</v>
      </c>
    </row>
    <row r="97" spans="2:12" s="169" customFormat="1" ht="14.25" customHeight="1">
      <c r="B97" s="173" t="str">
        <f>IF(Valeurs_saisies,IF(duree_du_pret&gt;L97,B96+1,""),"")</f>
        <v/>
      </c>
      <c r="C97" s="174" t="str">
        <f>IF(Valeurs_saisies,IF(colonneA&lt;&gt;"",DATE(YEAR($D$9),MONTH($D$9)+(colonneA)*12/nombre_versements_an,DAY($D$9)),""),"")</f>
        <v/>
      </c>
      <c r="D97" s="175" t="str">
        <f>IF(Valeurs_saisies,IF(colonneA&lt;&gt;"",H96,""),"")</f>
        <v/>
      </c>
      <c r="E97" s="175" t="str">
        <f t="shared" si="2"/>
        <v/>
      </c>
      <c r="F97" s="175" t="str">
        <f>IF(Valeurs_saisies,IF(colonneA&lt;&gt;"",mensualite-G97,""),"")</f>
        <v/>
      </c>
      <c r="G97" s="175" t="str">
        <f>IF(Valeurs_saisies,IF(colonneA&lt;&gt;"",capital_restant_du*(taux_interet_annueld/nombre_versements_an),""),"")</f>
        <v/>
      </c>
      <c r="H97" s="175" t="str">
        <f>IF(Valeurs_saisies,IF(colonneA&lt;&gt;"",D97-F97,""),"")</f>
        <v/>
      </c>
      <c r="L97" s="172">
        <f t="shared" si="3"/>
        <v>7</v>
      </c>
    </row>
    <row r="98" spans="2:12" s="169" customFormat="1" ht="14.25" customHeight="1">
      <c r="B98" s="173" t="str">
        <f>IF(Valeurs_saisies,IF(duree_du_pret&gt;L98,B97+1,""),"")</f>
        <v/>
      </c>
      <c r="C98" s="174" t="str">
        <f>IF(Valeurs_saisies,IF(colonneA&lt;&gt;"",DATE(YEAR($D$9),MONTH($D$9)+(colonneA)*12/nombre_versements_an,DAY($D$9)),""),"")</f>
        <v/>
      </c>
      <c r="D98" s="175" t="str">
        <f>IF(Valeurs_saisies,IF(colonneA&lt;&gt;"",H97,""),"")</f>
        <v/>
      </c>
      <c r="E98" s="175" t="str">
        <f t="shared" si="2"/>
        <v/>
      </c>
      <c r="F98" s="175" t="str">
        <f>IF(Valeurs_saisies,IF(colonneA&lt;&gt;"",mensualite-G98,""),"")</f>
        <v/>
      </c>
      <c r="G98" s="175" t="str">
        <f>IF(Valeurs_saisies,IF(colonneA&lt;&gt;"",capital_restant_du*(taux_interet_annueld/nombre_versements_an),""),"")</f>
        <v/>
      </c>
      <c r="H98" s="175" t="str">
        <f>IF(Valeurs_saisies,IF(colonneA&lt;&gt;"",D98-F98,""),"")</f>
        <v/>
      </c>
      <c r="L98" s="172">
        <f t="shared" si="3"/>
        <v>7</v>
      </c>
    </row>
    <row r="99" spans="2:12" s="169" customFormat="1" ht="14.25" customHeight="1">
      <c r="B99" s="173" t="str">
        <f>IF(Valeurs_saisies,IF(duree_du_pret&gt;L99,B98+1,""),"")</f>
        <v/>
      </c>
      <c r="C99" s="174" t="str">
        <f>IF(Valeurs_saisies,IF(colonneA&lt;&gt;"",DATE(YEAR($D$9),MONTH($D$9)+(colonneA)*12/nombre_versements_an,DAY($D$9)),""),"")</f>
        <v/>
      </c>
      <c r="D99" s="175" t="str">
        <f>IF(Valeurs_saisies,IF(colonneA&lt;&gt;"",H98,""),"")</f>
        <v/>
      </c>
      <c r="E99" s="175" t="str">
        <f t="shared" si="2"/>
        <v/>
      </c>
      <c r="F99" s="175" t="str">
        <f>IF(Valeurs_saisies,IF(colonneA&lt;&gt;"",mensualite-G99,""),"")</f>
        <v/>
      </c>
      <c r="G99" s="175" t="str">
        <f>IF(Valeurs_saisies,IF(colonneA&lt;&gt;"",capital_restant_du*(taux_interet_annueld/nombre_versements_an),""),"")</f>
        <v/>
      </c>
      <c r="H99" s="175" t="str">
        <f>IF(Valeurs_saisies,IF(colonneA&lt;&gt;"",D99-F99,""),"")</f>
        <v/>
      </c>
      <c r="L99" s="172">
        <f t="shared" si="3"/>
        <v>7</v>
      </c>
    </row>
    <row r="100" spans="2:12" s="169" customFormat="1" ht="14.25" customHeight="1">
      <c r="B100" s="173" t="str">
        <f>IF(Valeurs_saisies,IF(duree_du_pret&gt;L100,B99+1,""),"")</f>
        <v/>
      </c>
      <c r="C100" s="174" t="str">
        <f>IF(Valeurs_saisies,IF(colonneA&lt;&gt;"",DATE(YEAR($D$9),MONTH($D$9)+(colonneA)*12/nombre_versements_an,DAY($D$9)),""),"")</f>
        <v/>
      </c>
      <c r="D100" s="175" t="str">
        <f>IF(Valeurs_saisies,IF(colonneA&lt;&gt;"",H99,""),"")</f>
        <v/>
      </c>
      <c r="E100" s="175" t="str">
        <f t="shared" si="2"/>
        <v/>
      </c>
      <c r="F100" s="175" t="str">
        <f>IF(Valeurs_saisies,IF(colonneA&lt;&gt;"",mensualite-G100,""),"")</f>
        <v/>
      </c>
      <c r="G100" s="175" t="str">
        <f>IF(Valeurs_saisies,IF(colonneA&lt;&gt;"",capital_restant_du*(taux_interet_annueld/nombre_versements_an),""),"")</f>
        <v/>
      </c>
      <c r="H100" s="175" t="str">
        <f>IF(Valeurs_saisies,IF(colonneA&lt;&gt;"",D100-F100,""),"")</f>
        <v/>
      </c>
      <c r="L100" s="172">
        <f t="shared" si="3"/>
        <v>7</v>
      </c>
    </row>
    <row r="101" spans="2:12" s="169" customFormat="1" ht="14.25" customHeight="1">
      <c r="B101" s="173" t="str">
        <f>IF(Valeurs_saisies,IF(duree_du_pret&gt;L101,B100+1,""),"")</f>
        <v/>
      </c>
      <c r="C101" s="174" t="str">
        <f>IF(Valeurs_saisies,IF(colonneA&lt;&gt;"",DATE(YEAR($D$9),MONTH($D$9)+(colonneA)*12/nombre_versements_an,DAY($D$9)),""),"")</f>
        <v/>
      </c>
      <c r="D101" s="175" t="str">
        <f>IF(Valeurs_saisies,IF(colonneA&lt;&gt;"",H100,""),"")</f>
        <v/>
      </c>
      <c r="E101" s="175" t="str">
        <f t="shared" si="2"/>
        <v/>
      </c>
      <c r="F101" s="175" t="str">
        <f>IF(Valeurs_saisies,IF(colonneA&lt;&gt;"",mensualite-G101,""),"")</f>
        <v/>
      </c>
      <c r="G101" s="175" t="str">
        <f>IF(Valeurs_saisies,IF(colonneA&lt;&gt;"",capital_restant_du*(taux_interet_annueld/nombre_versements_an),""),"")</f>
        <v/>
      </c>
      <c r="H101" s="175" t="str">
        <f>IF(Valeurs_saisies,IF(colonneA&lt;&gt;"",D101-F101,""),"")</f>
        <v/>
      </c>
      <c r="L101" s="172">
        <f t="shared" si="3"/>
        <v>7</v>
      </c>
    </row>
    <row r="102" spans="2:12" s="169" customFormat="1" ht="14.25" customHeight="1">
      <c r="B102" s="173" t="str">
        <f>IF(Valeurs_saisies,IF(duree_du_pret&gt;L102,B101+1,""),"")</f>
        <v/>
      </c>
      <c r="C102" s="174" t="str">
        <f>IF(Valeurs_saisies,IF(colonneA&lt;&gt;"",DATE(YEAR($D$9),MONTH($D$9)+(colonneA)*12/nombre_versements_an,DAY($D$9)),""),"")</f>
        <v/>
      </c>
      <c r="D102" s="175" t="str">
        <f>IF(Valeurs_saisies,IF(colonneA&lt;&gt;"",H101,""),"")</f>
        <v/>
      </c>
      <c r="E102" s="175" t="str">
        <f t="shared" si="2"/>
        <v/>
      </c>
      <c r="F102" s="175" t="str">
        <f>IF(Valeurs_saisies,IF(colonneA&lt;&gt;"",mensualite-G102,""),"")</f>
        <v/>
      </c>
      <c r="G102" s="175" t="str">
        <f>IF(Valeurs_saisies,IF(colonneA&lt;&gt;"",capital_restant_du*(taux_interet_annueld/nombre_versements_an),""),"")</f>
        <v/>
      </c>
      <c r="H102" s="175" t="str">
        <f>IF(Valeurs_saisies,IF(colonneA&lt;&gt;"",D102-F102,""),"")</f>
        <v/>
      </c>
      <c r="L102" s="172">
        <f t="shared" si="3"/>
        <v>7</v>
      </c>
    </row>
    <row r="103" spans="2:12" s="169" customFormat="1" ht="14.25" customHeight="1">
      <c r="B103" s="173" t="str">
        <f>IF(Valeurs_saisies,IF(duree_du_pret&gt;L103,B102+1,""),"")</f>
        <v/>
      </c>
      <c r="C103" s="174" t="str">
        <f>IF(Valeurs_saisies,IF(colonneA&lt;&gt;"",DATE(YEAR($D$9),MONTH($D$9)+(colonneA)*12/nombre_versements_an,DAY($D$9)),""),"")</f>
        <v/>
      </c>
      <c r="D103" s="175" t="str">
        <f>IF(Valeurs_saisies,IF(colonneA&lt;&gt;"",H102,""),"")</f>
        <v/>
      </c>
      <c r="E103" s="175" t="str">
        <f t="shared" si="2"/>
        <v/>
      </c>
      <c r="F103" s="175" t="str">
        <f>IF(Valeurs_saisies,IF(colonneA&lt;&gt;"",mensualite-G103,""),"")</f>
        <v/>
      </c>
      <c r="G103" s="175" t="str">
        <f>IF(Valeurs_saisies,IF(colonneA&lt;&gt;"",capital_restant_du*(taux_interet_annueld/nombre_versements_an),""),"")</f>
        <v/>
      </c>
      <c r="H103" s="175" t="str">
        <f>IF(Valeurs_saisies,IF(colonneA&lt;&gt;"",D103-F103,""),"")</f>
        <v/>
      </c>
      <c r="L103" s="172">
        <f t="shared" si="3"/>
        <v>7</v>
      </c>
    </row>
    <row r="104" spans="2:12" s="169" customFormat="1" ht="14.25" customHeight="1">
      <c r="B104" s="173" t="str">
        <f>IF(Valeurs_saisies,IF(duree_du_pret&gt;L104,B103+1,""),"")</f>
        <v/>
      </c>
      <c r="C104" s="174" t="str">
        <f>IF(Valeurs_saisies,IF(colonneA&lt;&gt;"",DATE(YEAR($D$9),MONTH($D$9)+(colonneA)*12/nombre_versements_an,DAY($D$9)),""),"")</f>
        <v/>
      </c>
      <c r="D104" s="175" t="str">
        <f>IF(Valeurs_saisies,IF(colonneA&lt;&gt;"",H103,""),"")</f>
        <v/>
      </c>
      <c r="E104" s="175" t="str">
        <f t="shared" si="2"/>
        <v/>
      </c>
      <c r="F104" s="175" t="str">
        <f>IF(Valeurs_saisies,IF(colonneA&lt;&gt;"",mensualite-G104,""),"")</f>
        <v/>
      </c>
      <c r="G104" s="175" t="str">
        <f>IF(Valeurs_saisies,IF(colonneA&lt;&gt;"",capital_restant_du*(taux_interet_annueld/nombre_versements_an),""),"")</f>
        <v/>
      </c>
      <c r="H104" s="175" t="str">
        <f>IF(Valeurs_saisies,IF(colonneA&lt;&gt;"",D104-F104,""),"")</f>
        <v/>
      </c>
      <c r="L104" s="172">
        <f t="shared" si="3"/>
        <v>7</v>
      </c>
    </row>
    <row r="105" spans="2:12" s="169" customFormat="1" ht="14.25" customHeight="1">
      <c r="B105" s="173" t="str">
        <f>IF(Valeurs_saisies,IF(duree_du_pret&gt;L105,B104+1,""),"")</f>
        <v/>
      </c>
      <c r="C105" s="174" t="str">
        <f>IF(Valeurs_saisies,IF(colonneA&lt;&gt;"",DATE(YEAR($D$9),MONTH($D$9)+(colonneA)*12/nombre_versements_an,DAY($D$9)),""),"")</f>
        <v/>
      </c>
      <c r="D105" s="175" t="str">
        <f>IF(Valeurs_saisies,IF(colonneA&lt;&gt;"",H104,""),"")</f>
        <v/>
      </c>
      <c r="E105" s="175" t="str">
        <f t="shared" si="2"/>
        <v/>
      </c>
      <c r="F105" s="175" t="str">
        <f>IF(Valeurs_saisies,IF(colonneA&lt;&gt;"",mensualite-G105,""),"")</f>
        <v/>
      </c>
      <c r="G105" s="175" t="str">
        <f>IF(Valeurs_saisies,IF(colonneA&lt;&gt;"",capital_restant_du*(taux_interet_annueld/nombre_versements_an),""),"")</f>
        <v/>
      </c>
      <c r="H105" s="175" t="str">
        <f>IF(Valeurs_saisies,IF(colonneA&lt;&gt;"",D105-F105,""),"")</f>
        <v/>
      </c>
      <c r="L105" s="172">
        <f t="shared" si="3"/>
        <v>7</v>
      </c>
    </row>
    <row r="106" spans="2:12" s="169" customFormat="1" ht="14.25" customHeight="1">
      <c r="B106" s="173" t="str">
        <f>IF(Valeurs_saisies,IF(duree_du_pret&gt;L106,B105+1,""),"")</f>
        <v/>
      </c>
      <c r="C106" s="174" t="str">
        <f>IF(Valeurs_saisies,IF(colonneA&lt;&gt;"",DATE(YEAR($D$9),MONTH($D$9)+(colonneA)*12/nombre_versements_an,DAY($D$9)),""),"")</f>
        <v/>
      </c>
      <c r="D106" s="175" t="str">
        <f>IF(Valeurs_saisies,IF(colonneA&lt;&gt;"",H105,""),"")</f>
        <v/>
      </c>
      <c r="E106" s="175" t="str">
        <f t="shared" si="2"/>
        <v/>
      </c>
      <c r="F106" s="175" t="str">
        <f>IF(Valeurs_saisies,IF(colonneA&lt;&gt;"",mensualite-G106,""),"")</f>
        <v/>
      </c>
      <c r="G106" s="175" t="str">
        <f>IF(Valeurs_saisies,IF(colonneA&lt;&gt;"",capital_restant_du*(taux_interet_annueld/nombre_versements_an),""),"")</f>
        <v/>
      </c>
      <c r="H106" s="175" t="str">
        <f>IF(Valeurs_saisies,IF(colonneA&lt;&gt;"",D106-F106,""),"")</f>
        <v/>
      </c>
      <c r="L106" s="172">
        <f t="shared" si="3"/>
        <v>7</v>
      </c>
    </row>
    <row r="107" spans="2:12" s="169" customFormat="1" ht="14.25" customHeight="1">
      <c r="B107" s="173" t="str">
        <f>IF(Valeurs_saisies,IF(duree_du_pret&gt;L107,B106+1,""),"")</f>
        <v/>
      </c>
      <c r="C107" s="174" t="str">
        <f>IF(Valeurs_saisies,IF(colonneA&lt;&gt;"",DATE(YEAR($D$9),MONTH($D$9)+(colonneA)*12/nombre_versements_an,DAY($D$9)),""),"")</f>
        <v/>
      </c>
      <c r="D107" s="175" t="str">
        <f>IF(Valeurs_saisies,IF(colonneA&lt;&gt;"",H106,""),"")</f>
        <v/>
      </c>
      <c r="E107" s="175" t="str">
        <f t="shared" si="2"/>
        <v/>
      </c>
      <c r="F107" s="175" t="str">
        <f>IF(Valeurs_saisies,IF(colonneA&lt;&gt;"",mensualite-G107,""),"")</f>
        <v/>
      </c>
      <c r="G107" s="175" t="str">
        <f>IF(Valeurs_saisies,IF(colonneA&lt;&gt;"",capital_restant_du*(taux_interet_annueld/nombre_versements_an),""),"")</f>
        <v/>
      </c>
      <c r="H107" s="175" t="str">
        <f>IF(Valeurs_saisies,IF(colonneA&lt;&gt;"",D107-F107,""),"")</f>
        <v/>
      </c>
      <c r="L107" s="172">
        <f t="shared" si="3"/>
        <v>7</v>
      </c>
    </row>
    <row r="108" spans="2:12" s="169" customFormat="1" ht="14.25" customHeight="1">
      <c r="B108" s="173" t="str">
        <f>IF(Valeurs_saisies,IF(duree_du_pret&gt;L108,B107+1,""),"")</f>
        <v/>
      </c>
      <c r="C108" s="174" t="str">
        <f>IF(Valeurs_saisies,IF(colonneA&lt;&gt;"",DATE(YEAR($D$9),MONTH($D$9)+(colonneA)*12/nombre_versements_an,DAY($D$9)),""),"")</f>
        <v/>
      </c>
      <c r="D108" s="175" t="str">
        <f>IF(Valeurs_saisies,IF(colonneA&lt;&gt;"",H107,""),"")</f>
        <v/>
      </c>
      <c r="E108" s="175" t="str">
        <f t="shared" si="2"/>
        <v/>
      </c>
      <c r="F108" s="175" t="str">
        <f>IF(Valeurs_saisies,IF(colonneA&lt;&gt;"",mensualite-G108,""),"")</f>
        <v/>
      </c>
      <c r="G108" s="175" t="str">
        <f>IF(Valeurs_saisies,IF(colonneA&lt;&gt;"",capital_restant_du*(taux_interet_annueld/nombre_versements_an),""),"")</f>
        <v/>
      </c>
      <c r="H108" s="175" t="str">
        <f>IF(Valeurs_saisies,IF(colonneA&lt;&gt;"",D108-F108,""),"")</f>
        <v/>
      </c>
      <c r="L108" s="172">
        <f t="shared" si="3"/>
        <v>8</v>
      </c>
    </row>
    <row r="109" spans="2:12" s="169" customFormat="1" ht="14.25" customHeight="1">
      <c r="B109" s="173" t="str">
        <f>IF(Valeurs_saisies,IF(duree_du_pret&gt;L109,B108+1,""),"")</f>
        <v/>
      </c>
      <c r="C109" s="174" t="str">
        <f>IF(Valeurs_saisies,IF(colonneA&lt;&gt;"",DATE(YEAR($D$9),MONTH($D$9)+(colonneA)*12/nombre_versements_an,DAY($D$9)),""),"")</f>
        <v/>
      </c>
      <c r="D109" s="175" t="str">
        <f>IF(Valeurs_saisies,IF(colonneA&lt;&gt;"",H108,""),"")</f>
        <v/>
      </c>
      <c r="E109" s="175" t="str">
        <f t="shared" si="2"/>
        <v/>
      </c>
      <c r="F109" s="175" t="str">
        <f>IF(Valeurs_saisies,IF(colonneA&lt;&gt;"",mensualite-G109,""),"")</f>
        <v/>
      </c>
      <c r="G109" s="175" t="str">
        <f>IF(Valeurs_saisies,IF(colonneA&lt;&gt;"",capital_restant_du*(taux_interet_annueld/nombre_versements_an),""),"")</f>
        <v/>
      </c>
      <c r="H109" s="175" t="str">
        <f>IF(Valeurs_saisies,IF(colonneA&lt;&gt;"",D109-F109,""),"")</f>
        <v/>
      </c>
      <c r="L109" s="172">
        <f t="shared" si="3"/>
        <v>8</v>
      </c>
    </row>
    <row r="110" spans="2:12" s="169" customFormat="1" ht="14.25" customHeight="1">
      <c r="B110" s="173" t="str">
        <f>IF(Valeurs_saisies,IF(duree_du_pret&gt;L110,B109+1,""),"")</f>
        <v/>
      </c>
      <c r="C110" s="174" t="str">
        <f>IF(Valeurs_saisies,IF(colonneA&lt;&gt;"",DATE(YEAR($D$9),MONTH($D$9)+(colonneA)*12/nombre_versements_an,DAY($D$9)),""),"")</f>
        <v/>
      </c>
      <c r="D110" s="175" t="str">
        <f>IF(Valeurs_saisies,IF(colonneA&lt;&gt;"",H109,""),"")</f>
        <v/>
      </c>
      <c r="E110" s="175" t="str">
        <f t="shared" si="2"/>
        <v/>
      </c>
      <c r="F110" s="175" t="str">
        <f>IF(Valeurs_saisies,IF(colonneA&lt;&gt;"",mensualite-G110,""),"")</f>
        <v/>
      </c>
      <c r="G110" s="175" t="str">
        <f>IF(Valeurs_saisies,IF(colonneA&lt;&gt;"",capital_restant_du*(taux_interet_annueld/nombre_versements_an),""),"")</f>
        <v/>
      </c>
      <c r="H110" s="175" t="str">
        <f>IF(Valeurs_saisies,IF(colonneA&lt;&gt;"",D110-F110,""),"")</f>
        <v/>
      </c>
      <c r="L110" s="172">
        <f t="shared" si="3"/>
        <v>8</v>
      </c>
    </row>
    <row r="111" spans="2:12" s="169" customFormat="1" ht="14.25" customHeight="1">
      <c r="B111" s="173" t="str">
        <f>IF(Valeurs_saisies,IF(duree_du_pret&gt;L111,B110+1,""),"")</f>
        <v/>
      </c>
      <c r="C111" s="174" t="str">
        <f>IF(Valeurs_saisies,IF(colonneA&lt;&gt;"",DATE(YEAR($D$9),MONTH($D$9)+(colonneA)*12/nombre_versements_an,DAY($D$9)),""),"")</f>
        <v/>
      </c>
      <c r="D111" s="175" t="str">
        <f>IF(Valeurs_saisies,IF(colonneA&lt;&gt;"",H110,""),"")</f>
        <v/>
      </c>
      <c r="E111" s="175" t="str">
        <f t="shared" si="2"/>
        <v/>
      </c>
      <c r="F111" s="175" t="str">
        <f>IF(Valeurs_saisies,IF(colonneA&lt;&gt;"",mensualite-G111,""),"")</f>
        <v/>
      </c>
      <c r="G111" s="175" t="str">
        <f>IF(Valeurs_saisies,IF(colonneA&lt;&gt;"",capital_restant_du*(taux_interet_annueld/nombre_versements_an),""),"")</f>
        <v/>
      </c>
      <c r="H111" s="175" t="str">
        <f>IF(Valeurs_saisies,IF(colonneA&lt;&gt;"",D111-F111,""),"")</f>
        <v/>
      </c>
      <c r="L111" s="172">
        <f t="shared" si="3"/>
        <v>8</v>
      </c>
    </row>
    <row r="112" spans="2:12" s="169" customFormat="1" ht="14.25" customHeight="1">
      <c r="B112" s="173" t="str">
        <f>IF(Valeurs_saisies,IF(duree_du_pret&gt;L112,B111+1,""),"")</f>
        <v/>
      </c>
      <c r="C112" s="174" t="str">
        <f>IF(Valeurs_saisies,IF(colonneA&lt;&gt;"",DATE(YEAR($D$9),MONTH($D$9)+(colonneA)*12/nombre_versements_an,DAY($D$9)),""),"")</f>
        <v/>
      </c>
      <c r="D112" s="175" t="str">
        <f>IF(Valeurs_saisies,IF(colonneA&lt;&gt;"",H111,""),"")</f>
        <v/>
      </c>
      <c r="E112" s="175" t="str">
        <f t="shared" si="2"/>
        <v/>
      </c>
      <c r="F112" s="175" t="str">
        <f>IF(Valeurs_saisies,IF(colonneA&lt;&gt;"",mensualite-G112,""),"")</f>
        <v/>
      </c>
      <c r="G112" s="175" t="str">
        <f>IF(Valeurs_saisies,IF(colonneA&lt;&gt;"",capital_restant_du*(taux_interet_annueld/nombre_versements_an),""),"")</f>
        <v/>
      </c>
      <c r="H112" s="175" t="str">
        <f>IF(Valeurs_saisies,IF(colonneA&lt;&gt;"",D112-F112,""),"")</f>
        <v/>
      </c>
      <c r="L112" s="172">
        <f t="shared" si="3"/>
        <v>8</v>
      </c>
    </row>
    <row r="113" spans="2:12" s="169" customFormat="1" ht="14.25" customHeight="1">
      <c r="B113" s="173" t="str">
        <f>IF(Valeurs_saisies,IF(duree_du_pret&gt;L113,B112+1,""),"")</f>
        <v/>
      </c>
      <c r="C113" s="174" t="str">
        <f>IF(Valeurs_saisies,IF(colonneA&lt;&gt;"",DATE(YEAR($D$9),MONTH($D$9)+(colonneA)*12/nombre_versements_an,DAY($D$9)),""),"")</f>
        <v/>
      </c>
      <c r="D113" s="175" t="str">
        <f>IF(Valeurs_saisies,IF(colonneA&lt;&gt;"",H112,""),"")</f>
        <v/>
      </c>
      <c r="E113" s="175" t="str">
        <f t="shared" si="2"/>
        <v/>
      </c>
      <c r="F113" s="175" t="str">
        <f>IF(Valeurs_saisies,IF(colonneA&lt;&gt;"",mensualite-G113,""),"")</f>
        <v/>
      </c>
      <c r="G113" s="175" t="str">
        <f>IF(Valeurs_saisies,IF(colonneA&lt;&gt;"",capital_restant_du*(taux_interet_annueld/nombre_versements_an),""),"")</f>
        <v/>
      </c>
      <c r="H113" s="175" t="str">
        <f>IF(Valeurs_saisies,IF(colonneA&lt;&gt;"",D113-F113,""),"")</f>
        <v/>
      </c>
      <c r="L113" s="172">
        <f t="shared" si="3"/>
        <v>8</v>
      </c>
    </row>
    <row r="114" spans="2:12" s="169" customFormat="1" ht="14.25" customHeight="1">
      <c r="B114" s="173" t="str">
        <f>IF(Valeurs_saisies,IF(duree_du_pret&gt;L114,B113+1,""),"")</f>
        <v/>
      </c>
      <c r="C114" s="174" t="str">
        <f>IF(Valeurs_saisies,IF(colonneA&lt;&gt;"",DATE(YEAR($D$9),MONTH($D$9)+(colonneA)*12/nombre_versements_an,DAY($D$9)),""),"")</f>
        <v/>
      </c>
      <c r="D114" s="175" t="str">
        <f>IF(Valeurs_saisies,IF(colonneA&lt;&gt;"",H113,""),"")</f>
        <v/>
      </c>
      <c r="E114" s="175" t="str">
        <f t="shared" si="2"/>
        <v/>
      </c>
      <c r="F114" s="175" t="str">
        <f>IF(Valeurs_saisies,IF(colonneA&lt;&gt;"",mensualite-G114,""),"")</f>
        <v/>
      </c>
      <c r="G114" s="175" t="str">
        <f>IF(Valeurs_saisies,IF(colonneA&lt;&gt;"",capital_restant_du*(taux_interet_annueld/nombre_versements_an),""),"")</f>
        <v/>
      </c>
      <c r="H114" s="175" t="str">
        <f>IF(Valeurs_saisies,IF(colonneA&lt;&gt;"",D114-F114,""),"")</f>
        <v/>
      </c>
      <c r="L114" s="172">
        <f t="shared" si="3"/>
        <v>8</v>
      </c>
    </row>
    <row r="115" spans="2:12" s="169" customFormat="1" ht="14.25" customHeight="1">
      <c r="B115" s="173" t="str">
        <f>IF(Valeurs_saisies,IF(duree_du_pret&gt;L115,B114+1,""),"")</f>
        <v/>
      </c>
      <c r="C115" s="174" t="str">
        <f>IF(Valeurs_saisies,IF(colonneA&lt;&gt;"",DATE(YEAR($D$9),MONTH($D$9)+(colonneA)*12/nombre_versements_an,DAY($D$9)),""),"")</f>
        <v/>
      </c>
      <c r="D115" s="175" t="str">
        <f>IF(Valeurs_saisies,IF(colonneA&lt;&gt;"",H114,""),"")</f>
        <v/>
      </c>
      <c r="E115" s="175" t="str">
        <f t="shared" si="2"/>
        <v/>
      </c>
      <c r="F115" s="175" t="str">
        <f>IF(Valeurs_saisies,IF(colonneA&lt;&gt;"",mensualite-G115,""),"")</f>
        <v/>
      </c>
      <c r="G115" s="175" t="str">
        <f>IF(Valeurs_saisies,IF(colonneA&lt;&gt;"",capital_restant_du*(taux_interet_annueld/nombre_versements_an),""),"")</f>
        <v/>
      </c>
      <c r="H115" s="175" t="str">
        <f>IF(Valeurs_saisies,IF(colonneA&lt;&gt;"",D115-F115,""),"")</f>
        <v/>
      </c>
      <c r="L115" s="172">
        <f t="shared" si="3"/>
        <v>8</v>
      </c>
    </row>
    <row r="116" spans="2:12" s="169" customFormat="1" ht="14.25" customHeight="1">
      <c r="B116" s="173" t="str">
        <f>IF(Valeurs_saisies,IF(duree_du_pret&gt;L116,B115+1,""),"")</f>
        <v/>
      </c>
      <c r="C116" s="174" t="str">
        <f>IF(Valeurs_saisies,IF(colonneA&lt;&gt;"",DATE(YEAR($D$9),MONTH($D$9)+(colonneA)*12/nombre_versements_an,DAY($D$9)),""),"")</f>
        <v/>
      </c>
      <c r="D116" s="175" t="str">
        <f>IF(Valeurs_saisies,IF(colonneA&lt;&gt;"",H115,""),"")</f>
        <v/>
      </c>
      <c r="E116" s="175" t="str">
        <f t="shared" si="2"/>
        <v/>
      </c>
      <c r="F116" s="175" t="str">
        <f>IF(Valeurs_saisies,IF(colonneA&lt;&gt;"",mensualite-G116,""),"")</f>
        <v/>
      </c>
      <c r="G116" s="175" t="str">
        <f>IF(Valeurs_saisies,IF(colonneA&lt;&gt;"",capital_restant_du*(taux_interet_annueld/nombre_versements_an),""),"")</f>
        <v/>
      </c>
      <c r="H116" s="175" t="str">
        <f>IF(Valeurs_saisies,IF(colonneA&lt;&gt;"",D116-F116,""),"")</f>
        <v/>
      </c>
      <c r="L116" s="172">
        <f t="shared" si="3"/>
        <v>8</v>
      </c>
    </row>
    <row r="117" spans="2:12" s="169" customFormat="1" ht="14.25" customHeight="1">
      <c r="B117" s="173" t="str">
        <f>IF(Valeurs_saisies,IF(duree_du_pret&gt;L117,B116+1,""),"")</f>
        <v/>
      </c>
      <c r="C117" s="174" t="str">
        <f>IF(Valeurs_saisies,IF(colonneA&lt;&gt;"",DATE(YEAR($D$9),MONTH($D$9)+(colonneA)*12/nombre_versements_an,DAY($D$9)),""),"")</f>
        <v/>
      </c>
      <c r="D117" s="175" t="str">
        <f>IF(Valeurs_saisies,IF(colonneA&lt;&gt;"",H116,""),"")</f>
        <v/>
      </c>
      <c r="E117" s="175" t="str">
        <f t="shared" si="2"/>
        <v/>
      </c>
      <c r="F117" s="175" t="str">
        <f>IF(Valeurs_saisies,IF(colonneA&lt;&gt;"",mensualite-G117,""),"")</f>
        <v/>
      </c>
      <c r="G117" s="175" t="str">
        <f>IF(Valeurs_saisies,IF(colonneA&lt;&gt;"",capital_restant_du*(taux_interet_annueld/nombre_versements_an),""),"")</f>
        <v/>
      </c>
      <c r="H117" s="175" t="str">
        <f>IF(Valeurs_saisies,IF(colonneA&lt;&gt;"",D117-F117,""),"")</f>
        <v/>
      </c>
      <c r="L117" s="172">
        <f t="shared" si="3"/>
        <v>8</v>
      </c>
    </row>
    <row r="118" spans="2:12" s="169" customFormat="1" ht="14.25" customHeight="1">
      <c r="B118" s="173" t="str">
        <f>IF(Valeurs_saisies,IF(duree_du_pret&gt;L118,B117+1,""),"")</f>
        <v/>
      </c>
      <c r="C118" s="174" t="str">
        <f>IF(Valeurs_saisies,IF(colonneA&lt;&gt;"",DATE(YEAR($D$9),MONTH($D$9)+(colonneA)*12/nombre_versements_an,DAY($D$9)),""),"")</f>
        <v/>
      </c>
      <c r="D118" s="175" t="str">
        <f>IF(Valeurs_saisies,IF(colonneA&lt;&gt;"",H117,""),"")</f>
        <v/>
      </c>
      <c r="E118" s="175" t="str">
        <f t="shared" si="2"/>
        <v/>
      </c>
      <c r="F118" s="175" t="str">
        <f>IF(Valeurs_saisies,IF(colonneA&lt;&gt;"",mensualite-G118,""),"")</f>
        <v/>
      </c>
      <c r="G118" s="175" t="str">
        <f>IF(Valeurs_saisies,IF(colonneA&lt;&gt;"",capital_restant_du*(taux_interet_annueld/nombre_versements_an),""),"")</f>
        <v/>
      </c>
      <c r="H118" s="175" t="str">
        <f>IF(Valeurs_saisies,IF(colonneA&lt;&gt;"",D118-F118,""),"")</f>
        <v/>
      </c>
      <c r="L118" s="172">
        <f t="shared" si="3"/>
        <v>8</v>
      </c>
    </row>
    <row r="119" spans="2:12" s="169" customFormat="1" ht="14.25" customHeight="1">
      <c r="B119" s="173" t="str">
        <f>IF(Valeurs_saisies,IF(duree_du_pret&gt;L119,B118+1,""),"")</f>
        <v/>
      </c>
      <c r="C119" s="174" t="str">
        <f>IF(Valeurs_saisies,IF(colonneA&lt;&gt;"",DATE(YEAR($D$9),MONTH($D$9)+(colonneA)*12/nombre_versements_an,DAY($D$9)),""),"")</f>
        <v/>
      </c>
      <c r="D119" s="175" t="str">
        <f>IF(Valeurs_saisies,IF(colonneA&lt;&gt;"",H118,""),"")</f>
        <v/>
      </c>
      <c r="E119" s="175" t="str">
        <f t="shared" si="2"/>
        <v/>
      </c>
      <c r="F119" s="175" t="str">
        <f>IF(Valeurs_saisies,IF(colonneA&lt;&gt;"",mensualite-G119,""),"")</f>
        <v/>
      </c>
      <c r="G119" s="175" t="str">
        <f>IF(Valeurs_saisies,IF(colonneA&lt;&gt;"",capital_restant_du*(taux_interet_annueld/nombre_versements_an),""),"")</f>
        <v/>
      </c>
      <c r="H119" s="175" t="str">
        <f>IF(Valeurs_saisies,IF(colonneA&lt;&gt;"",D119-F119,""),"")</f>
        <v/>
      </c>
      <c r="L119" s="172">
        <f t="shared" si="3"/>
        <v>8</v>
      </c>
    </row>
    <row r="120" spans="2:12" s="169" customFormat="1" ht="14.25" customHeight="1">
      <c r="B120" s="173" t="str">
        <f>IF(Valeurs_saisies,IF(duree_du_pret&gt;L120,B119+1,""),"")</f>
        <v/>
      </c>
      <c r="C120" s="174" t="str">
        <f>IF(Valeurs_saisies,IF(colonneA&lt;&gt;"",DATE(YEAR($D$9),MONTH($D$9)+(colonneA)*12/nombre_versements_an,DAY($D$9)),""),"")</f>
        <v/>
      </c>
      <c r="D120" s="175" t="str">
        <f>IF(Valeurs_saisies,IF(colonneA&lt;&gt;"",H119,""),"")</f>
        <v/>
      </c>
      <c r="E120" s="175" t="str">
        <f t="shared" si="2"/>
        <v/>
      </c>
      <c r="F120" s="175" t="str">
        <f>IF(Valeurs_saisies,IF(colonneA&lt;&gt;"",mensualite-G120,""),"")</f>
        <v/>
      </c>
      <c r="G120" s="175" t="str">
        <f>IF(Valeurs_saisies,IF(colonneA&lt;&gt;"",capital_restant_du*(taux_interet_annueld/nombre_versements_an),""),"")</f>
        <v/>
      </c>
      <c r="H120" s="175" t="str">
        <f>IF(Valeurs_saisies,IF(colonneA&lt;&gt;"",D120-F120,""),"")</f>
        <v/>
      </c>
      <c r="L120" s="172">
        <f t="shared" si="3"/>
        <v>9</v>
      </c>
    </row>
    <row r="121" spans="2:12" s="169" customFormat="1" ht="14.25" customHeight="1">
      <c r="B121" s="173" t="str">
        <f>IF(Valeurs_saisies,IF(duree_du_pret&gt;L121,B120+1,""),"")</f>
        <v/>
      </c>
      <c r="C121" s="174" t="str">
        <f>IF(Valeurs_saisies,IF(colonneA&lt;&gt;"",DATE(YEAR($D$9),MONTH($D$9)+(colonneA)*12/nombre_versements_an,DAY($D$9)),""),"")</f>
        <v/>
      </c>
      <c r="D121" s="175" t="str">
        <f>IF(Valeurs_saisies,IF(colonneA&lt;&gt;"",H120,""),"")</f>
        <v/>
      </c>
      <c r="E121" s="175" t="str">
        <f t="shared" si="2"/>
        <v/>
      </c>
      <c r="F121" s="175" t="str">
        <f>IF(Valeurs_saisies,IF(colonneA&lt;&gt;"",mensualite-G121,""),"")</f>
        <v/>
      </c>
      <c r="G121" s="175" t="str">
        <f>IF(Valeurs_saisies,IF(colonneA&lt;&gt;"",capital_restant_du*(taux_interet_annueld/nombre_versements_an),""),"")</f>
        <v/>
      </c>
      <c r="H121" s="175" t="str">
        <f>IF(Valeurs_saisies,IF(colonneA&lt;&gt;"",D121-F121,""),"")</f>
        <v/>
      </c>
      <c r="L121" s="172">
        <f t="shared" si="3"/>
        <v>9</v>
      </c>
    </row>
    <row r="122" spans="2:12" s="169" customFormat="1" ht="14.25" customHeight="1">
      <c r="B122" s="173" t="str">
        <f>IF(Valeurs_saisies,IF(duree_du_pret&gt;L122,B121+1,""),"")</f>
        <v/>
      </c>
      <c r="C122" s="174" t="str">
        <f>IF(Valeurs_saisies,IF(colonneA&lt;&gt;"",DATE(YEAR($D$9),MONTH($D$9)+(colonneA)*12/nombre_versements_an,DAY($D$9)),""),"")</f>
        <v/>
      </c>
      <c r="D122" s="175" t="str">
        <f>IF(Valeurs_saisies,IF(colonneA&lt;&gt;"",H121,""),"")</f>
        <v/>
      </c>
      <c r="E122" s="175" t="str">
        <f t="shared" si="2"/>
        <v/>
      </c>
      <c r="F122" s="175" t="str">
        <f>IF(Valeurs_saisies,IF(colonneA&lt;&gt;"",mensualite-G122,""),"")</f>
        <v/>
      </c>
      <c r="G122" s="175" t="str">
        <f>IF(Valeurs_saisies,IF(colonneA&lt;&gt;"",capital_restant_du*(taux_interet_annueld/nombre_versements_an),""),"")</f>
        <v/>
      </c>
      <c r="H122" s="175" t="str">
        <f>IF(Valeurs_saisies,IF(colonneA&lt;&gt;"",D122-F122,""),"")</f>
        <v/>
      </c>
      <c r="L122" s="172">
        <f t="shared" si="3"/>
        <v>9</v>
      </c>
    </row>
    <row r="123" spans="2:12" s="169" customFormat="1" ht="14.25" customHeight="1">
      <c r="B123" s="173" t="str">
        <f>IF(Valeurs_saisies,IF(duree_du_pret&gt;L123,B122+1,""),"")</f>
        <v/>
      </c>
      <c r="C123" s="174" t="str">
        <f>IF(Valeurs_saisies,IF(colonneA&lt;&gt;"",DATE(YEAR($D$9),MONTH($D$9)+(colonneA)*12/nombre_versements_an,DAY($D$9)),""),"")</f>
        <v/>
      </c>
      <c r="D123" s="175" t="str">
        <f>IF(Valeurs_saisies,IF(colonneA&lt;&gt;"",H122,""),"")</f>
        <v/>
      </c>
      <c r="E123" s="175" t="str">
        <f t="shared" si="2"/>
        <v/>
      </c>
      <c r="F123" s="175" t="str">
        <f>IF(Valeurs_saisies,IF(colonneA&lt;&gt;"",mensualite-G123,""),"")</f>
        <v/>
      </c>
      <c r="G123" s="175" t="str">
        <f>IF(Valeurs_saisies,IF(colonneA&lt;&gt;"",capital_restant_du*(taux_interet_annueld/nombre_versements_an),""),"")</f>
        <v/>
      </c>
      <c r="H123" s="175" t="str">
        <f>IF(Valeurs_saisies,IF(colonneA&lt;&gt;"",D123-F123,""),"")</f>
        <v/>
      </c>
      <c r="L123" s="172">
        <f t="shared" si="3"/>
        <v>9</v>
      </c>
    </row>
    <row r="124" spans="2:12" s="169" customFormat="1" ht="14.25" customHeight="1">
      <c r="B124" s="173" t="str">
        <f>IF(Valeurs_saisies,IF(duree_du_pret&gt;L124,B123+1,""),"")</f>
        <v/>
      </c>
      <c r="C124" s="174" t="str">
        <f>IF(Valeurs_saisies,IF(colonneA&lt;&gt;"",DATE(YEAR($D$9),MONTH($D$9)+(colonneA)*12/nombre_versements_an,DAY($D$9)),""),"")</f>
        <v/>
      </c>
      <c r="D124" s="175" t="str">
        <f>IF(Valeurs_saisies,IF(colonneA&lt;&gt;"",H123,""),"")</f>
        <v/>
      </c>
      <c r="E124" s="175" t="str">
        <f t="shared" si="2"/>
        <v/>
      </c>
      <c r="F124" s="175" t="str">
        <f>IF(Valeurs_saisies,IF(colonneA&lt;&gt;"",mensualite-G124,""),"")</f>
        <v/>
      </c>
      <c r="G124" s="175" t="str">
        <f>IF(Valeurs_saisies,IF(colonneA&lt;&gt;"",capital_restant_du*(taux_interet_annueld/nombre_versements_an),""),"")</f>
        <v/>
      </c>
      <c r="H124" s="175" t="str">
        <f>IF(Valeurs_saisies,IF(colonneA&lt;&gt;"",D124-F124,""),"")</f>
        <v/>
      </c>
      <c r="L124" s="172">
        <f t="shared" si="3"/>
        <v>9</v>
      </c>
    </row>
    <row r="125" spans="2:12" s="169" customFormat="1" ht="14.25" customHeight="1">
      <c r="B125" s="173" t="str">
        <f>IF(Valeurs_saisies,IF(duree_du_pret&gt;L125,B124+1,""),"")</f>
        <v/>
      </c>
      <c r="C125" s="174" t="str">
        <f>IF(Valeurs_saisies,IF(colonneA&lt;&gt;"",DATE(YEAR($D$9),MONTH($D$9)+(colonneA)*12/nombre_versements_an,DAY($D$9)),""),"")</f>
        <v/>
      </c>
      <c r="D125" s="175" t="str">
        <f>IF(Valeurs_saisies,IF(colonneA&lt;&gt;"",H124,""),"")</f>
        <v/>
      </c>
      <c r="E125" s="175" t="str">
        <f t="shared" si="2"/>
        <v/>
      </c>
      <c r="F125" s="175" t="str">
        <f>IF(Valeurs_saisies,IF(colonneA&lt;&gt;"",mensualite-G125,""),"")</f>
        <v/>
      </c>
      <c r="G125" s="175" t="str">
        <f>IF(Valeurs_saisies,IF(colonneA&lt;&gt;"",capital_restant_du*(taux_interet_annueld/nombre_versements_an),""),"")</f>
        <v/>
      </c>
      <c r="H125" s="175" t="str">
        <f>IF(Valeurs_saisies,IF(colonneA&lt;&gt;"",D125-F125,""),"")</f>
        <v/>
      </c>
      <c r="L125" s="172">
        <f t="shared" si="3"/>
        <v>9</v>
      </c>
    </row>
    <row r="126" spans="2:12" s="169" customFormat="1" ht="14.25" customHeight="1">
      <c r="B126" s="173" t="str">
        <f>IF(Valeurs_saisies,IF(duree_du_pret&gt;L126,B125+1,""),"")</f>
        <v/>
      </c>
      <c r="C126" s="174" t="str">
        <f>IF(Valeurs_saisies,IF(colonneA&lt;&gt;"",DATE(YEAR($D$9),MONTH($D$9)+(colonneA)*12/nombre_versements_an,DAY($D$9)),""),"")</f>
        <v/>
      </c>
      <c r="D126" s="175" t="str">
        <f>IF(Valeurs_saisies,IF(colonneA&lt;&gt;"",H125,""),"")</f>
        <v/>
      </c>
      <c r="E126" s="175" t="str">
        <f t="shared" si="2"/>
        <v/>
      </c>
      <c r="F126" s="175" t="str">
        <f>IF(Valeurs_saisies,IF(colonneA&lt;&gt;"",mensualite-G126,""),"")</f>
        <v/>
      </c>
      <c r="G126" s="175" t="str">
        <f>IF(Valeurs_saisies,IF(colonneA&lt;&gt;"",capital_restant_du*(taux_interet_annueld/nombre_versements_an),""),"")</f>
        <v/>
      </c>
      <c r="H126" s="175" t="str">
        <f>IF(Valeurs_saisies,IF(colonneA&lt;&gt;"",D126-F126,""),"")</f>
        <v/>
      </c>
      <c r="L126" s="172">
        <f t="shared" si="3"/>
        <v>9</v>
      </c>
    </row>
    <row r="127" spans="2:12" s="169" customFormat="1" ht="14.25" customHeight="1">
      <c r="B127" s="173" t="str">
        <f>IF(Valeurs_saisies,IF(duree_du_pret&gt;L127,B126+1,""),"")</f>
        <v/>
      </c>
      <c r="C127" s="174" t="str">
        <f>IF(Valeurs_saisies,IF(colonneA&lt;&gt;"",DATE(YEAR($D$9),MONTH($D$9)+(colonneA)*12/nombre_versements_an,DAY($D$9)),""),"")</f>
        <v/>
      </c>
      <c r="D127" s="175" t="str">
        <f>IF(Valeurs_saisies,IF(colonneA&lt;&gt;"",H126,""),"")</f>
        <v/>
      </c>
      <c r="E127" s="175" t="str">
        <f t="shared" si="2"/>
        <v/>
      </c>
      <c r="F127" s="175" t="str">
        <f>IF(Valeurs_saisies,IF(colonneA&lt;&gt;"",mensualite-G127,""),"")</f>
        <v/>
      </c>
      <c r="G127" s="175" t="str">
        <f>IF(Valeurs_saisies,IF(colonneA&lt;&gt;"",capital_restant_du*(taux_interet_annueld/nombre_versements_an),""),"")</f>
        <v/>
      </c>
      <c r="H127" s="175" t="str">
        <f>IF(Valeurs_saisies,IF(colonneA&lt;&gt;"",D127-F127,""),"")</f>
        <v/>
      </c>
      <c r="L127" s="172">
        <f t="shared" si="3"/>
        <v>9</v>
      </c>
    </row>
    <row r="128" spans="2:12" s="169" customFormat="1" ht="14.25" customHeight="1">
      <c r="B128" s="173" t="str">
        <f>IF(Valeurs_saisies,IF(duree_du_pret&gt;L128,B127+1,""),"")</f>
        <v/>
      </c>
      <c r="C128" s="174" t="str">
        <f>IF(Valeurs_saisies,IF(colonneA&lt;&gt;"",DATE(YEAR($D$9),MONTH($D$9)+(colonneA)*12/nombre_versements_an,DAY($D$9)),""),"")</f>
        <v/>
      </c>
      <c r="D128" s="175" t="str">
        <f>IF(Valeurs_saisies,IF(colonneA&lt;&gt;"",H127,""),"")</f>
        <v/>
      </c>
      <c r="E128" s="175" t="str">
        <f t="shared" si="2"/>
        <v/>
      </c>
      <c r="F128" s="175" t="str">
        <f>IF(Valeurs_saisies,IF(colonneA&lt;&gt;"",mensualite-G128,""),"")</f>
        <v/>
      </c>
      <c r="G128" s="175" t="str">
        <f>IF(Valeurs_saisies,IF(colonneA&lt;&gt;"",capital_restant_du*(taux_interet_annueld/nombre_versements_an),""),"")</f>
        <v/>
      </c>
      <c r="H128" s="175" t="str">
        <f>IF(Valeurs_saisies,IF(colonneA&lt;&gt;"",D128-F128,""),"")</f>
        <v/>
      </c>
      <c r="L128" s="172">
        <f t="shared" si="3"/>
        <v>9</v>
      </c>
    </row>
    <row r="129" spans="2:12" s="169" customFormat="1" ht="14.25" customHeight="1">
      <c r="B129" s="173" t="str">
        <f>IF(Valeurs_saisies,IF(duree_du_pret&gt;L129,B128+1,""),"")</f>
        <v/>
      </c>
      <c r="C129" s="174" t="str">
        <f>IF(Valeurs_saisies,IF(colonneA&lt;&gt;"",DATE(YEAR($D$9),MONTH($D$9)+(colonneA)*12/nombre_versements_an,DAY($D$9)),""),"")</f>
        <v/>
      </c>
      <c r="D129" s="175" t="str">
        <f>IF(Valeurs_saisies,IF(colonneA&lt;&gt;"",H128,""),"")</f>
        <v/>
      </c>
      <c r="E129" s="175" t="str">
        <f t="shared" si="2"/>
        <v/>
      </c>
      <c r="F129" s="175" t="str">
        <f>IF(Valeurs_saisies,IF(colonneA&lt;&gt;"",mensualite-G129,""),"")</f>
        <v/>
      </c>
      <c r="G129" s="175" t="str">
        <f>IF(Valeurs_saisies,IF(colonneA&lt;&gt;"",capital_restant_du*(taux_interet_annueld/nombre_versements_an),""),"")</f>
        <v/>
      </c>
      <c r="H129" s="175" t="str">
        <f>IF(Valeurs_saisies,IF(colonneA&lt;&gt;"",D129-F129,""),"")</f>
        <v/>
      </c>
      <c r="L129" s="172">
        <f t="shared" si="3"/>
        <v>9</v>
      </c>
    </row>
    <row r="130" spans="2:12" s="169" customFormat="1" ht="14.25" customHeight="1">
      <c r="B130" s="173" t="str">
        <f>IF(Valeurs_saisies,IF(duree_du_pret&gt;L130,B129+1,""),"")</f>
        <v/>
      </c>
      <c r="C130" s="174" t="str">
        <f>IF(Valeurs_saisies,IF(colonneA&lt;&gt;"",DATE(YEAR($D$9),MONTH($D$9)+(colonneA)*12/nombre_versements_an,DAY($D$9)),""),"")</f>
        <v/>
      </c>
      <c r="D130" s="175" t="str">
        <f>IF(Valeurs_saisies,IF(colonneA&lt;&gt;"",H129,""),"")</f>
        <v/>
      </c>
      <c r="E130" s="175" t="str">
        <f t="shared" si="2"/>
        <v/>
      </c>
      <c r="F130" s="175" t="str">
        <f>IF(Valeurs_saisies,IF(colonneA&lt;&gt;"",mensualite-G130,""),"")</f>
        <v/>
      </c>
      <c r="G130" s="175" t="str">
        <f>IF(Valeurs_saisies,IF(colonneA&lt;&gt;"",capital_restant_du*(taux_interet_annueld/nombre_versements_an),""),"")</f>
        <v/>
      </c>
      <c r="H130" s="175" t="str">
        <f>IF(Valeurs_saisies,IF(colonneA&lt;&gt;"",D130-F130,""),"")</f>
        <v/>
      </c>
      <c r="L130" s="172">
        <f t="shared" si="3"/>
        <v>9</v>
      </c>
    </row>
    <row r="131" spans="2:12" s="169" customFormat="1" ht="14.25" customHeight="1">
      <c r="B131" s="173" t="str">
        <f>IF(Valeurs_saisies,IF(duree_du_pret&gt;L131,B130+1,""),"")</f>
        <v/>
      </c>
      <c r="C131" s="174" t="str">
        <f>IF(Valeurs_saisies,IF(colonneA&lt;&gt;"",DATE(YEAR($D$9),MONTH($D$9)+(colonneA)*12/nombre_versements_an,DAY($D$9)),""),"")</f>
        <v/>
      </c>
      <c r="D131" s="175" t="str">
        <f>IF(Valeurs_saisies,IF(colonneA&lt;&gt;"",H130,""),"")</f>
        <v/>
      </c>
      <c r="E131" s="175" t="str">
        <f t="shared" si="2"/>
        <v/>
      </c>
      <c r="F131" s="175" t="str">
        <f>IF(Valeurs_saisies,IF(colonneA&lt;&gt;"",mensualite-G131,""),"")</f>
        <v/>
      </c>
      <c r="G131" s="175" t="str">
        <f>IF(Valeurs_saisies,IF(colonneA&lt;&gt;"",capital_restant_du*(taux_interet_annueld/nombre_versements_an),""),"")</f>
        <v/>
      </c>
      <c r="H131" s="175" t="str">
        <f>IF(Valeurs_saisies,IF(colonneA&lt;&gt;"",D131-F131,""),"")</f>
        <v/>
      </c>
      <c r="L131" s="172">
        <f t="shared" si="3"/>
        <v>9</v>
      </c>
    </row>
    <row r="132" spans="2:12" s="169" customFormat="1" ht="14.25" customHeight="1">
      <c r="B132" s="173" t="str">
        <f>IF(Valeurs_saisies,IF(duree_du_pret&gt;L132,B131+1,""),"")</f>
        <v/>
      </c>
      <c r="C132" s="174" t="str">
        <f>IF(Valeurs_saisies,IF(colonneA&lt;&gt;"",DATE(YEAR($D$9),MONTH($D$9)+(colonneA)*12/nombre_versements_an,DAY($D$9)),""),"")</f>
        <v/>
      </c>
      <c r="D132" s="175" t="str">
        <f>IF(Valeurs_saisies,IF(colonneA&lt;&gt;"",H131,""),"")</f>
        <v/>
      </c>
      <c r="E132" s="175" t="str">
        <f t="shared" si="2"/>
        <v/>
      </c>
      <c r="F132" s="175" t="str">
        <f>IF(Valeurs_saisies,IF(colonneA&lt;&gt;"",mensualite-G132,""),"")</f>
        <v/>
      </c>
      <c r="G132" s="175" t="str">
        <f>IF(Valeurs_saisies,IF(colonneA&lt;&gt;"",capital_restant_du*(taux_interet_annueld/nombre_versements_an),""),"")</f>
        <v/>
      </c>
      <c r="H132" s="175" t="str">
        <f>IF(Valeurs_saisies,IF(colonneA&lt;&gt;"",D132-F132,""),"")</f>
        <v/>
      </c>
      <c r="L132" s="172">
        <f t="shared" si="3"/>
        <v>10</v>
      </c>
    </row>
    <row r="133" spans="2:12" s="169" customFormat="1" ht="14.25" customHeight="1">
      <c r="B133" s="173" t="str">
        <f>IF(Valeurs_saisies,IF(duree_du_pret&gt;L133,B132+1,""),"")</f>
        <v/>
      </c>
      <c r="C133" s="174" t="str">
        <f>IF(Valeurs_saisies,IF(colonneA&lt;&gt;"",DATE(YEAR($D$9),MONTH($D$9)+(colonneA)*12/nombre_versements_an,DAY($D$9)),""),"")</f>
        <v/>
      </c>
      <c r="D133" s="175" t="str">
        <f>IF(Valeurs_saisies,IF(colonneA&lt;&gt;"",H132,""),"")</f>
        <v/>
      </c>
      <c r="E133" s="175" t="str">
        <f t="shared" si="2"/>
        <v/>
      </c>
      <c r="F133" s="175" t="str">
        <f>IF(Valeurs_saisies,IF(colonneA&lt;&gt;"",mensualite-G133,""),"")</f>
        <v/>
      </c>
      <c r="G133" s="175" t="str">
        <f>IF(Valeurs_saisies,IF(colonneA&lt;&gt;"",capital_restant_du*(taux_interet_annueld/nombre_versements_an),""),"")</f>
        <v/>
      </c>
      <c r="H133" s="175" t="str">
        <f>IF(Valeurs_saisies,IF(colonneA&lt;&gt;"",D133-F133,""),"")</f>
        <v/>
      </c>
      <c r="L133" s="172">
        <f t="shared" si="3"/>
        <v>10</v>
      </c>
    </row>
    <row r="134" spans="2:12" s="169" customFormat="1" ht="14.25" customHeight="1">
      <c r="B134" s="173" t="str">
        <f>IF(Valeurs_saisies,IF(duree_du_pret&gt;L134,B133+1,""),"")</f>
        <v/>
      </c>
      <c r="C134" s="174" t="str">
        <f>IF(Valeurs_saisies,IF(colonneA&lt;&gt;"",DATE(YEAR($D$9),MONTH($D$9)+(colonneA)*12/nombre_versements_an,DAY($D$9)),""),"")</f>
        <v/>
      </c>
      <c r="D134" s="175" t="str">
        <f>IF(Valeurs_saisies,IF(colonneA&lt;&gt;"",H133,""),"")</f>
        <v/>
      </c>
      <c r="E134" s="175" t="str">
        <f t="shared" si="2"/>
        <v/>
      </c>
      <c r="F134" s="175" t="str">
        <f>IF(Valeurs_saisies,IF(colonneA&lt;&gt;"",mensualite-G134,""),"")</f>
        <v/>
      </c>
      <c r="G134" s="175" t="str">
        <f>IF(Valeurs_saisies,IF(colonneA&lt;&gt;"",capital_restant_du*(taux_interet_annueld/nombre_versements_an),""),"")</f>
        <v/>
      </c>
      <c r="H134" s="175" t="str">
        <f>IF(Valeurs_saisies,IF(colonneA&lt;&gt;"",D134-F134,""),"")</f>
        <v/>
      </c>
      <c r="L134" s="172">
        <f t="shared" si="3"/>
        <v>10</v>
      </c>
    </row>
    <row r="135" spans="2:12" s="169" customFormat="1" ht="14.25" customHeight="1">
      <c r="B135" s="173" t="str">
        <f>IF(Valeurs_saisies,IF(duree_du_pret&gt;L135,B134+1,""),"")</f>
        <v/>
      </c>
      <c r="C135" s="174" t="str">
        <f>IF(Valeurs_saisies,IF(colonneA&lt;&gt;"",DATE(YEAR($D$9),MONTH($D$9)+(colonneA)*12/nombre_versements_an,DAY($D$9)),""),"")</f>
        <v/>
      </c>
      <c r="D135" s="175" t="str">
        <f>IF(Valeurs_saisies,IF(colonneA&lt;&gt;"",H134,""),"")</f>
        <v/>
      </c>
      <c r="E135" s="175" t="str">
        <f t="shared" si="2"/>
        <v/>
      </c>
      <c r="F135" s="175" t="str">
        <f>IF(Valeurs_saisies,IF(colonneA&lt;&gt;"",mensualite-G135,""),"")</f>
        <v/>
      </c>
      <c r="G135" s="175" t="str">
        <f>IF(Valeurs_saisies,IF(colonneA&lt;&gt;"",capital_restant_du*(taux_interet_annueld/nombre_versements_an),""),"")</f>
        <v/>
      </c>
      <c r="H135" s="175" t="str">
        <f>IF(Valeurs_saisies,IF(colonneA&lt;&gt;"",D135-F135,""),"")</f>
        <v/>
      </c>
      <c r="L135" s="172">
        <f t="shared" si="3"/>
        <v>10</v>
      </c>
    </row>
    <row r="136" spans="2:12" s="169" customFormat="1" ht="14.25" customHeight="1">
      <c r="B136" s="173" t="str">
        <f>IF(Valeurs_saisies,IF(duree_du_pret&gt;L136,B135+1,""),"")</f>
        <v/>
      </c>
      <c r="C136" s="174" t="str">
        <f>IF(Valeurs_saisies,IF(colonneA&lt;&gt;"",DATE(YEAR($D$9),MONTH($D$9)+(colonneA)*12/nombre_versements_an,DAY($D$9)),""),"")</f>
        <v/>
      </c>
      <c r="D136" s="175" t="str">
        <f>IF(Valeurs_saisies,IF(colonneA&lt;&gt;"",H135,""),"")</f>
        <v/>
      </c>
      <c r="E136" s="175" t="str">
        <f t="shared" si="2"/>
        <v/>
      </c>
      <c r="F136" s="175" t="str">
        <f>IF(Valeurs_saisies,IF(colonneA&lt;&gt;"",mensualite-G136,""),"")</f>
        <v/>
      </c>
      <c r="G136" s="175" t="str">
        <f>IF(Valeurs_saisies,IF(colonneA&lt;&gt;"",capital_restant_du*(taux_interet_annueld/nombre_versements_an),""),"")</f>
        <v/>
      </c>
      <c r="H136" s="175" t="str">
        <f>IF(Valeurs_saisies,IF(colonneA&lt;&gt;"",D136-F136,""),"")</f>
        <v/>
      </c>
      <c r="L136" s="172">
        <f t="shared" si="3"/>
        <v>10</v>
      </c>
    </row>
    <row r="137" spans="2:12" s="169" customFormat="1" ht="14.25" customHeight="1">
      <c r="B137" s="173" t="str">
        <f>IF(Valeurs_saisies,IF(duree_du_pret&gt;L137,B136+1,""),"")</f>
        <v/>
      </c>
      <c r="C137" s="174" t="str">
        <f>IF(Valeurs_saisies,IF(colonneA&lt;&gt;"",DATE(YEAR($D$9),MONTH($D$9)+(colonneA)*12/nombre_versements_an,DAY($D$9)),""),"")</f>
        <v/>
      </c>
      <c r="D137" s="175" t="str">
        <f>IF(Valeurs_saisies,IF(colonneA&lt;&gt;"",H136,""),"")</f>
        <v/>
      </c>
      <c r="E137" s="175" t="str">
        <f t="shared" si="2"/>
        <v/>
      </c>
      <c r="F137" s="175" t="str">
        <f>IF(Valeurs_saisies,IF(colonneA&lt;&gt;"",mensualite-G137,""),"")</f>
        <v/>
      </c>
      <c r="G137" s="175" t="str">
        <f>IF(Valeurs_saisies,IF(colonneA&lt;&gt;"",capital_restant_du*(taux_interet_annueld/nombre_versements_an),""),"")</f>
        <v/>
      </c>
      <c r="H137" s="175" t="str">
        <f>IF(Valeurs_saisies,IF(colonneA&lt;&gt;"",D137-F137,""),"")</f>
        <v/>
      </c>
      <c r="L137" s="172">
        <f t="shared" si="3"/>
        <v>10</v>
      </c>
    </row>
    <row r="138" spans="2:12" s="169" customFormat="1" ht="14.25" customHeight="1">
      <c r="B138" s="173" t="str">
        <f>IF(Valeurs_saisies,IF(duree_du_pret&gt;L138,B137+1,""),"")</f>
        <v/>
      </c>
      <c r="C138" s="174" t="str">
        <f>IF(Valeurs_saisies,IF(colonneA&lt;&gt;"",DATE(YEAR($D$9),MONTH($D$9)+(colonneA)*12/nombre_versements_an,DAY($D$9)),""),"")</f>
        <v/>
      </c>
      <c r="D138" s="175" t="str">
        <f>IF(Valeurs_saisies,IF(colonneA&lt;&gt;"",H137,""),"")</f>
        <v/>
      </c>
      <c r="E138" s="175" t="str">
        <f t="shared" si="2"/>
        <v/>
      </c>
      <c r="F138" s="175" t="str">
        <f>IF(Valeurs_saisies,IF(colonneA&lt;&gt;"",mensualite-G138,""),"")</f>
        <v/>
      </c>
      <c r="G138" s="175" t="str">
        <f>IF(Valeurs_saisies,IF(colonneA&lt;&gt;"",capital_restant_du*(taux_interet_annueld/nombre_versements_an),""),"")</f>
        <v/>
      </c>
      <c r="H138" s="175" t="str">
        <f>IF(Valeurs_saisies,IF(colonneA&lt;&gt;"",D138-F138,""),"")</f>
        <v/>
      </c>
      <c r="L138" s="172">
        <f t="shared" si="3"/>
        <v>10</v>
      </c>
    </row>
    <row r="139" spans="2:12" s="169" customFormat="1" ht="14.25" customHeight="1">
      <c r="B139" s="173" t="str">
        <f>IF(Valeurs_saisies,IF(duree_du_pret&gt;L139,B138+1,""),"")</f>
        <v/>
      </c>
      <c r="C139" s="174" t="str">
        <f>IF(Valeurs_saisies,IF(colonneA&lt;&gt;"",DATE(YEAR($D$9),MONTH($D$9)+(colonneA)*12/nombre_versements_an,DAY($D$9)),""),"")</f>
        <v/>
      </c>
      <c r="D139" s="175" t="str">
        <f>IF(Valeurs_saisies,IF(colonneA&lt;&gt;"",H138,""),"")</f>
        <v/>
      </c>
      <c r="E139" s="175" t="str">
        <f t="shared" si="2"/>
        <v/>
      </c>
      <c r="F139" s="175" t="str">
        <f>IF(Valeurs_saisies,IF(colonneA&lt;&gt;"",mensualite-G139,""),"")</f>
        <v/>
      </c>
      <c r="G139" s="175" t="str">
        <f>IF(Valeurs_saisies,IF(colonneA&lt;&gt;"",capital_restant_du*(taux_interet_annueld/nombre_versements_an),""),"")</f>
        <v/>
      </c>
      <c r="H139" s="175" t="str">
        <f>IF(Valeurs_saisies,IF(colonneA&lt;&gt;"",D139-F139,""),"")</f>
        <v/>
      </c>
      <c r="L139" s="172">
        <f t="shared" si="3"/>
        <v>10</v>
      </c>
    </row>
    <row r="140" spans="2:12" s="169" customFormat="1" ht="14.25" customHeight="1">
      <c r="B140" s="173" t="str">
        <f>IF(Valeurs_saisies,IF(duree_du_pret&gt;L140,B139+1,""),"")</f>
        <v/>
      </c>
      <c r="C140" s="174" t="str">
        <f>IF(Valeurs_saisies,IF(colonneA&lt;&gt;"",DATE(YEAR($D$9),MONTH($D$9)+(colonneA)*12/nombre_versements_an,DAY($D$9)),""),"")</f>
        <v/>
      </c>
      <c r="D140" s="175" t="str">
        <f>IF(Valeurs_saisies,IF(colonneA&lt;&gt;"",H139,""),"")</f>
        <v/>
      </c>
      <c r="E140" s="175" t="str">
        <f t="shared" ref="E140:E203" si="4">IF(colonneA&lt;&gt;"",$H$5,"")</f>
        <v/>
      </c>
      <c r="F140" s="175" t="str">
        <f>IF(Valeurs_saisies,IF(colonneA&lt;&gt;"",mensualite-G140,""),"")</f>
        <v/>
      </c>
      <c r="G140" s="175" t="str">
        <f>IF(Valeurs_saisies,IF(colonneA&lt;&gt;"",capital_restant_du*(taux_interet_annueld/nombre_versements_an),""),"")</f>
        <v/>
      </c>
      <c r="H140" s="175" t="str">
        <f>IF(Valeurs_saisies,IF(colonneA&lt;&gt;"",D140-F140,""),"")</f>
        <v/>
      </c>
      <c r="L140" s="172">
        <f t="shared" si="3"/>
        <v>10</v>
      </c>
    </row>
    <row r="141" spans="2:12" s="169" customFormat="1" ht="14.25" customHeight="1">
      <c r="B141" s="173" t="str">
        <f>IF(Valeurs_saisies,IF(duree_du_pret&gt;L141,B140+1,""),"")</f>
        <v/>
      </c>
      <c r="C141" s="174" t="str">
        <f>IF(Valeurs_saisies,IF(colonneA&lt;&gt;"",DATE(YEAR($D$9),MONTH($D$9)+(colonneA)*12/nombre_versements_an,DAY($D$9)),""),"")</f>
        <v/>
      </c>
      <c r="D141" s="175" t="str">
        <f>IF(Valeurs_saisies,IF(colonneA&lt;&gt;"",H140,""),"")</f>
        <v/>
      </c>
      <c r="E141" s="175" t="str">
        <f t="shared" si="4"/>
        <v/>
      </c>
      <c r="F141" s="175" t="str">
        <f>IF(Valeurs_saisies,IF(colonneA&lt;&gt;"",mensualite-G141,""),"")</f>
        <v/>
      </c>
      <c r="G141" s="175" t="str">
        <f>IF(Valeurs_saisies,IF(colonneA&lt;&gt;"",capital_restant_du*(taux_interet_annueld/nombre_versements_an),""),"")</f>
        <v/>
      </c>
      <c r="H141" s="175" t="str">
        <f>IF(Valeurs_saisies,IF(colonneA&lt;&gt;"",D141-F141,""),"")</f>
        <v/>
      </c>
      <c r="L141" s="172">
        <f t="shared" si="3"/>
        <v>10</v>
      </c>
    </row>
    <row r="142" spans="2:12" s="169" customFormat="1" ht="14.25" customHeight="1">
      <c r="B142" s="173" t="str">
        <f>IF(Valeurs_saisies,IF(duree_du_pret&gt;L142,B141+1,""),"")</f>
        <v/>
      </c>
      <c r="C142" s="174" t="str">
        <f>IF(Valeurs_saisies,IF(colonneA&lt;&gt;"",DATE(YEAR($D$9),MONTH($D$9)+(colonneA)*12/nombre_versements_an,DAY($D$9)),""),"")</f>
        <v/>
      </c>
      <c r="D142" s="175" t="str">
        <f>IF(Valeurs_saisies,IF(colonneA&lt;&gt;"",H141,""),"")</f>
        <v/>
      </c>
      <c r="E142" s="175" t="str">
        <f t="shared" si="4"/>
        <v/>
      </c>
      <c r="F142" s="175" t="str">
        <f>IF(Valeurs_saisies,IF(colonneA&lt;&gt;"",mensualite-G142,""),"")</f>
        <v/>
      </c>
      <c r="G142" s="175" t="str">
        <f>IF(Valeurs_saisies,IF(colonneA&lt;&gt;"",capital_restant_du*(taux_interet_annueld/nombre_versements_an),""),"")</f>
        <v/>
      </c>
      <c r="H142" s="175" t="str">
        <f>IF(Valeurs_saisies,IF(colonneA&lt;&gt;"",D142-F142,""),"")</f>
        <v/>
      </c>
      <c r="L142" s="172">
        <f t="shared" si="3"/>
        <v>10</v>
      </c>
    </row>
    <row r="143" spans="2:12" s="169" customFormat="1" ht="14.25" customHeight="1">
      <c r="B143" s="173" t="str">
        <f>IF(Valeurs_saisies,IF(duree_du_pret&gt;L143,B142+1,""),"")</f>
        <v/>
      </c>
      <c r="C143" s="174" t="str">
        <f>IF(Valeurs_saisies,IF(colonneA&lt;&gt;"",DATE(YEAR($D$9),MONTH($D$9)+(colonneA)*12/nombre_versements_an,DAY($D$9)),""),"")</f>
        <v/>
      </c>
      <c r="D143" s="175" t="str">
        <f>IF(Valeurs_saisies,IF(colonneA&lt;&gt;"",H142,""),"")</f>
        <v/>
      </c>
      <c r="E143" s="175" t="str">
        <f t="shared" si="4"/>
        <v/>
      </c>
      <c r="F143" s="175" t="str">
        <f>IF(Valeurs_saisies,IF(colonneA&lt;&gt;"",mensualite-G143,""),"")</f>
        <v/>
      </c>
      <c r="G143" s="175" t="str">
        <f>IF(Valeurs_saisies,IF(colonneA&lt;&gt;"",capital_restant_du*(taux_interet_annueld/nombre_versements_an),""),"")</f>
        <v/>
      </c>
      <c r="H143" s="175" t="str">
        <f>IF(Valeurs_saisies,IF(colonneA&lt;&gt;"",D143-F143,""),"")</f>
        <v/>
      </c>
      <c r="L143" s="172">
        <f t="shared" si="3"/>
        <v>10</v>
      </c>
    </row>
    <row r="144" spans="2:12" s="169" customFormat="1" ht="14.25" customHeight="1">
      <c r="B144" s="173" t="str">
        <f>IF(Valeurs_saisies,IF(duree_du_pret&gt;L144,B143+1,""),"")</f>
        <v/>
      </c>
      <c r="C144" s="174" t="str">
        <f>IF(Valeurs_saisies,IF(colonneA&lt;&gt;"",DATE(YEAR($D$9),MONTH($D$9)+(colonneA)*12/nombre_versements_an,DAY($D$9)),""),"")</f>
        <v/>
      </c>
      <c r="D144" s="175" t="str">
        <f>IF(Valeurs_saisies,IF(colonneA&lt;&gt;"",H143,""),"")</f>
        <v/>
      </c>
      <c r="E144" s="175" t="str">
        <f t="shared" si="4"/>
        <v/>
      </c>
      <c r="F144" s="175" t="str">
        <f>IF(Valeurs_saisies,IF(colonneA&lt;&gt;"",mensualite-G144,""),"")</f>
        <v/>
      </c>
      <c r="G144" s="175" t="str">
        <f>IF(Valeurs_saisies,IF(colonneA&lt;&gt;"",capital_restant_du*(taux_interet_annueld/nombre_versements_an),""),"")</f>
        <v/>
      </c>
      <c r="H144" s="175" t="str">
        <f>IF(Valeurs_saisies,IF(colonneA&lt;&gt;"",D144-F144,""),"")</f>
        <v/>
      </c>
      <c r="L144" s="172">
        <f t="shared" si="3"/>
        <v>11</v>
      </c>
    </row>
    <row r="145" spans="2:12" s="169" customFormat="1" ht="14.25" customHeight="1">
      <c r="B145" s="173" t="str">
        <f>IF(Valeurs_saisies,IF(duree_du_pret&gt;L145,B144+1,""),"")</f>
        <v/>
      </c>
      <c r="C145" s="174" t="str">
        <f>IF(Valeurs_saisies,IF(colonneA&lt;&gt;"",DATE(YEAR($D$9),MONTH($D$9)+(colonneA)*12/nombre_versements_an,DAY($D$9)),""),"")</f>
        <v/>
      </c>
      <c r="D145" s="175" t="str">
        <f>IF(Valeurs_saisies,IF(colonneA&lt;&gt;"",H144,""),"")</f>
        <v/>
      </c>
      <c r="E145" s="175" t="str">
        <f t="shared" si="4"/>
        <v/>
      </c>
      <c r="F145" s="175" t="str">
        <f>IF(Valeurs_saisies,IF(colonneA&lt;&gt;"",mensualite-G145,""),"")</f>
        <v/>
      </c>
      <c r="G145" s="175" t="str">
        <f>IF(Valeurs_saisies,IF(colonneA&lt;&gt;"",capital_restant_du*(taux_interet_annueld/nombre_versements_an),""),"")</f>
        <v/>
      </c>
      <c r="H145" s="175" t="str">
        <f>IF(Valeurs_saisies,IF(colonneA&lt;&gt;"",D145-F145,""),"")</f>
        <v/>
      </c>
      <c r="L145" s="172">
        <f t="shared" si="3"/>
        <v>11</v>
      </c>
    </row>
    <row r="146" spans="2:12" s="169" customFormat="1" ht="14.25" customHeight="1">
      <c r="B146" s="173" t="str">
        <f>IF(Valeurs_saisies,IF(duree_du_pret&gt;L146,B145+1,""),"")</f>
        <v/>
      </c>
      <c r="C146" s="174" t="str">
        <f>IF(Valeurs_saisies,IF(colonneA&lt;&gt;"",DATE(YEAR($D$9),MONTH($D$9)+(colonneA)*12/nombre_versements_an,DAY($D$9)),""),"")</f>
        <v/>
      </c>
      <c r="D146" s="175" t="str">
        <f>IF(Valeurs_saisies,IF(colonneA&lt;&gt;"",H145,""),"")</f>
        <v/>
      </c>
      <c r="E146" s="175" t="str">
        <f t="shared" si="4"/>
        <v/>
      </c>
      <c r="F146" s="175" t="str">
        <f>IF(Valeurs_saisies,IF(colonneA&lt;&gt;"",mensualite-G146,""),"")</f>
        <v/>
      </c>
      <c r="G146" s="175" t="str">
        <f>IF(Valeurs_saisies,IF(colonneA&lt;&gt;"",capital_restant_du*(taux_interet_annueld/nombre_versements_an),""),"")</f>
        <v/>
      </c>
      <c r="H146" s="175" t="str">
        <f>IF(Valeurs_saisies,IF(colonneA&lt;&gt;"",D146-F146,""),"")</f>
        <v/>
      </c>
      <c r="L146" s="172">
        <f t="shared" si="3"/>
        <v>11</v>
      </c>
    </row>
    <row r="147" spans="2:12" s="169" customFormat="1" ht="14.25" customHeight="1">
      <c r="B147" s="173" t="str">
        <f>IF(Valeurs_saisies,IF(duree_du_pret&gt;L147,B146+1,""),"")</f>
        <v/>
      </c>
      <c r="C147" s="174" t="str">
        <f>IF(Valeurs_saisies,IF(colonneA&lt;&gt;"",DATE(YEAR($D$9),MONTH($D$9)+(colonneA)*12/nombre_versements_an,DAY($D$9)),""),"")</f>
        <v/>
      </c>
      <c r="D147" s="175" t="str">
        <f>IF(Valeurs_saisies,IF(colonneA&lt;&gt;"",H146,""),"")</f>
        <v/>
      </c>
      <c r="E147" s="175" t="str">
        <f t="shared" si="4"/>
        <v/>
      </c>
      <c r="F147" s="175" t="str">
        <f>IF(Valeurs_saisies,IF(colonneA&lt;&gt;"",mensualite-G147,""),"")</f>
        <v/>
      </c>
      <c r="G147" s="175" t="str">
        <f>IF(Valeurs_saisies,IF(colonneA&lt;&gt;"",capital_restant_du*(taux_interet_annueld/nombre_versements_an),""),"")</f>
        <v/>
      </c>
      <c r="H147" s="175" t="str">
        <f>IF(Valeurs_saisies,IF(colonneA&lt;&gt;"",D147-F147,""),"")</f>
        <v/>
      </c>
      <c r="L147" s="172">
        <f t="shared" si="3"/>
        <v>11</v>
      </c>
    </row>
    <row r="148" spans="2:12" s="169" customFormat="1" ht="14.25" customHeight="1">
      <c r="B148" s="173" t="str">
        <f>IF(Valeurs_saisies,IF(duree_du_pret&gt;L148,B147+1,""),"")</f>
        <v/>
      </c>
      <c r="C148" s="174" t="str">
        <f>IF(Valeurs_saisies,IF(colonneA&lt;&gt;"",DATE(YEAR($D$9),MONTH($D$9)+(colonneA)*12/nombre_versements_an,DAY($D$9)),""),"")</f>
        <v/>
      </c>
      <c r="D148" s="175" t="str">
        <f>IF(Valeurs_saisies,IF(colonneA&lt;&gt;"",H147,""),"")</f>
        <v/>
      </c>
      <c r="E148" s="175" t="str">
        <f t="shared" si="4"/>
        <v/>
      </c>
      <c r="F148" s="175" t="str">
        <f>IF(Valeurs_saisies,IF(colonneA&lt;&gt;"",mensualite-G148,""),"")</f>
        <v/>
      </c>
      <c r="G148" s="175" t="str">
        <f>IF(Valeurs_saisies,IF(colonneA&lt;&gt;"",capital_restant_du*(taux_interet_annueld/nombre_versements_an),""),"")</f>
        <v/>
      </c>
      <c r="H148" s="175" t="str">
        <f>IF(Valeurs_saisies,IF(colonneA&lt;&gt;"",D148-F148,""),"")</f>
        <v/>
      </c>
      <c r="L148" s="172">
        <f t="shared" si="3"/>
        <v>11</v>
      </c>
    </row>
    <row r="149" spans="2:12" s="169" customFormat="1" ht="14.25" customHeight="1">
      <c r="B149" s="173" t="str">
        <f>IF(Valeurs_saisies,IF(duree_du_pret&gt;L149,B148+1,""),"")</f>
        <v/>
      </c>
      <c r="C149" s="174" t="str">
        <f>IF(Valeurs_saisies,IF(colonneA&lt;&gt;"",DATE(YEAR($D$9),MONTH($D$9)+(colonneA)*12/nombre_versements_an,DAY($D$9)),""),"")</f>
        <v/>
      </c>
      <c r="D149" s="175" t="str">
        <f>IF(Valeurs_saisies,IF(colonneA&lt;&gt;"",H148,""),"")</f>
        <v/>
      </c>
      <c r="E149" s="175" t="str">
        <f t="shared" si="4"/>
        <v/>
      </c>
      <c r="F149" s="175" t="str">
        <f>IF(Valeurs_saisies,IF(colonneA&lt;&gt;"",mensualite-G149,""),"")</f>
        <v/>
      </c>
      <c r="G149" s="175" t="str">
        <f>IF(Valeurs_saisies,IF(colonneA&lt;&gt;"",capital_restant_du*(taux_interet_annueld/nombre_versements_an),""),"")</f>
        <v/>
      </c>
      <c r="H149" s="175" t="str">
        <f>IF(Valeurs_saisies,IF(colonneA&lt;&gt;"",D149-F149,""),"")</f>
        <v/>
      </c>
      <c r="L149" s="172">
        <f t="shared" si="3"/>
        <v>11</v>
      </c>
    </row>
    <row r="150" spans="2:12" s="169" customFormat="1" ht="14.25" customHeight="1">
      <c r="B150" s="173" t="str">
        <f>IF(Valeurs_saisies,IF(duree_du_pret&gt;L150,B149+1,""),"")</f>
        <v/>
      </c>
      <c r="C150" s="174" t="str">
        <f>IF(Valeurs_saisies,IF(colonneA&lt;&gt;"",DATE(YEAR($D$9),MONTH($D$9)+(colonneA)*12/nombre_versements_an,DAY($D$9)),""),"")</f>
        <v/>
      </c>
      <c r="D150" s="175" t="str">
        <f>IF(Valeurs_saisies,IF(colonneA&lt;&gt;"",H149,""),"")</f>
        <v/>
      </c>
      <c r="E150" s="175" t="str">
        <f t="shared" si="4"/>
        <v/>
      </c>
      <c r="F150" s="175" t="str">
        <f>IF(Valeurs_saisies,IF(colonneA&lt;&gt;"",mensualite-G150,""),"")</f>
        <v/>
      </c>
      <c r="G150" s="175" t="str">
        <f>IF(Valeurs_saisies,IF(colonneA&lt;&gt;"",capital_restant_du*(taux_interet_annueld/nombre_versements_an),""),"")</f>
        <v/>
      </c>
      <c r="H150" s="175" t="str">
        <f>IF(Valeurs_saisies,IF(colonneA&lt;&gt;"",D150-F150,""),"")</f>
        <v/>
      </c>
      <c r="L150" s="172">
        <f t="shared" si="3"/>
        <v>11</v>
      </c>
    </row>
    <row r="151" spans="2:12" s="169" customFormat="1" ht="14.25" customHeight="1">
      <c r="B151" s="173" t="str">
        <f>IF(Valeurs_saisies,IF(duree_du_pret&gt;L151,B150+1,""),"")</f>
        <v/>
      </c>
      <c r="C151" s="174" t="str">
        <f>IF(Valeurs_saisies,IF(colonneA&lt;&gt;"",DATE(YEAR($D$9),MONTH($D$9)+(colonneA)*12/nombre_versements_an,DAY($D$9)),""),"")</f>
        <v/>
      </c>
      <c r="D151" s="175" t="str">
        <f>IF(Valeurs_saisies,IF(colonneA&lt;&gt;"",H150,""),"")</f>
        <v/>
      </c>
      <c r="E151" s="175" t="str">
        <f t="shared" si="4"/>
        <v/>
      </c>
      <c r="F151" s="175" t="str">
        <f>IF(Valeurs_saisies,IF(colonneA&lt;&gt;"",mensualite-G151,""),"")</f>
        <v/>
      </c>
      <c r="G151" s="175" t="str">
        <f>IF(Valeurs_saisies,IF(colonneA&lt;&gt;"",capital_restant_du*(taux_interet_annueld/nombre_versements_an),""),"")</f>
        <v/>
      </c>
      <c r="H151" s="175" t="str">
        <f>IF(Valeurs_saisies,IF(colonneA&lt;&gt;"",D151-F151,""),"")</f>
        <v/>
      </c>
      <c r="L151" s="172">
        <f t="shared" si="3"/>
        <v>11</v>
      </c>
    </row>
    <row r="152" spans="2:12" s="169" customFormat="1" ht="14.25" customHeight="1">
      <c r="B152" s="173" t="str">
        <f>IF(Valeurs_saisies,IF(duree_du_pret&gt;L152,B151+1,""),"")</f>
        <v/>
      </c>
      <c r="C152" s="174" t="str">
        <f>IF(Valeurs_saisies,IF(colonneA&lt;&gt;"",DATE(YEAR($D$9),MONTH($D$9)+(colonneA)*12/nombre_versements_an,DAY($D$9)),""),"")</f>
        <v/>
      </c>
      <c r="D152" s="175" t="str">
        <f>IF(Valeurs_saisies,IF(colonneA&lt;&gt;"",H151,""),"")</f>
        <v/>
      </c>
      <c r="E152" s="175" t="str">
        <f t="shared" si="4"/>
        <v/>
      </c>
      <c r="F152" s="175" t="str">
        <f>IF(Valeurs_saisies,IF(colonneA&lt;&gt;"",mensualite-G152,""),"")</f>
        <v/>
      </c>
      <c r="G152" s="175" t="str">
        <f>IF(Valeurs_saisies,IF(colonneA&lt;&gt;"",capital_restant_du*(taux_interet_annueld/nombre_versements_an),""),"")</f>
        <v/>
      </c>
      <c r="H152" s="175" t="str">
        <f>IF(Valeurs_saisies,IF(colonneA&lt;&gt;"",D152-F152,""),"")</f>
        <v/>
      </c>
      <c r="L152" s="172">
        <f t="shared" si="3"/>
        <v>11</v>
      </c>
    </row>
    <row r="153" spans="2:12" s="169" customFormat="1" ht="14.25" customHeight="1">
      <c r="B153" s="173" t="str">
        <f>IF(Valeurs_saisies,IF(duree_du_pret&gt;L153,B152+1,""),"")</f>
        <v/>
      </c>
      <c r="C153" s="174" t="str">
        <f>IF(Valeurs_saisies,IF(colonneA&lt;&gt;"",DATE(YEAR($D$9),MONTH($D$9)+(colonneA)*12/nombre_versements_an,DAY($D$9)),""),"")</f>
        <v/>
      </c>
      <c r="D153" s="175" t="str">
        <f>IF(Valeurs_saisies,IF(colonneA&lt;&gt;"",H152,""),"")</f>
        <v/>
      </c>
      <c r="E153" s="175" t="str">
        <f t="shared" si="4"/>
        <v/>
      </c>
      <c r="F153" s="175" t="str">
        <f>IF(Valeurs_saisies,IF(colonneA&lt;&gt;"",mensualite-G153,""),"")</f>
        <v/>
      </c>
      <c r="G153" s="175" t="str">
        <f>IF(Valeurs_saisies,IF(colonneA&lt;&gt;"",capital_restant_du*(taux_interet_annueld/nombre_versements_an),""),"")</f>
        <v/>
      </c>
      <c r="H153" s="175" t="str">
        <f>IF(Valeurs_saisies,IF(colonneA&lt;&gt;"",D153-F153,""),"")</f>
        <v/>
      </c>
      <c r="L153" s="172">
        <f t="shared" ref="L153:L216" si="5">L141+1</f>
        <v>11</v>
      </c>
    </row>
    <row r="154" spans="2:12" s="169" customFormat="1" ht="14.25" customHeight="1">
      <c r="B154" s="173" t="str">
        <f>IF(Valeurs_saisies,IF(duree_du_pret&gt;L154,B153+1,""),"")</f>
        <v/>
      </c>
      <c r="C154" s="174" t="str">
        <f>IF(Valeurs_saisies,IF(colonneA&lt;&gt;"",DATE(YEAR($D$9),MONTH($D$9)+(colonneA)*12/nombre_versements_an,DAY($D$9)),""),"")</f>
        <v/>
      </c>
      <c r="D154" s="175" t="str">
        <f>IF(Valeurs_saisies,IF(colonneA&lt;&gt;"",H153,""),"")</f>
        <v/>
      </c>
      <c r="E154" s="175" t="str">
        <f t="shared" si="4"/>
        <v/>
      </c>
      <c r="F154" s="175" t="str">
        <f>IF(Valeurs_saisies,IF(colonneA&lt;&gt;"",mensualite-G154,""),"")</f>
        <v/>
      </c>
      <c r="G154" s="175" t="str">
        <f>IF(Valeurs_saisies,IF(colonneA&lt;&gt;"",capital_restant_du*(taux_interet_annueld/nombre_versements_an),""),"")</f>
        <v/>
      </c>
      <c r="H154" s="175" t="str">
        <f>IF(Valeurs_saisies,IF(colonneA&lt;&gt;"",D154-F154,""),"")</f>
        <v/>
      </c>
      <c r="L154" s="172">
        <f t="shared" si="5"/>
        <v>11</v>
      </c>
    </row>
    <row r="155" spans="2:12" s="169" customFormat="1" ht="14.25" customHeight="1">
      <c r="B155" s="173" t="str">
        <f>IF(Valeurs_saisies,IF(duree_du_pret&gt;L155,B154+1,""),"")</f>
        <v/>
      </c>
      <c r="C155" s="174" t="str">
        <f>IF(Valeurs_saisies,IF(colonneA&lt;&gt;"",DATE(YEAR($D$9),MONTH($D$9)+(colonneA)*12/nombre_versements_an,DAY($D$9)),""),"")</f>
        <v/>
      </c>
      <c r="D155" s="175" t="str">
        <f>IF(Valeurs_saisies,IF(colonneA&lt;&gt;"",H154,""),"")</f>
        <v/>
      </c>
      <c r="E155" s="175" t="str">
        <f t="shared" si="4"/>
        <v/>
      </c>
      <c r="F155" s="175" t="str">
        <f>IF(Valeurs_saisies,IF(colonneA&lt;&gt;"",mensualite-G155,""),"")</f>
        <v/>
      </c>
      <c r="G155" s="175" t="str">
        <f>IF(Valeurs_saisies,IF(colonneA&lt;&gt;"",capital_restant_du*(taux_interet_annueld/nombre_versements_an),""),"")</f>
        <v/>
      </c>
      <c r="H155" s="175" t="str">
        <f>IF(Valeurs_saisies,IF(colonneA&lt;&gt;"",D155-F155,""),"")</f>
        <v/>
      </c>
      <c r="L155" s="172">
        <f t="shared" si="5"/>
        <v>11</v>
      </c>
    </row>
    <row r="156" spans="2:12" s="169" customFormat="1" ht="14.25" customHeight="1">
      <c r="B156" s="173" t="str">
        <f>IF(Valeurs_saisies,IF(duree_du_pret&gt;L156,B155+1,""),"")</f>
        <v/>
      </c>
      <c r="C156" s="174" t="str">
        <f>IF(Valeurs_saisies,IF(colonneA&lt;&gt;"",DATE(YEAR($D$9),MONTH($D$9)+(colonneA)*12/nombre_versements_an,DAY($D$9)),""),"")</f>
        <v/>
      </c>
      <c r="D156" s="175" t="str">
        <f>IF(Valeurs_saisies,IF(colonneA&lt;&gt;"",H155,""),"")</f>
        <v/>
      </c>
      <c r="E156" s="175" t="str">
        <f t="shared" si="4"/>
        <v/>
      </c>
      <c r="F156" s="175" t="str">
        <f>IF(Valeurs_saisies,IF(colonneA&lt;&gt;"",mensualite-G156,""),"")</f>
        <v/>
      </c>
      <c r="G156" s="175" t="str">
        <f>IF(Valeurs_saisies,IF(colonneA&lt;&gt;"",capital_restant_du*(taux_interet_annueld/nombre_versements_an),""),"")</f>
        <v/>
      </c>
      <c r="H156" s="175" t="str">
        <f>IF(Valeurs_saisies,IF(colonneA&lt;&gt;"",D156-F156,""),"")</f>
        <v/>
      </c>
      <c r="L156" s="172">
        <f t="shared" si="5"/>
        <v>12</v>
      </c>
    </row>
    <row r="157" spans="2:12" s="169" customFormat="1" ht="14.25" customHeight="1">
      <c r="B157" s="173" t="str">
        <f>IF(Valeurs_saisies,IF(duree_du_pret&gt;L157,B156+1,""),"")</f>
        <v/>
      </c>
      <c r="C157" s="174" t="str">
        <f>IF(Valeurs_saisies,IF(colonneA&lt;&gt;"",DATE(YEAR($D$9),MONTH($D$9)+(colonneA)*12/nombre_versements_an,DAY($D$9)),""),"")</f>
        <v/>
      </c>
      <c r="D157" s="175" t="str">
        <f>IF(Valeurs_saisies,IF(colonneA&lt;&gt;"",H156,""),"")</f>
        <v/>
      </c>
      <c r="E157" s="175" t="str">
        <f t="shared" si="4"/>
        <v/>
      </c>
      <c r="F157" s="175" t="str">
        <f>IF(Valeurs_saisies,IF(colonneA&lt;&gt;"",mensualite-G157,""),"")</f>
        <v/>
      </c>
      <c r="G157" s="175" t="str">
        <f>IF(Valeurs_saisies,IF(colonneA&lt;&gt;"",capital_restant_du*(taux_interet_annueld/nombre_versements_an),""),"")</f>
        <v/>
      </c>
      <c r="H157" s="175" t="str">
        <f>IF(Valeurs_saisies,IF(colonneA&lt;&gt;"",D157-F157,""),"")</f>
        <v/>
      </c>
      <c r="L157" s="172">
        <f t="shared" si="5"/>
        <v>12</v>
      </c>
    </row>
    <row r="158" spans="2:12" s="169" customFormat="1" ht="14.25" customHeight="1">
      <c r="B158" s="173" t="str">
        <f>IF(Valeurs_saisies,IF(duree_du_pret&gt;L158,B157+1,""),"")</f>
        <v/>
      </c>
      <c r="C158" s="174" t="str">
        <f>IF(Valeurs_saisies,IF(colonneA&lt;&gt;"",DATE(YEAR($D$9),MONTH($D$9)+(colonneA)*12/nombre_versements_an,DAY($D$9)),""),"")</f>
        <v/>
      </c>
      <c r="D158" s="175" t="str">
        <f>IF(Valeurs_saisies,IF(colonneA&lt;&gt;"",H157,""),"")</f>
        <v/>
      </c>
      <c r="E158" s="175" t="str">
        <f t="shared" si="4"/>
        <v/>
      </c>
      <c r="F158" s="175" t="str">
        <f>IF(Valeurs_saisies,IF(colonneA&lt;&gt;"",mensualite-G158,""),"")</f>
        <v/>
      </c>
      <c r="G158" s="175" t="str">
        <f>IF(Valeurs_saisies,IF(colonneA&lt;&gt;"",capital_restant_du*(taux_interet_annueld/nombre_versements_an),""),"")</f>
        <v/>
      </c>
      <c r="H158" s="175" t="str">
        <f>IF(Valeurs_saisies,IF(colonneA&lt;&gt;"",D158-F158,""),"")</f>
        <v/>
      </c>
      <c r="L158" s="172">
        <f t="shared" si="5"/>
        <v>12</v>
      </c>
    </row>
    <row r="159" spans="2:12" s="169" customFormat="1" ht="14.25" customHeight="1">
      <c r="B159" s="173" t="str">
        <f>IF(Valeurs_saisies,IF(duree_du_pret&gt;L159,B158+1,""),"")</f>
        <v/>
      </c>
      <c r="C159" s="174" t="str">
        <f>IF(Valeurs_saisies,IF(colonneA&lt;&gt;"",DATE(YEAR($D$9),MONTH($D$9)+(colonneA)*12/nombre_versements_an,DAY($D$9)),""),"")</f>
        <v/>
      </c>
      <c r="D159" s="175" t="str">
        <f>IF(Valeurs_saisies,IF(colonneA&lt;&gt;"",H158,""),"")</f>
        <v/>
      </c>
      <c r="E159" s="175" t="str">
        <f t="shared" si="4"/>
        <v/>
      </c>
      <c r="F159" s="175" t="str">
        <f>IF(Valeurs_saisies,IF(colonneA&lt;&gt;"",mensualite-G159,""),"")</f>
        <v/>
      </c>
      <c r="G159" s="175" t="str">
        <f>IF(Valeurs_saisies,IF(colonneA&lt;&gt;"",capital_restant_du*(taux_interet_annueld/nombre_versements_an),""),"")</f>
        <v/>
      </c>
      <c r="H159" s="175" t="str">
        <f>IF(Valeurs_saisies,IF(colonneA&lt;&gt;"",D159-F159,""),"")</f>
        <v/>
      </c>
      <c r="L159" s="172">
        <f t="shared" si="5"/>
        <v>12</v>
      </c>
    </row>
    <row r="160" spans="2:12" s="169" customFormat="1" ht="14.25" customHeight="1">
      <c r="B160" s="173" t="str">
        <f>IF(Valeurs_saisies,IF(duree_du_pret&gt;L160,B159+1,""),"")</f>
        <v/>
      </c>
      <c r="C160" s="174" t="str">
        <f>IF(Valeurs_saisies,IF(colonneA&lt;&gt;"",DATE(YEAR($D$9),MONTH($D$9)+(colonneA)*12/nombre_versements_an,DAY($D$9)),""),"")</f>
        <v/>
      </c>
      <c r="D160" s="175" t="str">
        <f>IF(Valeurs_saisies,IF(colonneA&lt;&gt;"",H159,""),"")</f>
        <v/>
      </c>
      <c r="E160" s="175" t="str">
        <f t="shared" si="4"/>
        <v/>
      </c>
      <c r="F160" s="175" t="str">
        <f>IF(Valeurs_saisies,IF(colonneA&lt;&gt;"",mensualite-G160,""),"")</f>
        <v/>
      </c>
      <c r="G160" s="175" t="str">
        <f>IF(Valeurs_saisies,IF(colonneA&lt;&gt;"",capital_restant_du*(taux_interet_annueld/nombre_versements_an),""),"")</f>
        <v/>
      </c>
      <c r="H160" s="175" t="str">
        <f>IF(Valeurs_saisies,IF(colonneA&lt;&gt;"",D160-F160,""),"")</f>
        <v/>
      </c>
      <c r="L160" s="172">
        <f t="shared" si="5"/>
        <v>12</v>
      </c>
    </row>
    <row r="161" spans="2:12" s="169" customFormat="1" ht="14.25" customHeight="1">
      <c r="B161" s="173" t="str">
        <f>IF(Valeurs_saisies,IF(duree_du_pret&gt;L161,B160+1,""),"")</f>
        <v/>
      </c>
      <c r="C161" s="174" t="str">
        <f>IF(Valeurs_saisies,IF(colonneA&lt;&gt;"",DATE(YEAR($D$9),MONTH($D$9)+(colonneA)*12/nombre_versements_an,DAY($D$9)),""),"")</f>
        <v/>
      </c>
      <c r="D161" s="175" t="str">
        <f>IF(Valeurs_saisies,IF(colonneA&lt;&gt;"",H160,""),"")</f>
        <v/>
      </c>
      <c r="E161" s="175" t="str">
        <f t="shared" si="4"/>
        <v/>
      </c>
      <c r="F161" s="175" t="str">
        <f>IF(Valeurs_saisies,IF(colonneA&lt;&gt;"",mensualite-G161,""),"")</f>
        <v/>
      </c>
      <c r="G161" s="175" t="str">
        <f>IF(Valeurs_saisies,IF(colonneA&lt;&gt;"",capital_restant_du*(taux_interet_annueld/nombre_versements_an),""),"")</f>
        <v/>
      </c>
      <c r="H161" s="175" t="str">
        <f>IF(Valeurs_saisies,IF(colonneA&lt;&gt;"",D161-F161,""),"")</f>
        <v/>
      </c>
      <c r="L161" s="172">
        <f t="shared" si="5"/>
        <v>12</v>
      </c>
    </row>
    <row r="162" spans="2:12" s="169" customFormat="1" ht="14.25" customHeight="1">
      <c r="B162" s="173" t="str">
        <f>IF(Valeurs_saisies,IF(duree_du_pret&gt;L162,B161+1,""),"")</f>
        <v/>
      </c>
      <c r="C162" s="174" t="str">
        <f>IF(Valeurs_saisies,IF(colonneA&lt;&gt;"",DATE(YEAR($D$9),MONTH($D$9)+(colonneA)*12/nombre_versements_an,DAY($D$9)),""),"")</f>
        <v/>
      </c>
      <c r="D162" s="175" t="str">
        <f>IF(Valeurs_saisies,IF(colonneA&lt;&gt;"",H161,""),"")</f>
        <v/>
      </c>
      <c r="E162" s="175" t="str">
        <f t="shared" si="4"/>
        <v/>
      </c>
      <c r="F162" s="175" t="str">
        <f>IF(Valeurs_saisies,IF(colonneA&lt;&gt;"",mensualite-G162,""),"")</f>
        <v/>
      </c>
      <c r="G162" s="175" t="str">
        <f>IF(Valeurs_saisies,IF(colonneA&lt;&gt;"",capital_restant_du*(taux_interet_annueld/nombre_versements_an),""),"")</f>
        <v/>
      </c>
      <c r="H162" s="175" t="str">
        <f>IF(Valeurs_saisies,IF(colonneA&lt;&gt;"",D162-F162,""),"")</f>
        <v/>
      </c>
      <c r="L162" s="172">
        <f t="shared" si="5"/>
        <v>12</v>
      </c>
    </row>
    <row r="163" spans="2:12" s="169" customFormat="1" ht="14.25" customHeight="1">
      <c r="B163" s="173" t="str">
        <f>IF(Valeurs_saisies,IF(duree_du_pret&gt;L163,B162+1,""),"")</f>
        <v/>
      </c>
      <c r="C163" s="174" t="str">
        <f>IF(Valeurs_saisies,IF(colonneA&lt;&gt;"",DATE(YEAR($D$9),MONTH($D$9)+(colonneA)*12/nombre_versements_an,DAY($D$9)),""),"")</f>
        <v/>
      </c>
      <c r="D163" s="175" t="str">
        <f>IF(Valeurs_saisies,IF(colonneA&lt;&gt;"",H162,""),"")</f>
        <v/>
      </c>
      <c r="E163" s="175" t="str">
        <f t="shared" si="4"/>
        <v/>
      </c>
      <c r="F163" s="175" t="str">
        <f>IF(Valeurs_saisies,IF(colonneA&lt;&gt;"",mensualite-G163,""),"")</f>
        <v/>
      </c>
      <c r="G163" s="175" t="str">
        <f>IF(Valeurs_saisies,IF(colonneA&lt;&gt;"",capital_restant_du*(taux_interet_annueld/nombre_versements_an),""),"")</f>
        <v/>
      </c>
      <c r="H163" s="175" t="str">
        <f>IF(Valeurs_saisies,IF(colonneA&lt;&gt;"",D163-F163,""),"")</f>
        <v/>
      </c>
      <c r="L163" s="172">
        <f t="shared" si="5"/>
        <v>12</v>
      </c>
    </row>
    <row r="164" spans="2:12" s="169" customFormat="1" ht="14.25" customHeight="1">
      <c r="B164" s="173" t="str">
        <f>IF(Valeurs_saisies,IF(duree_du_pret&gt;L164,B163+1,""),"")</f>
        <v/>
      </c>
      <c r="C164" s="174" t="str">
        <f>IF(Valeurs_saisies,IF(colonneA&lt;&gt;"",DATE(YEAR($D$9),MONTH($D$9)+(colonneA)*12/nombre_versements_an,DAY($D$9)),""),"")</f>
        <v/>
      </c>
      <c r="D164" s="175" t="str">
        <f>IF(Valeurs_saisies,IF(colonneA&lt;&gt;"",H163,""),"")</f>
        <v/>
      </c>
      <c r="E164" s="175" t="str">
        <f t="shared" si="4"/>
        <v/>
      </c>
      <c r="F164" s="175" t="str">
        <f>IF(Valeurs_saisies,IF(colonneA&lt;&gt;"",mensualite-G164,""),"")</f>
        <v/>
      </c>
      <c r="G164" s="175" t="str">
        <f>IF(Valeurs_saisies,IF(colonneA&lt;&gt;"",capital_restant_du*(taux_interet_annueld/nombre_versements_an),""),"")</f>
        <v/>
      </c>
      <c r="H164" s="175" t="str">
        <f>IF(Valeurs_saisies,IF(colonneA&lt;&gt;"",D164-F164,""),"")</f>
        <v/>
      </c>
      <c r="L164" s="172">
        <f t="shared" si="5"/>
        <v>12</v>
      </c>
    </row>
    <row r="165" spans="2:12" s="169" customFormat="1" ht="14.25" customHeight="1">
      <c r="B165" s="173" t="str">
        <f>IF(Valeurs_saisies,IF(duree_du_pret&gt;L165,B164+1,""),"")</f>
        <v/>
      </c>
      <c r="C165" s="174" t="str">
        <f>IF(Valeurs_saisies,IF(colonneA&lt;&gt;"",DATE(YEAR($D$9),MONTH($D$9)+(colonneA)*12/nombre_versements_an,DAY($D$9)),""),"")</f>
        <v/>
      </c>
      <c r="D165" s="175" t="str">
        <f>IF(Valeurs_saisies,IF(colonneA&lt;&gt;"",H164,""),"")</f>
        <v/>
      </c>
      <c r="E165" s="175" t="str">
        <f t="shared" si="4"/>
        <v/>
      </c>
      <c r="F165" s="175" t="str">
        <f>IF(Valeurs_saisies,IF(colonneA&lt;&gt;"",mensualite-G165,""),"")</f>
        <v/>
      </c>
      <c r="G165" s="175" t="str">
        <f>IF(Valeurs_saisies,IF(colonneA&lt;&gt;"",capital_restant_du*(taux_interet_annueld/nombre_versements_an),""),"")</f>
        <v/>
      </c>
      <c r="H165" s="175" t="str">
        <f>IF(Valeurs_saisies,IF(colonneA&lt;&gt;"",D165-F165,""),"")</f>
        <v/>
      </c>
      <c r="L165" s="172">
        <f t="shared" si="5"/>
        <v>12</v>
      </c>
    </row>
    <row r="166" spans="2:12" s="169" customFormat="1" ht="14.25" customHeight="1">
      <c r="B166" s="173" t="str">
        <f>IF(Valeurs_saisies,IF(duree_du_pret&gt;L166,B165+1,""),"")</f>
        <v/>
      </c>
      <c r="C166" s="174" t="str">
        <f>IF(Valeurs_saisies,IF(colonneA&lt;&gt;"",DATE(YEAR($D$9),MONTH($D$9)+(colonneA)*12/nombre_versements_an,DAY($D$9)),""),"")</f>
        <v/>
      </c>
      <c r="D166" s="175" t="str">
        <f>IF(Valeurs_saisies,IF(colonneA&lt;&gt;"",H165,""),"")</f>
        <v/>
      </c>
      <c r="E166" s="175" t="str">
        <f t="shared" si="4"/>
        <v/>
      </c>
      <c r="F166" s="175" t="str">
        <f>IF(Valeurs_saisies,IF(colonneA&lt;&gt;"",mensualite-G166,""),"")</f>
        <v/>
      </c>
      <c r="G166" s="175" t="str">
        <f>IF(Valeurs_saisies,IF(colonneA&lt;&gt;"",capital_restant_du*(taux_interet_annueld/nombre_versements_an),""),"")</f>
        <v/>
      </c>
      <c r="H166" s="175" t="str">
        <f>IF(Valeurs_saisies,IF(colonneA&lt;&gt;"",D166-F166,""),"")</f>
        <v/>
      </c>
      <c r="L166" s="172">
        <f t="shared" si="5"/>
        <v>12</v>
      </c>
    </row>
    <row r="167" spans="2:12" s="169" customFormat="1" ht="14.25" customHeight="1">
      <c r="B167" s="173" t="str">
        <f>IF(Valeurs_saisies,IF(duree_du_pret&gt;L167,B166+1,""),"")</f>
        <v/>
      </c>
      <c r="C167" s="174" t="str">
        <f>IF(Valeurs_saisies,IF(colonneA&lt;&gt;"",DATE(YEAR($D$9),MONTH($D$9)+(colonneA)*12/nombre_versements_an,DAY($D$9)),""),"")</f>
        <v/>
      </c>
      <c r="D167" s="175" t="str">
        <f>IF(Valeurs_saisies,IF(colonneA&lt;&gt;"",H166,""),"")</f>
        <v/>
      </c>
      <c r="E167" s="175" t="str">
        <f t="shared" si="4"/>
        <v/>
      </c>
      <c r="F167" s="175" t="str">
        <f>IF(Valeurs_saisies,IF(colonneA&lt;&gt;"",mensualite-G167,""),"")</f>
        <v/>
      </c>
      <c r="G167" s="175" t="str">
        <f>IF(Valeurs_saisies,IF(colonneA&lt;&gt;"",capital_restant_du*(taux_interet_annueld/nombre_versements_an),""),"")</f>
        <v/>
      </c>
      <c r="H167" s="175" t="str">
        <f>IF(Valeurs_saisies,IF(colonneA&lt;&gt;"",D167-F167,""),"")</f>
        <v/>
      </c>
      <c r="L167" s="172">
        <f t="shared" si="5"/>
        <v>12</v>
      </c>
    </row>
    <row r="168" spans="2:12" s="169" customFormat="1" ht="14.25" customHeight="1">
      <c r="B168" s="173" t="str">
        <f>IF(Valeurs_saisies,IF(duree_du_pret&gt;L168,B167+1,""),"")</f>
        <v/>
      </c>
      <c r="C168" s="174" t="str">
        <f>IF(Valeurs_saisies,IF(colonneA&lt;&gt;"",DATE(YEAR($D$9),MONTH($D$9)+(colonneA)*12/nombre_versements_an,DAY($D$9)),""),"")</f>
        <v/>
      </c>
      <c r="D168" s="175" t="str">
        <f>IF(Valeurs_saisies,IF(colonneA&lt;&gt;"",H167,""),"")</f>
        <v/>
      </c>
      <c r="E168" s="175" t="str">
        <f t="shared" si="4"/>
        <v/>
      </c>
      <c r="F168" s="175" t="str">
        <f>IF(Valeurs_saisies,IF(colonneA&lt;&gt;"",mensualite-G168,""),"")</f>
        <v/>
      </c>
      <c r="G168" s="175" t="str">
        <f>IF(Valeurs_saisies,IF(colonneA&lt;&gt;"",capital_restant_du*(taux_interet_annueld/nombre_versements_an),""),"")</f>
        <v/>
      </c>
      <c r="H168" s="175" t="str">
        <f>IF(Valeurs_saisies,IF(colonneA&lt;&gt;"",D168-F168,""),"")</f>
        <v/>
      </c>
      <c r="L168" s="172">
        <f t="shared" si="5"/>
        <v>13</v>
      </c>
    </row>
    <row r="169" spans="2:12" s="169" customFormat="1" ht="14.25" customHeight="1">
      <c r="B169" s="173" t="str">
        <f>IF(Valeurs_saisies,IF(duree_du_pret&gt;L169,B168+1,""),"")</f>
        <v/>
      </c>
      <c r="C169" s="174" t="str">
        <f>IF(Valeurs_saisies,IF(colonneA&lt;&gt;"",DATE(YEAR($D$9),MONTH($D$9)+(colonneA)*12/nombre_versements_an,DAY($D$9)),""),"")</f>
        <v/>
      </c>
      <c r="D169" s="175" t="str">
        <f>IF(Valeurs_saisies,IF(colonneA&lt;&gt;"",H168,""),"")</f>
        <v/>
      </c>
      <c r="E169" s="175" t="str">
        <f t="shared" si="4"/>
        <v/>
      </c>
      <c r="F169" s="175" t="str">
        <f>IF(Valeurs_saisies,IF(colonneA&lt;&gt;"",mensualite-G169,""),"")</f>
        <v/>
      </c>
      <c r="G169" s="175" t="str">
        <f>IF(Valeurs_saisies,IF(colonneA&lt;&gt;"",capital_restant_du*(taux_interet_annueld/nombre_versements_an),""),"")</f>
        <v/>
      </c>
      <c r="H169" s="175" t="str">
        <f>IF(Valeurs_saisies,IF(colonneA&lt;&gt;"",D169-F169,""),"")</f>
        <v/>
      </c>
      <c r="L169" s="172">
        <f t="shared" si="5"/>
        <v>13</v>
      </c>
    </row>
    <row r="170" spans="2:12" s="169" customFormat="1" ht="14.25" customHeight="1">
      <c r="B170" s="173" t="str">
        <f>IF(Valeurs_saisies,IF(duree_du_pret&gt;L170,B169+1,""),"")</f>
        <v/>
      </c>
      <c r="C170" s="174" t="str">
        <f>IF(Valeurs_saisies,IF(colonneA&lt;&gt;"",DATE(YEAR($D$9),MONTH($D$9)+(colonneA)*12/nombre_versements_an,DAY($D$9)),""),"")</f>
        <v/>
      </c>
      <c r="D170" s="175" t="str">
        <f>IF(Valeurs_saisies,IF(colonneA&lt;&gt;"",H169,""),"")</f>
        <v/>
      </c>
      <c r="E170" s="175" t="str">
        <f t="shared" si="4"/>
        <v/>
      </c>
      <c r="F170" s="175" t="str">
        <f>IF(Valeurs_saisies,IF(colonneA&lt;&gt;"",mensualite-G170,""),"")</f>
        <v/>
      </c>
      <c r="G170" s="175" t="str">
        <f>IF(Valeurs_saisies,IF(colonneA&lt;&gt;"",capital_restant_du*(taux_interet_annueld/nombre_versements_an),""),"")</f>
        <v/>
      </c>
      <c r="H170" s="175" t="str">
        <f>IF(Valeurs_saisies,IF(colonneA&lt;&gt;"",D170-F170,""),"")</f>
        <v/>
      </c>
      <c r="L170" s="172">
        <f t="shared" si="5"/>
        <v>13</v>
      </c>
    </row>
    <row r="171" spans="2:12" s="169" customFormat="1" ht="14.25" customHeight="1">
      <c r="B171" s="173" t="str">
        <f>IF(Valeurs_saisies,IF(duree_du_pret&gt;L171,B170+1,""),"")</f>
        <v/>
      </c>
      <c r="C171" s="174" t="str">
        <f>IF(Valeurs_saisies,IF(colonneA&lt;&gt;"",DATE(YEAR($D$9),MONTH($D$9)+(colonneA)*12/nombre_versements_an,DAY($D$9)),""),"")</f>
        <v/>
      </c>
      <c r="D171" s="175" t="str">
        <f>IF(Valeurs_saisies,IF(colonneA&lt;&gt;"",H170,""),"")</f>
        <v/>
      </c>
      <c r="E171" s="175" t="str">
        <f t="shared" si="4"/>
        <v/>
      </c>
      <c r="F171" s="175" t="str">
        <f>IF(Valeurs_saisies,IF(colonneA&lt;&gt;"",mensualite-G171,""),"")</f>
        <v/>
      </c>
      <c r="G171" s="175" t="str">
        <f>IF(Valeurs_saisies,IF(colonneA&lt;&gt;"",capital_restant_du*(taux_interet_annueld/nombre_versements_an),""),"")</f>
        <v/>
      </c>
      <c r="H171" s="175" t="str">
        <f>IF(Valeurs_saisies,IF(colonneA&lt;&gt;"",D171-F171,""),"")</f>
        <v/>
      </c>
      <c r="L171" s="172">
        <f t="shared" si="5"/>
        <v>13</v>
      </c>
    </row>
    <row r="172" spans="2:12" s="169" customFormat="1" ht="14.25" customHeight="1">
      <c r="B172" s="173" t="str">
        <f>IF(Valeurs_saisies,IF(duree_du_pret&gt;L172,B171+1,""),"")</f>
        <v/>
      </c>
      <c r="C172" s="174" t="str">
        <f>IF(Valeurs_saisies,IF(colonneA&lt;&gt;"",DATE(YEAR($D$9),MONTH($D$9)+(colonneA)*12/nombre_versements_an,DAY($D$9)),""),"")</f>
        <v/>
      </c>
      <c r="D172" s="175" t="str">
        <f>IF(Valeurs_saisies,IF(colonneA&lt;&gt;"",H171,""),"")</f>
        <v/>
      </c>
      <c r="E172" s="175" t="str">
        <f t="shared" si="4"/>
        <v/>
      </c>
      <c r="F172" s="175" t="str">
        <f>IF(Valeurs_saisies,IF(colonneA&lt;&gt;"",mensualite-G172,""),"")</f>
        <v/>
      </c>
      <c r="G172" s="175" t="str">
        <f>IF(Valeurs_saisies,IF(colonneA&lt;&gt;"",capital_restant_du*(taux_interet_annueld/nombre_versements_an),""),"")</f>
        <v/>
      </c>
      <c r="H172" s="175" t="str">
        <f>IF(Valeurs_saisies,IF(colonneA&lt;&gt;"",D172-F172,""),"")</f>
        <v/>
      </c>
      <c r="L172" s="172">
        <f t="shared" si="5"/>
        <v>13</v>
      </c>
    </row>
    <row r="173" spans="2:12" s="169" customFormat="1" ht="14.25" customHeight="1">
      <c r="B173" s="173" t="str">
        <f>IF(Valeurs_saisies,IF(duree_du_pret&gt;L173,B172+1,""),"")</f>
        <v/>
      </c>
      <c r="C173" s="174" t="str">
        <f>IF(Valeurs_saisies,IF(colonneA&lt;&gt;"",DATE(YEAR($D$9),MONTH($D$9)+(colonneA)*12/nombre_versements_an,DAY($D$9)),""),"")</f>
        <v/>
      </c>
      <c r="D173" s="175" t="str">
        <f>IF(Valeurs_saisies,IF(colonneA&lt;&gt;"",H172,""),"")</f>
        <v/>
      </c>
      <c r="E173" s="175" t="str">
        <f t="shared" si="4"/>
        <v/>
      </c>
      <c r="F173" s="175" t="str">
        <f>IF(Valeurs_saisies,IF(colonneA&lt;&gt;"",mensualite-G173,""),"")</f>
        <v/>
      </c>
      <c r="G173" s="175" t="str">
        <f>IF(Valeurs_saisies,IF(colonneA&lt;&gt;"",capital_restant_du*(taux_interet_annueld/nombre_versements_an),""),"")</f>
        <v/>
      </c>
      <c r="H173" s="175" t="str">
        <f>IF(Valeurs_saisies,IF(colonneA&lt;&gt;"",D173-F173,""),"")</f>
        <v/>
      </c>
      <c r="L173" s="172">
        <f t="shared" si="5"/>
        <v>13</v>
      </c>
    </row>
    <row r="174" spans="2:12" s="169" customFormat="1" ht="14.25" customHeight="1">
      <c r="B174" s="173" t="str">
        <f>IF(Valeurs_saisies,IF(duree_du_pret&gt;L174,B173+1,""),"")</f>
        <v/>
      </c>
      <c r="C174" s="174" t="str">
        <f>IF(Valeurs_saisies,IF(colonneA&lt;&gt;"",DATE(YEAR($D$9),MONTH($D$9)+(colonneA)*12/nombre_versements_an,DAY($D$9)),""),"")</f>
        <v/>
      </c>
      <c r="D174" s="175" t="str">
        <f>IF(Valeurs_saisies,IF(colonneA&lt;&gt;"",H173,""),"")</f>
        <v/>
      </c>
      <c r="E174" s="175" t="str">
        <f t="shared" si="4"/>
        <v/>
      </c>
      <c r="F174" s="175" t="str">
        <f>IF(Valeurs_saisies,IF(colonneA&lt;&gt;"",mensualite-G174,""),"")</f>
        <v/>
      </c>
      <c r="G174" s="175" t="str">
        <f>IF(Valeurs_saisies,IF(colonneA&lt;&gt;"",capital_restant_du*(taux_interet_annueld/nombre_versements_an),""),"")</f>
        <v/>
      </c>
      <c r="H174" s="175" t="str">
        <f>IF(Valeurs_saisies,IF(colonneA&lt;&gt;"",D174-F174,""),"")</f>
        <v/>
      </c>
      <c r="L174" s="172">
        <f t="shared" si="5"/>
        <v>13</v>
      </c>
    </row>
    <row r="175" spans="2:12" s="169" customFormat="1" ht="14.25" customHeight="1">
      <c r="B175" s="173" t="str">
        <f>IF(Valeurs_saisies,IF(duree_du_pret&gt;L175,B174+1,""),"")</f>
        <v/>
      </c>
      <c r="C175" s="174" t="str">
        <f>IF(Valeurs_saisies,IF(colonneA&lt;&gt;"",DATE(YEAR($D$9),MONTH($D$9)+(colonneA)*12/nombre_versements_an,DAY($D$9)),""),"")</f>
        <v/>
      </c>
      <c r="D175" s="175" t="str">
        <f>IF(Valeurs_saisies,IF(colonneA&lt;&gt;"",H174,""),"")</f>
        <v/>
      </c>
      <c r="E175" s="175" t="str">
        <f t="shared" si="4"/>
        <v/>
      </c>
      <c r="F175" s="175" t="str">
        <f>IF(Valeurs_saisies,IF(colonneA&lt;&gt;"",mensualite-G175,""),"")</f>
        <v/>
      </c>
      <c r="G175" s="175" t="str">
        <f>IF(Valeurs_saisies,IF(colonneA&lt;&gt;"",capital_restant_du*(taux_interet_annueld/nombre_versements_an),""),"")</f>
        <v/>
      </c>
      <c r="H175" s="175" t="str">
        <f>IF(Valeurs_saisies,IF(colonneA&lt;&gt;"",D175-F175,""),"")</f>
        <v/>
      </c>
      <c r="L175" s="172">
        <f t="shared" si="5"/>
        <v>13</v>
      </c>
    </row>
    <row r="176" spans="2:12" s="169" customFormat="1" ht="14.25" customHeight="1">
      <c r="B176" s="173" t="str">
        <f>IF(Valeurs_saisies,IF(duree_du_pret&gt;L176,B175+1,""),"")</f>
        <v/>
      </c>
      <c r="C176" s="174" t="str">
        <f>IF(Valeurs_saisies,IF(colonneA&lt;&gt;"",DATE(YEAR($D$9),MONTH($D$9)+(colonneA)*12/nombre_versements_an,DAY($D$9)),""),"")</f>
        <v/>
      </c>
      <c r="D176" s="175" t="str">
        <f>IF(Valeurs_saisies,IF(colonneA&lt;&gt;"",H175,""),"")</f>
        <v/>
      </c>
      <c r="E176" s="175" t="str">
        <f t="shared" si="4"/>
        <v/>
      </c>
      <c r="F176" s="175" t="str">
        <f>IF(Valeurs_saisies,IF(colonneA&lt;&gt;"",mensualite-G176,""),"")</f>
        <v/>
      </c>
      <c r="G176" s="175" t="str">
        <f>IF(Valeurs_saisies,IF(colonneA&lt;&gt;"",capital_restant_du*(taux_interet_annueld/nombre_versements_an),""),"")</f>
        <v/>
      </c>
      <c r="H176" s="175" t="str">
        <f>IF(Valeurs_saisies,IF(colonneA&lt;&gt;"",D176-F176,""),"")</f>
        <v/>
      </c>
      <c r="L176" s="172">
        <f t="shared" si="5"/>
        <v>13</v>
      </c>
    </row>
    <row r="177" spans="2:12" s="169" customFormat="1" ht="14.25" customHeight="1">
      <c r="B177" s="173" t="str">
        <f>IF(Valeurs_saisies,IF(duree_du_pret&gt;L177,B176+1,""),"")</f>
        <v/>
      </c>
      <c r="C177" s="174" t="str">
        <f>IF(Valeurs_saisies,IF(colonneA&lt;&gt;"",DATE(YEAR($D$9),MONTH($D$9)+(colonneA)*12/nombre_versements_an,DAY($D$9)),""),"")</f>
        <v/>
      </c>
      <c r="D177" s="175" t="str">
        <f>IF(Valeurs_saisies,IF(colonneA&lt;&gt;"",H176,""),"")</f>
        <v/>
      </c>
      <c r="E177" s="175" t="str">
        <f t="shared" si="4"/>
        <v/>
      </c>
      <c r="F177" s="175" t="str">
        <f>IF(Valeurs_saisies,IF(colonneA&lt;&gt;"",mensualite-G177,""),"")</f>
        <v/>
      </c>
      <c r="G177" s="175" t="str">
        <f>IF(Valeurs_saisies,IF(colonneA&lt;&gt;"",capital_restant_du*(taux_interet_annueld/nombre_versements_an),""),"")</f>
        <v/>
      </c>
      <c r="H177" s="175" t="str">
        <f>IF(Valeurs_saisies,IF(colonneA&lt;&gt;"",D177-F177,""),"")</f>
        <v/>
      </c>
      <c r="L177" s="172">
        <f t="shared" si="5"/>
        <v>13</v>
      </c>
    </row>
    <row r="178" spans="2:12" s="169" customFormat="1" ht="14.25" customHeight="1">
      <c r="B178" s="173" t="str">
        <f>IF(Valeurs_saisies,IF(duree_du_pret&gt;L178,B177+1,""),"")</f>
        <v/>
      </c>
      <c r="C178" s="174" t="str">
        <f>IF(Valeurs_saisies,IF(colonneA&lt;&gt;"",DATE(YEAR($D$9),MONTH($D$9)+(colonneA)*12/nombre_versements_an,DAY($D$9)),""),"")</f>
        <v/>
      </c>
      <c r="D178" s="175" t="str">
        <f>IF(Valeurs_saisies,IF(colonneA&lt;&gt;"",H177,""),"")</f>
        <v/>
      </c>
      <c r="E178" s="175" t="str">
        <f t="shared" si="4"/>
        <v/>
      </c>
      <c r="F178" s="175" t="str">
        <f>IF(Valeurs_saisies,IF(colonneA&lt;&gt;"",mensualite-G178,""),"")</f>
        <v/>
      </c>
      <c r="G178" s="175" t="str">
        <f>IF(Valeurs_saisies,IF(colonneA&lt;&gt;"",capital_restant_du*(taux_interet_annueld/nombre_versements_an),""),"")</f>
        <v/>
      </c>
      <c r="H178" s="175" t="str">
        <f>IF(Valeurs_saisies,IF(colonneA&lt;&gt;"",D178-F178,""),"")</f>
        <v/>
      </c>
      <c r="L178" s="172">
        <f t="shared" si="5"/>
        <v>13</v>
      </c>
    </row>
    <row r="179" spans="2:12" s="169" customFormat="1" ht="14.25" customHeight="1">
      <c r="B179" s="173" t="str">
        <f>IF(Valeurs_saisies,IF(duree_du_pret&gt;L179,B178+1,""),"")</f>
        <v/>
      </c>
      <c r="C179" s="174" t="str">
        <f>IF(Valeurs_saisies,IF(colonneA&lt;&gt;"",DATE(YEAR($D$9),MONTH($D$9)+(colonneA)*12/nombre_versements_an,DAY($D$9)),""),"")</f>
        <v/>
      </c>
      <c r="D179" s="175" t="str">
        <f>IF(Valeurs_saisies,IF(colonneA&lt;&gt;"",H178,""),"")</f>
        <v/>
      </c>
      <c r="E179" s="175" t="str">
        <f t="shared" si="4"/>
        <v/>
      </c>
      <c r="F179" s="175" t="str">
        <f>IF(Valeurs_saisies,IF(colonneA&lt;&gt;"",mensualite-G179,""),"")</f>
        <v/>
      </c>
      <c r="G179" s="175" t="str">
        <f>IF(Valeurs_saisies,IF(colonneA&lt;&gt;"",capital_restant_du*(taux_interet_annueld/nombre_versements_an),""),"")</f>
        <v/>
      </c>
      <c r="H179" s="175" t="str">
        <f>IF(Valeurs_saisies,IF(colonneA&lt;&gt;"",D179-F179,""),"")</f>
        <v/>
      </c>
      <c r="L179" s="172">
        <f t="shared" si="5"/>
        <v>13</v>
      </c>
    </row>
    <row r="180" spans="2:12" s="169" customFormat="1" ht="14.25" customHeight="1">
      <c r="B180" s="173" t="str">
        <f>IF(Valeurs_saisies,IF(duree_du_pret&gt;L180,B179+1,""),"")</f>
        <v/>
      </c>
      <c r="C180" s="174" t="str">
        <f>IF(Valeurs_saisies,IF(colonneA&lt;&gt;"",DATE(YEAR($D$9),MONTH($D$9)+(colonneA)*12/nombre_versements_an,DAY($D$9)),""),"")</f>
        <v/>
      </c>
      <c r="D180" s="175" t="str">
        <f>IF(Valeurs_saisies,IF(colonneA&lt;&gt;"",H179,""),"")</f>
        <v/>
      </c>
      <c r="E180" s="175" t="str">
        <f t="shared" si="4"/>
        <v/>
      </c>
      <c r="F180" s="175" t="str">
        <f>IF(Valeurs_saisies,IF(colonneA&lt;&gt;"",mensualite-G180,""),"")</f>
        <v/>
      </c>
      <c r="G180" s="175" t="str">
        <f>IF(Valeurs_saisies,IF(colonneA&lt;&gt;"",capital_restant_du*(taux_interet_annueld/nombre_versements_an),""),"")</f>
        <v/>
      </c>
      <c r="H180" s="175" t="str">
        <f>IF(Valeurs_saisies,IF(colonneA&lt;&gt;"",D180-F180,""),"")</f>
        <v/>
      </c>
      <c r="L180" s="172">
        <f t="shared" si="5"/>
        <v>14</v>
      </c>
    </row>
    <row r="181" spans="2:12" s="169" customFormat="1" ht="14.25" customHeight="1">
      <c r="B181" s="173" t="str">
        <f>IF(Valeurs_saisies,IF(duree_du_pret&gt;L181,B180+1,""),"")</f>
        <v/>
      </c>
      <c r="C181" s="174" t="str">
        <f>IF(Valeurs_saisies,IF(colonneA&lt;&gt;"",DATE(YEAR($D$9),MONTH($D$9)+(colonneA)*12/nombre_versements_an,DAY($D$9)),""),"")</f>
        <v/>
      </c>
      <c r="D181" s="175" t="str">
        <f>IF(Valeurs_saisies,IF(colonneA&lt;&gt;"",H180,""),"")</f>
        <v/>
      </c>
      <c r="E181" s="175" t="str">
        <f t="shared" si="4"/>
        <v/>
      </c>
      <c r="F181" s="175" t="str">
        <f>IF(Valeurs_saisies,IF(colonneA&lt;&gt;"",mensualite-G181,""),"")</f>
        <v/>
      </c>
      <c r="G181" s="175" t="str">
        <f>IF(Valeurs_saisies,IF(colonneA&lt;&gt;"",capital_restant_du*(taux_interet_annueld/nombre_versements_an),""),"")</f>
        <v/>
      </c>
      <c r="H181" s="175" t="str">
        <f>IF(Valeurs_saisies,IF(colonneA&lt;&gt;"",D181-F181,""),"")</f>
        <v/>
      </c>
      <c r="L181" s="172">
        <f t="shared" si="5"/>
        <v>14</v>
      </c>
    </row>
    <row r="182" spans="2:12" s="169" customFormat="1" ht="14.25" customHeight="1">
      <c r="B182" s="173" t="str">
        <f>IF(Valeurs_saisies,IF(duree_du_pret&gt;L182,B181+1,""),"")</f>
        <v/>
      </c>
      <c r="C182" s="174" t="str">
        <f>IF(Valeurs_saisies,IF(colonneA&lt;&gt;"",DATE(YEAR($D$9),MONTH($D$9)+(colonneA)*12/nombre_versements_an,DAY($D$9)),""),"")</f>
        <v/>
      </c>
      <c r="D182" s="175" t="str">
        <f>IF(Valeurs_saisies,IF(colonneA&lt;&gt;"",H181,""),"")</f>
        <v/>
      </c>
      <c r="E182" s="175" t="str">
        <f t="shared" si="4"/>
        <v/>
      </c>
      <c r="F182" s="175" t="str">
        <f>IF(Valeurs_saisies,IF(colonneA&lt;&gt;"",mensualite-G182,""),"")</f>
        <v/>
      </c>
      <c r="G182" s="175" t="str">
        <f>IF(Valeurs_saisies,IF(colonneA&lt;&gt;"",capital_restant_du*(taux_interet_annueld/nombre_versements_an),""),"")</f>
        <v/>
      </c>
      <c r="H182" s="175" t="str">
        <f>IF(Valeurs_saisies,IF(colonneA&lt;&gt;"",D182-F182,""),"")</f>
        <v/>
      </c>
      <c r="L182" s="172">
        <f t="shared" si="5"/>
        <v>14</v>
      </c>
    </row>
    <row r="183" spans="2:12" s="169" customFormat="1" ht="14.25" customHeight="1">
      <c r="B183" s="173" t="str">
        <f>IF(Valeurs_saisies,IF(duree_du_pret&gt;L183,B182+1,""),"")</f>
        <v/>
      </c>
      <c r="C183" s="174" t="str">
        <f>IF(Valeurs_saisies,IF(colonneA&lt;&gt;"",DATE(YEAR($D$9),MONTH($D$9)+(colonneA)*12/nombre_versements_an,DAY($D$9)),""),"")</f>
        <v/>
      </c>
      <c r="D183" s="175" t="str">
        <f>IF(Valeurs_saisies,IF(colonneA&lt;&gt;"",H182,""),"")</f>
        <v/>
      </c>
      <c r="E183" s="175" t="str">
        <f t="shared" si="4"/>
        <v/>
      </c>
      <c r="F183" s="175" t="str">
        <f>IF(Valeurs_saisies,IF(colonneA&lt;&gt;"",mensualite-G183,""),"")</f>
        <v/>
      </c>
      <c r="G183" s="175" t="str">
        <f>IF(Valeurs_saisies,IF(colonneA&lt;&gt;"",capital_restant_du*(taux_interet_annueld/nombre_versements_an),""),"")</f>
        <v/>
      </c>
      <c r="H183" s="175" t="str">
        <f>IF(Valeurs_saisies,IF(colonneA&lt;&gt;"",D183-F183,""),"")</f>
        <v/>
      </c>
      <c r="L183" s="172">
        <f t="shared" si="5"/>
        <v>14</v>
      </c>
    </row>
    <row r="184" spans="2:12" s="169" customFormat="1" ht="14.25" customHeight="1">
      <c r="B184" s="173" t="str">
        <f>IF(Valeurs_saisies,IF(duree_du_pret&gt;L184,B183+1,""),"")</f>
        <v/>
      </c>
      <c r="C184" s="174" t="str">
        <f>IF(Valeurs_saisies,IF(colonneA&lt;&gt;"",DATE(YEAR($D$9),MONTH($D$9)+(colonneA)*12/nombre_versements_an,DAY($D$9)),""),"")</f>
        <v/>
      </c>
      <c r="D184" s="175" t="str">
        <f>IF(Valeurs_saisies,IF(colonneA&lt;&gt;"",H183,""),"")</f>
        <v/>
      </c>
      <c r="E184" s="175" t="str">
        <f t="shared" si="4"/>
        <v/>
      </c>
      <c r="F184" s="175" t="str">
        <f>IF(Valeurs_saisies,IF(colonneA&lt;&gt;"",mensualite-G184,""),"")</f>
        <v/>
      </c>
      <c r="G184" s="175" t="str">
        <f>IF(Valeurs_saisies,IF(colonneA&lt;&gt;"",capital_restant_du*(taux_interet_annueld/nombre_versements_an),""),"")</f>
        <v/>
      </c>
      <c r="H184" s="175" t="str">
        <f>IF(Valeurs_saisies,IF(colonneA&lt;&gt;"",D184-F184,""),"")</f>
        <v/>
      </c>
      <c r="L184" s="172">
        <f t="shared" si="5"/>
        <v>14</v>
      </c>
    </row>
    <row r="185" spans="2:12" s="169" customFormat="1" ht="14.25" customHeight="1">
      <c r="B185" s="173" t="str">
        <f>IF(Valeurs_saisies,IF(duree_du_pret&gt;L185,B184+1,""),"")</f>
        <v/>
      </c>
      <c r="C185" s="174" t="str">
        <f>IF(Valeurs_saisies,IF(colonneA&lt;&gt;"",DATE(YEAR($D$9),MONTH($D$9)+(colonneA)*12/nombre_versements_an,DAY($D$9)),""),"")</f>
        <v/>
      </c>
      <c r="D185" s="175" t="str">
        <f>IF(Valeurs_saisies,IF(colonneA&lt;&gt;"",H184,""),"")</f>
        <v/>
      </c>
      <c r="E185" s="175" t="str">
        <f t="shared" si="4"/>
        <v/>
      </c>
      <c r="F185" s="175" t="str">
        <f>IF(Valeurs_saisies,IF(colonneA&lt;&gt;"",mensualite-G185,""),"")</f>
        <v/>
      </c>
      <c r="G185" s="175" t="str">
        <f>IF(Valeurs_saisies,IF(colonneA&lt;&gt;"",capital_restant_du*(taux_interet_annueld/nombre_versements_an),""),"")</f>
        <v/>
      </c>
      <c r="H185" s="175" t="str">
        <f>IF(Valeurs_saisies,IF(colonneA&lt;&gt;"",D185-F185,""),"")</f>
        <v/>
      </c>
      <c r="L185" s="172">
        <f t="shared" si="5"/>
        <v>14</v>
      </c>
    </row>
    <row r="186" spans="2:12" s="169" customFormat="1" ht="14.25" customHeight="1">
      <c r="B186" s="173" t="str">
        <f>IF(Valeurs_saisies,IF(duree_du_pret&gt;L186,B185+1,""),"")</f>
        <v/>
      </c>
      <c r="C186" s="174" t="str">
        <f>IF(Valeurs_saisies,IF(colonneA&lt;&gt;"",DATE(YEAR($D$9),MONTH($D$9)+(colonneA)*12/nombre_versements_an,DAY($D$9)),""),"")</f>
        <v/>
      </c>
      <c r="D186" s="175" t="str">
        <f>IF(Valeurs_saisies,IF(colonneA&lt;&gt;"",H185,""),"")</f>
        <v/>
      </c>
      <c r="E186" s="175" t="str">
        <f t="shared" si="4"/>
        <v/>
      </c>
      <c r="F186" s="175" t="str">
        <f>IF(Valeurs_saisies,IF(colonneA&lt;&gt;"",mensualite-G186,""),"")</f>
        <v/>
      </c>
      <c r="G186" s="175" t="str">
        <f>IF(Valeurs_saisies,IF(colonneA&lt;&gt;"",capital_restant_du*(taux_interet_annueld/nombre_versements_an),""),"")</f>
        <v/>
      </c>
      <c r="H186" s="175" t="str">
        <f>IF(Valeurs_saisies,IF(colonneA&lt;&gt;"",D186-F186,""),"")</f>
        <v/>
      </c>
      <c r="L186" s="172">
        <f t="shared" si="5"/>
        <v>14</v>
      </c>
    </row>
    <row r="187" spans="2:12" s="169" customFormat="1" ht="14.25" customHeight="1">
      <c r="B187" s="173" t="str">
        <f>IF(Valeurs_saisies,IF(duree_du_pret&gt;L187,B186+1,""),"")</f>
        <v/>
      </c>
      <c r="C187" s="174" t="str">
        <f>IF(Valeurs_saisies,IF(colonneA&lt;&gt;"",DATE(YEAR($D$9),MONTH($D$9)+(colonneA)*12/nombre_versements_an,DAY($D$9)),""),"")</f>
        <v/>
      </c>
      <c r="D187" s="175" t="str">
        <f>IF(Valeurs_saisies,IF(colonneA&lt;&gt;"",H186,""),"")</f>
        <v/>
      </c>
      <c r="E187" s="175" t="str">
        <f t="shared" si="4"/>
        <v/>
      </c>
      <c r="F187" s="175" t="str">
        <f>IF(Valeurs_saisies,IF(colonneA&lt;&gt;"",mensualite-G187,""),"")</f>
        <v/>
      </c>
      <c r="G187" s="175" t="str">
        <f>IF(Valeurs_saisies,IF(colonneA&lt;&gt;"",capital_restant_du*(taux_interet_annueld/nombre_versements_an),""),"")</f>
        <v/>
      </c>
      <c r="H187" s="175" t="str">
        <f>IF(Valeurs_saisies,IF(colonneA&lt;&gt;"",D187-F187,""),"")</f>
        <v/>
      </c>
      <c r="L187" s="172">
        <f t="shared" si="5"/>
        <v>14</v>
      </c>
    </row>
    <row r="188" spans="2:12" s="169" customFormat="1" ht="14.25" customHeight="1">
      <c r="B188" s="173" t="str">
        <f>IF(Valeurs_saisies,IF(duree_du_pret&gt;L188,B187+1,""),"")</f>
        <v/>
      </c>
      <c r="C188" s="174" t="str">
        <f>IF(Valeurs_saisies,IF(colonneA&lt;&gt;"",DATE(YEAR($D$9),MONTH($D$9)+(colonneA)*12/nombre_versements_an,DAY($D$9)),""),"")</f>
        <v/>
      </c>
      <c r="D188" s="175" t="str">
        <f>IF(Valeurs_saisies,IF(colonneA&lt;&gt;"",H187,""),"")</f>
        <v/>
      </c>
      <c r="E188" s="175" t="str">
        <f t="shared" si="4"/>
        <v/>
      </c>
      <c r="F188" s="175" t="str">
        <f>IF(Valeurs_saisies,IF(colonneA&lt;&gt;"",mensualite-G188,""),"")</f>
        <v/>
      </c>
      <c r="G188" s="175" t="str">
        <f>IF(Valeurs_saisies,IF(colonneA&lt;&gt;"",capital_restant_du*(taux_interet_annueld/nombre_versements_an),""),"")</f>
        <v/>
      </c>
      <c r="H188" s="175" t="str">
        <f>IF(Valeurs_saisies,IF(colonneA&lt;&gt;"",D188-F188,""),"")</f>
        <v/>
      </c>
      <c r="L188" s="172">
        <f t="shared" si="5"/>
        <v>14</v>
      </c>
    </row>
    <row r="189" spans="2:12" s="169" customFormat="1" ht="14.25" customHeight="1">
      <c r="B189" s="173" t="str">
        <f>IF(Valeurs_saisies,IF(duree_du_pret&gt;L189,B188+1,""),"")</f>
        <v/>
      </c>
      <c r="C189" s="174" t="str">
        <f>IF(Valeurs_saisies,IF(colonneA&lt;&gt;"",DATE(YEAR($D$9),MONTH($D$9)+(colonneA)*12/nombre_versements_an,DAY($D$9)),""),"")</f>
        <v/>
      </c>
      <c r="D189" s="175" t="str">
        <f>IF(Valeurs_saisies,IF(colonneA&lt;&gt;"",H188,""),"")</f>
        <v/>
      </c>
      <c r="E189" s="175" t="str">
        <f t="shared" si="4"/>
        <v/>
      </c>
      <c r="F189" s="175" t="str">
        <f>IF(Valeurs_saisies,IF(colonneA&lt;&gt;"",mensualite-G189,""),"")</f>
        <v/>
      </c>
      <c r="G189" s="175" t="str">
        <f>IF(Valeurs_saisies,IF(colonneA&lt;&gt;"",capital_restant_du*(taux_interet_annueld/nombre_versements_an),""),"")</f>
        <v/>
      </c>
      <c r="H189" s="175" t="str">
        <f>IF(Valeurs_saisies,IF(colonneA&lt;&gt;"",D189-F189,""),"")</f>
        <v/>
      </c>
      <c r="L189" s="172">
        <f t="shared" si="5"/>
        <v>14</v>
      </c>
    </row>
    <row r="190" spans="2:12" s="169" customFormat="1" ht="14.25" customHeight="1">
      <c r="B190" s="173" t="str">
        <f>IF(Valeurs_saisies,IF(duree_du_pret&gt;L190,B189+1,""),"")</f>
        <v/>
      </c>
      <c r="C190" s="174" t="str">
        <f>IF(Valeurs_saisies,IF(colonneA&lt;&gt;"",DATE(YEAR($D$9),MONTH($D$9)+(colonneA)*12/nombre_versements_an,DAY($D$9)),""),"")</f>
        <v/>
      </c>
      <c r="D190" s="175" t="str">
        <f>IF(Valeurs_saisies,IF(colonneA&lt;&gt;"",H189,""),"")</f>
        <v/>
      </c>
      <c r="E190" s="175" t="str">
        <f t="shared" si="4"/>
        <v/>
      </c>
      <c r="F190" s="175" t="str">
        <f>IF(Valeurs_saisies,IF(colonneA&lt;&gt;"",mensualite-G190,""),"")</f>
        <v/>
      </c>
      <c r="G190" s="175" t="str">
        <f>IF(Valeurs_saisies,IF(colonneA&lt;&gt;"",capital_restant_du*(taux_interet_annueld/nombre_versements_an),""),"")</f>
        <v/>
      </c>
      <c r="H190" s="175" t="str">
        <f>IF(Valeurs_saisies,IF(colonneA&lt;&gt;"",D190-F190,""),"")</f>
        <v/>
      </c>
      <c r="L190" s="172">
        <f t="shared" si="5"/>
        <v>14</v>
      </c>
    </row>
    <row r="191" spans="2:12" s="169" customFormat="1" ht="14.25" customHeight="1">
      <c r="B191" s="173" t="str">
        <f>IF(Valeurs_saisies,IF(duree_du_pret&gt;L191,B190+1,""),"")</f>
        <v/>
      </c>
      <c r="C191" s="174" t="str">
        <f>IF(Valeurs_saisies,IF(colonneA&lt;&gt;"",DATE(YEAR($D$9),MONTH($D$9)+(colonneA)*12/nombre_versements_an,DAY($D$9)),""),"")</f>
        <v/>
      </c>
      <c r="D191" s="175" t="str">
        <f>IF(Valeurs_saisies,IF(colonneA&lt;&gt;"",H190,""),"")</f>
        <v/>
      </c>
      <c r="E191" s="175" t="str">
        <f t="shared" si="4"/>
        <v/>
      </c>
      <c r="F191" s="175" t="str">
        <f>IF(Valeurs_saisies,IF(colonneA&lt;&gt;"",mensualite-G191,""),"")</f>
        <v/>
      </c>
      <c r="G191" s="175" t="str">
        <f>IF(Valeurs_saisies,IF(colonneA&lt;&gt;"",capital_restant_du*(taux_interet_annueld/nombre_versements_an),""),"")</f>
        <v/>
      </c>
      <c r="H191" s="175" t="str">
        <f>IF(Valeurs_saisies,IF(colonneA&lt;&gt;"",D191-F191,""),"")</f>
        <v/>
      </c>
      <c r="L191" s="172">
        <f t="shared" si="5"/>
        <v>14</v>
      </c>
    </row>
    <row r="192" spans="2:12" s="169" customFormat="1" ht="14.25" customHeight="1">
      <c r="B192" s="173" t="str">
        <f>IF(Valeurs_saisies,IF(duree_du_pret&gt;L192,B191+1,""),"")</f>
        <v/>
      </c>
      <c r="C192" s="174" t="str">
        <f>IF(Valeurs_saisies,IF(colonneA&lt;&gt;"",DATE(YEAR($D$9),MONTH($D$9)+(colonneA)*12/nombre_versements_an,DAY($D$9)),""),"")</f>
        <v/>
      </c>
      <c r="D192" s="175" t="str">
        <f>IF(Valeurs_saisies,IF(colonneA&lt;&gt;"",H191,""),"")</f>
        <v/>
      </c>
      <c r="E192" s="175" t="str">
        <f t="shared" si="4"/>
        <v/>
      </c>
      <c r="F192" s="175" t="str">
        <f>IF(Valeurs_saisies,IF(colonneA&lt;&gt;"",mensualite-G192,""),"")</f>
        <v/>
      </c>
      <c r="G192" s="175" t="str">
        <f>IF(Valeurs_saisies,IF(colonneA&lt;&gt;"",capital_restant_du*(taux_interet_annueld/nombre_versements_an),""),"")</f>
        <v/>
      </c>
      <c r="H192" s="175" t="str">
        <f>IF(Valeurs_saisies,IF(colonneA&lt;&gt;"",D192-F192,""),"")</f>
        <v/>
      </c>
      <c r="L192" s="172">
        <f t="shared" si="5"/>
        <v>15</v>
      </c>
    </row>
    <row r="193" spans="2:12" s="169" customFormat="1" ht="14.25" customHeight="1">
      <c r="B193" s="173" t="str">
        <f>IF(Valeurs_saisies,IF(duree_du_pret&gt;L193,B192+1,""),"")</f>
        <v/>
      </c>
      <c r="C193" s="174" t="str">
        <f>IF(Valeurs_saisies,IF(colonneA&lt;&gt;"",DATE(YEAR($D$9),MONTH($D$9)+(colonneA)*12/nombre_versements_an,DAY($D$9)),""),"")</f>
        <v/>
      </c>
      <c r="D193" s="175" t="str">
        <f>IF(Valeurs_saisies,IF(colonneA&lt;&gt;"",H192,""),"")</f>
        <v/>
      </c>
      <c r="E193" s="175" t="str">
        <f t="shared" si="4"/>
        <v/>
      </c>
      <c r="F193" s="175" t="str">
        <f>IF(Valeurs_saisies,IF(colonneA&lt;&gt;"",mensualite-G193,""),"")</f>
        <v/>
      </c>
      <c r="G193" s="175" t="str">
        <f>IF(Valeurs_saisies,IF(colonneA&lt;&gt;"",capital_restant_du*(taux_interet_annueld/nombre_versements_an),""),"")</f>
        <v/>
      </c>
      <c r="H193" s="175" t="str">
        <f>IF(Valeurs_saisies,IF(colonneA&lt;&gt;"",D193-F193,""),"")</f>
        <v/>
      </c>
      <c r="L193" s="172">
        <f t="shared" si="5"/>
        <v>15</v>
      </c>
    </row>
    <row r="194" spans="2:12" s="169" customFormat="1" ht="14.25" customHeight="1">
      <c r="B194" s="173" t="str">
        <f>IF(Valeurs_saisies,IF(duree_du_pret&gt;L194,B193+1,""),"")</f>
        <v/>
      </c>
      <c r="C194" s="174" t="str">
        <f>IF(Valeurs_saisies,IF(colonneA&lt;&gt;"",DATE(YEAR($D$9),MONTH($D$9)+(colonneA)*12/nombre_versements_an,DAY($D$9)),""),"")</f>
        <v/>
      </c>
      <c r="D194" s="175" t="str">
        <f>IF(Valeurs_saisies,IF(colonneA&lt;&gt;"",H193,""),"")</f>
        <v/>
      </c>
      <c r="E194" s="175" t="str">
        <f t="shared" si="4"/>
        <v/>
      </c>
      <c r="F194" s="175" t="str">
        <f>IF(Valeurs_saisies,IF(colonneA&lt;&gt;"",mensualite-G194,""),"")</f>
        <v/>
      </c>
      <c r="G194" s="175" t="str">
        <f>IF(Valeurs_saisies,IF(colonneA&lt;&gt;"",capital_restant_du*(taux_interet_annueld/nombre_versements_an),""),"")</f>
        <v/>
      </c>
      <c r="H194" s="175" t="str">
        <f>IF(Valeurs_saisies,IF(colonneA&lt;&gt;"",D194-F194,""),"")</f>
        <v/>
      </c>
      <c r="L194" s="172">
        <f t="shared" si="5"/>
        <v>15</v>
      </c>
    </row>
    <row r="195" spans="2:12" s="169" customFormat="1" ht="14.25" customHeight="1">
      <c r="B195" s="173" t="str">
        <f>IF(Valeurs_saisies,IF(duree_du_pret&gt;L195,B194+1,""),"")</f>
        <v/>
      </c>
      <c r="C195" s="174" t="str">
        <f>IF(Valeurs_saisies,IF(colonneA&lt;&gt;"",DATE(YEAR($D$9),MONTH($D$9)+(colonneA)*12/nombre_versements_an,DAY($D$9)),""),"")</f>
        <v/>
      </c>
      <c r="D195" s="175" t="str">
        <f>IF(Valeurs_saisies,IF(colonneA&lt;&gt;"",H194,""),"")</f>
        <v/>
      </c>
      <c r="E195" s="175" t="str">
        <f t="shared" si="4"/>
        <v/>
      </c>
      <c r="F195" s="175" t="str">
        <f>IF(Valeurs_saisies,IF(colonneA&lt;&gt;"",mensualite-G195,""),"")</f>
        <v/>
      </c>
      <c r="G195" s="175" t="str">
        <f>IF(Valeurs_saisies,IF(colonneA&lt;&gt;"",capital_restant_du*(taux_interet_annueld/nombre_versements_an),""),"")</f>
        <v/>
      </c>
      <c r="H195" s="175" t="str">
        <f>IF(Valeurs_saisies,IF(colonneA&lt;&gt;"",D195-F195,""),"")</f>
        <v/>
      </c>
      <c r="L195" s="172">
        <f t="shared" si="5"/>
        <v>15</v>
      </c>
    </row>
    <row r="196" spans="2:12" s="169" customFormat="1" ht="14.25" customHeight="1">
      <c r="B196" s="173" t="str">
        <f>IF(Valeurs_saisies,IF(duree_du_pret&gt;L196,B195+1,""),"")</f>
        <v/>
      </c>
      <c r="C196" s="174" t="str">
        <f>IF(Valeurs_saisies,IF(colonneA&lt;&gt;"",DATE(YEAR($D$9),MONTH($D$9)+(colonneA)*12/nombre_versements_an,DAY($D$9)),""),"")</f>
        <v/>
      </c>
      <c r="D196" s="175" t="str">
        <f>IF(Valeurs_saisies,IF(colonneA&lt;&gt;"",H195,""),"")</f>
        <v/>
      </c>
      <c r="E196" s="175" t="str">
        <f t="shared" si="4"/>
        <v/>
      </c>
      <c r="F196" s="175" t="str">
        <f>IF(Valeurs_saisies,IF(colonneA&lt;&gt;"",mensualite-G196,""),"")</f>
        <v/>
      </c>
      <c r="G196" s="175" t="str">
        <f>IF(Valeurs_saisies,IF(colonneA&lt;&gt;"",capital_restant_du*(taux_interet_annueld/nombre_versements_an),""),"")</f>
        <v/>
      </c>
      <c r="H196" s="175" t="str">
        <f>IF(Valeurs_saisies,IF(colonneA&lt;&gt;"",D196-F196,""),"")</f>
        <v/>
      </c>
      <c r="L196" s="172">
        <f t="shared" si="5"/>
        <v>15</v>
      </c>
    </row>
    <row r="197" spans="2:12" s="169" customFormat="1" ht="14.25" customHeight="1">
      <c r="B197" s="173" t="str">
        <f>IF(Valeurs_saisies,IF(duree_du_pret&gt;L197,B196+1,""),"")</f>
        <v/>
      </c>
      <c r="C197" s="174" t="str">
        <f>IF(Valeurs_saisies,IF(colonneA&lt;&gt;"",DATE(YEAR($D$9),MONTH($D$9)+(colonneA)*12/nombre_versements_an,DAY($D$9)),""),"")</f>
        <v/>
      </c>
      <c r="D197" s="175" t="str">
        <f>IF(Valeurs_saisies,IF(colonneA&lt;&gt;"",H196,""),"")</f>
        <v/>
      </c>
      <c r="E197" s="175" t="str">
        <f t="shared" si="4"/>
        <v/>
      </c>
      <c r="F197" s="175" t="str">
        <f>IF(Valeurs_saisies,IF(colonneA&lt;&gt;"",mensualite-G197,""),"")</f>
        <v/>
      </c>
      <c r="G197" s="175" t="str">
        <f>IF(Valeurs_saisies,IF(colonneA&lt;&gt;"",capital_restant_du*(taux_interet_annueld/nombre_versements_an),""),"")</f>
        <v/>
      </c>
      <c r="H197" s="175" t="str">
        <f>IF(Valeurs_saisies,IF(colonneA&lt;&gt;"",D197-F197,""),"")</f>
        <v/>
      </c>
      <c r="L197" s="172">
        <f t="shared" si="5"/>
        <v>15</v>
      </c>
    </row>
    <row r="198" spans="2:12" s="169" customFormat="1" ht="14.25" customHeight="1">
      <c r="B198" s="173" t="str">
        <f>IF(Valeurs_saisies,IF(duree_du_pret&gt;L198,B197+1,""),"")</f>
        <v/>
      </c>
      <c r="C198" s="174" t="str">
        <f>IF(Valeurs_saisies,IF(colonneA&lt;&gt;"",DATE(YEAR($D$9),MONTH($D$9)+(colonneA)*12/nombre_versements_an,DAY($D$9)),""),"")</f>
        <v/>
      </c>
      <c r="D198" s="175" t="str">
        <f>IF(Valeurs_saisies,IF(colonneA&lt;&gt;"",H197,""),"")</f>
        <v/>
      </c>
      <c r="E198" s="175" t="str">
        <f t="shared" si="4"/>
        <v/>
      </c>
      <c r="F198" s="175" t="str">
        <f>IF(Valeurs_saisies,IF(colonneA&lt;&gt;"",mensualite-G198,""),"")</f>
        <v/>
      </c>
      <c r="G198" s="175" t="str">
        <f>IF(Valeurs_saisies,IF(colonneA&lt;&gt;"",capital_restant_du*(taux_interet_annueld/nombre_versements_an),""),"")</f>
        <v/>
      </c>
      <c r="H198" s="175" t="str">
        <f>IF(Valeurs_saisies,IF(colonneA&lt;&gt;"",D198-F198,""),"")</f>
        <v/>
      </c>
      <c r="L198" s="172">
        <f t="shared" si="5"/>
        <v>15</v>
      </c>
    </row>
    <row r="199" spans="2:12" s="169" customFormat="1" ht="14.25" customHeight="1">
      <c r="B199" s="173" t="str">
        <f>IF(Valeurs_saisies,IF(duree_du_pret&gt;L199,B198+1,""),"")</f>
        <v/>
      </c>
      <c r="C199" s="174" t="str">
        <f>IF(Valeurs_saisies,IF(colonneA&lt;&gt;"",DATE(YEAR($D$9),MONTH($D$9)+(colonneA)*12/nombre_versements_an,DAY($D$9)),""),"")</f>
        <v/>
      </c>
      <c r="D199" s="175" t="str">
        <f>IF(Valeurs_saisies,IF(colonneA&lt;&gt;"",H198,""),"")</f>
        <v/>
      </c>
      <c r="E199" s="175" t="str">
        <f t="shared" si="4"/>
        <v/>
      </c>
      <c r="F199" s="175" t="str">
        <f>IF(Valeurs_saisies,IF(colonneA&lt;&gt;"",mensualite-G199,""),"")</f>
        <v/>
      </c>
      <c r="G199" s="175" t="str">
        <f>IF(Valeurs_saisies,IF(colonneA&lt;&gt;"",capital_restant_du*(taux_interet_annueld/nombre_versements_an),""),"")</f>
        <v/>
      </c>
      <c r="H199" s="175" t="str">
        <f>IF(Valeurs_saisies,IF(colonneA&lt;&gt;"",D199-F199,""),"")</f>
        <v/>
      </c>
      <c r="L199" s="172">
        <f t="shared" si="5"/>
        <v>15</v>
      </c>
    </row>
    <row r="200" spans="2:12" s="169" customFormat="1" ht="14.25" customHeight="1">
      <c r="B200" s="173" t="str">
        <f>IF(Valeurs_saisies,IF(duree_du_pret&gt;L200,B199+1,""),"")</f>
        <v/>
      </c>
      <c r="C200" s="174" t="str">
        <f>IF(Valeurs_saisies,IF(colonneA&lt;&gt;"",DATE(YEAR($D$9),MONTH($D$9)+(colonneA)*12/nombre_versements_an,DAY($D$9)),""),"")</f>
        <v/>
      </c>
      <c r="D200" s="175" t="str">
        <f>IF(Valeurs_saisies,IF(colonneA&lt;&gt;"",H199,""),"")</f>
        <v/>
      </c>
      <c r="E200" s="175" t="str">
        <f t="shared" si="4"/>
        <v/>
      </c>
      <c r="F200" s="175" t="str">
        <f>IF(Valeurs_saisies,IF(colonneA&lt;&gt;"",mensualite-G200,""),"")</f>
        <v/>
      </c>
      <c r="G200" s="175" t="str">
        <f>IF(Valeurs_saisies,IF(colonneA&lt;&gt;"",capital_restant_du*(taux_interet_annueld/nombre_versements_an),""),"")</f>
        <v/>
      </c>
      <c r="H200" s="175" t="str">
        <f>IF(Valeurs_saisies,IF(colonneA&lt;&gt;"",D200-F200,""),"")</f>
        <v/>
      </c>
      <c r="L200" s="172">
        <f t="shared" si="5"/>
        <v>15</v>
      </c>
    </row>
    <row r="201" spans="2:12" s="169" customFormat="1" ht="14.25" customHeight="1">
      <c r="B201" s="173" t="str">
        <f>IF(Valeurs_saisies,IF(duree_du_pret&gt;L201,B200+1,""),"")</f>
        <v/>
      </c>
      <c r="C201" s="174" t="str">
        <f>IF(Valeurs_saisies,IF(colonneA&lt;&gt;"",DATE(YEAR($D$9),MONTH($D$9)+(colonneA)*12/nombre_versements_an,DAY($D$9)),""),"")</f>
        <v/>
      </c>
      <c r="D201" s="175" t="str">
        <f>IF(Valeurs_saisies,IF(colonneA&lt;&gt;"",H200,""),"")</f>
        <v/>
      </c>
      <c r="E201" s="175" t="str">
        <f t="shared" si="4"/>
        <v/>
      </c>
      <c r="F201" s="175" t="str">
        <f>IF(Valeurs_saisies,IF(colonneA&lt;&gt;"",mensualite-G201,""),"")</f>
        <v/>
      </c>
      <c r="G201" s="175" t="str">
        <f>IF(Valeurs_saisies,IF(colonneA&lt;&gt;"",capital_restant_du*(taux_interet_annueld/nombre_versements_an),""),"")</f>
        <v/>
      </c>
      <c r="H201" s="175" t="str">
        <f>IF(Valeurs_saisies,IF(colonneA&lt;&gt;"",D201-F201,""),"")</f>
        <v/>
      </c>
      <c r="L201" s="172">
        <f t="shared" si="5"/>
        <v>15</v>
      </c>
    </row>
    <row r="202" spans="2:12" s="169" customFormat="1" ht="14.25" customHeight="1">
      <c r="B202" s="173" t="str">
        <f>IF(Valeurs_saisies,IF(duree_du_pret&gt;L202,B201+1,""),"")</f>
        <v/>
      </c>
      <c r="C202" s="174" t="str">
        <f>IF(Valeurs_saisies,IF(colonneA&lt;&gt;"",DATE(YEAR($D$9),MONTH($D$9)+(colonneA)*12/nombre_versements_an,DAY($D$9)),""),"")</f>
        <v/>
      </c>
      <c r="D202" s="175" t="str">
        <f>IF(Valeurs_saisies,IF(colonneA&lt;&gt;"",H201,""),"")</f>
        <v/>
      </c>
      <c r="E202" s="175" t="str">
        <f t="shared" si="4"/>
        <v/>
      </c>
      <c r="F202" s="175" t="str">
        <f>IF(Valeurs_saisies,IF(colonneA&lt;&gt;"",mensualite-G202,""),"")</f>
        <v/>
      </c>
      <c r="G202" s="175" t="str">
        <f>IF(Valeurs_saisies,IF(colonneA&lt;&gt;"",capital_restant_du*(taux_interet_annueld/nombre_versements_an),""),"")</f>
        <v/>
      </c>
      <c r="H202" s="175" t="str">
        <f>IF(Valeurs_saisies,IF(colonneA&lt;&gt;"",D202-F202,""),"")</f>
        <v/>
      </c>
      <c r="L202" s="172">
        <f t="shared" si="5"/>
        <v>15</v>
      </c>
    </row>
    <row r="203" spans="2:12" s="169" customFormat="1" ht="14.25" customHeight="1">
      <c r="B203" s="173" t="str">
        <f>IF(Valeurs_saisies,IF(duree_du_pret&gt;L203,B202+1,""),"")</f>
        <v/>
      </c>
      <c r="C203" s="174" t="str">
        <f>IF(Valeurs_saisies,IF(colonneA&lt;&gt;"",DATE(YEAR($D$9),MONTH($D$9)+(colonneA)*12/nombre_versements_an,DAY($D$9)),""),"")</f>
        <v/>
      </c>
      <c r="D203" s="175" t="str">
        <f>IF(Valeurs_saisies,IF(colonneA&lt;&gt;"",H202,""),"")</f>
        <v/>
      </c>
      <c r="E203" s="175" t="str">
        <f t="shared" si="4"/>
        <v/>
      </c>
      <c r="F203" s="175" t="str">
        <f>IF(Valeurs_saisies,IF(colonneA&lt;&gt;"",mensualite-G203,""),"")</f>
        <v/>
      </c>
      <c r="G203" s="175" t="str">
        <f>IF(Valeurs_saisies,IF(colonneA&lt;&gt;"",capital_restant_du*(taux_interet_annueld/nombre_versements_an),""),"")</f>
        <v/>
      </c>
      <c r="H203" s="175" t="str">
        <f>IF(Valeurs_saisies,IF(colonneA&lt;&gt;"",D203-F203,""),"")</f>
        <v/>
      </c>
      <c r="L203" s="172">
        <f t="shared" si="5"/>
        <v>15</v>
      </c>
    </row>
    <row r="204" spans="2:12" s="169" customFormat="1" ht="14.25" customHeight="1">
      <c r="B204" s="173" t="str">
        <f>IF(Valeurs_saisies,IF(duree_du_pret&gt;L204,B203+1,""),"")</f>
        <v/>
      </c>
      <c r="C204" s="174" t="str">
        <f>IF(Valeurs_saisies,IF(colonneA&lt;&gt;"",DATE(YEAR($D$9),MONTH($D$9)+(colonneA)*12/nombre_versements_an,DAY($D$9)),""),"")</f>
        <v/>
      </c>
      <c r="D204" s="175" t="str">
        <f>IF(Valeurs_saisies,IF(colonneA&lt;&gt;"",H203,""),"")</f>
        <v/>
      </c>
      <c r="E204" s="175" t="str">
        <f t="shared" ref="E204:E267" si="6">IF(colonneA&lt;&gt;"",$H$5,"")</f>
        <v/>
      </c>
      <c r="F204" s="175" t="str">
        <f>IF(Valeurs_saisies,IF(colonneA&lt;&gt;"",mensualite-G204,""),"")</f>
        <v/>
      </c>
      <c r="G204" s="175" t="str">
        <f>IF(Valeurs_saisies,IF(colonneA&lt;&gt;"",capital_restant_du*(taux_interet_annueld/nombre_versements_an),""),"")</f>
        <v/>
      </c>
      <c r="H204" s="175" t="str">
        <f>IF(Valeurs_saisies,IF(colonneA&lt;&gt;"",D204-F204,""),"")</f>
        <v/>
      </c>
      <c r="L204" s="172">
        <f t="shared" si="5"/>
        <v>16</v>
      </c>
    </row>
    <row r="205" spans="2:12" s="169" customFormat="1" ht="14.25" customHeight="1">
      <c r="B205" s="173" t="str">
        <f>IF(Valeurs_saisies,IF(duree_du_pret&gt;L205,B204+1,""),"")</f>
        <v/>
      </c>
      <c r="C205" s="174" t="str">
        <f>IF(Valeurs_saisies,IF(colonneA&lt;&gt;"",DATE(YEAR($D$9),MONTH($D$9)+(colonneA)*12/nombre_versements_an,DAY($D$9)),""),"")</f>
        <v/>
      </c>
      <c r="D205" s="175" t="str">
        <f>IF(Valeurs_saisies,IF(colonneA&lt;&gt;"",H204,""),"")</f>
        <v/>
      </c>
      <c r="E205" s="175" t="str">
        <f t="shared" si="6"/>
        <v/>
      </c>
      <c r="F205" s="175" t="str">
        <f>IF(Valeurs_saisies,IF(colonneA&lt;&gt;"",mensualite-G205,""),"")</f>
        <v/>
      </c>
      <c r="G205" s="175" t="str">
        <f>IF(Valeurs_saisies,IF(colonneA&lt;&gt;"",capital_restant_du*(taux_interet_annueld/nombre_versements_an),""),"")</f>
        <v/>
      </c>
      <c r="H205" s="175" t="str">
        <f>IF(Valeurs_saisies,IF(colonneA&lt;&gt;"",D205-F205,""),"")</f>
        <v/>
      </c>
      <c r="L205" s="172">
        <f t="shared" si="5"/>
        <v>16</v>
      </c>
    </row>
    <row r="206" spans="2:12" s="169" customFormat="1" ht="14.25" customHeight="1">
      <c r="B206" s="173" t="str">
        <f>IF(Valeurs_saisies,IF(duree_du_pret&gt;L206,B205+1,""),"")</f>
        <v/>
      </c>
      <c r="C206" s="174" t="str">
        <f>IF(Valeurs_saisies,IF(colonneA&lt;&gt;"",DATE(YEAR($D$9),MONTH($D$9)+(colonneA)*12/nombre_versements_an,DAY($D$9)),""),"")</f>
        <v/>
      </c>
      <c r="D206" s="175" t="str">
        <f>IF(Valeurs_saisies,IF(colonneA&lt;&gt;"",H205,""),"")</f>
        <v/>
      </c>
      <c r="E206" s="175" t="str">
        <f t="shared" si="6"/>
        <v/>
      </c>
      <c r="F206" s="175" t="str">
        <f>IF(Valeurs_saisies,IF(colonneA&lt;&gt;"",mensualite-G206,""),"")</f>
        <v/>
      </c>
      <c r="G206" s="175" t="str">
        <f>IF(Valeurs_saisies,IF(colonneA&lt;&gt;"",capital_restant_du*(taux_interet_annueld/nombre_versements_an),""),"")</f>
        <v/>
      </c>
      <c r="H206" s="175" t="str">
        <f>IF(Valeurs_saisies,IF(colonneA&lt;&gt;"",D206-F206,""),"")</f>
        <v/>
      </c>
      <c r="L206" s="172">
        <f t="shared" si="5"/>
        <v>16</v>
      </c>
    </row>
    <row r="207" spans="2:12" s="169" customFormat="1" ht="14.25" customHeight="1">
      <c r="B207" s="173" t="str">
        <f>IF(Valeurs_saisies,IF(duree_du_pret&gt;L207,B206+1,""),"")</f>
        <v/>
      </c>
      <c r="C207" s="174" t="str">
        <f>IF(Valeurs_saisies,IF(colonneA&lt;&gt;"",DATE(YEAR($D$9),MONTH($D$9)+(colonneA)*12/nombre_versements_an,DAY($D$9)),""),"")</f>
        <v/>
      </c>
      <c r="D207" s="175" t="str">
        <f>IF(Valeurs_saisies,IF(colonneA&lt;&gt;"",H206,""),"")</f>
        <v/>
      </c>
      <c r="E207" s="175" t="str">
        <f t="shared" si="6"/>
        <v/>
      </c>
      <c r="F207" s="175" t="str">
        <f>IF(Valeurs_saisies,IF(colonneA&lt;&gt;"",mensualite-G207,""),"")</f>
        <v/>
      </c>
      <c r="G207" s="175" t="str">
        <f>IF(Valeurs_saisies,IF(colonneA&lt;&gt;"",capital_restant_du*(taux_interet_annueld/nombre_versements_an),""),"")</f>
        <v/>
      </c>
      <c r="H207" s="175" t="str">
        <f>IF(Valeurs_saisies,IF(colonneA&lt;&gt;"",D207-F207,""),"")</f>
        <v/>
      </c>
      <c r="L207" s="172">
        <f t="shared" si="5"/>
        <v>16</v>
      </c>
    </row>
    <row r="208" spans="2:12" s="169" customFormat="1" ht="14.25" customHeight="1">
      <c r="B208" s="173" t="str">
        <f>IF(Valeurs_saisies,IF(duree_du_pret&gt;L208,B207+1,""),"")</f>
        <v/>
      </c>
      <c r="C208" s="174" t="str">
        <f>IF(Valeurs_saisies,IF(colonneA&lt;&gt;"",DATE(YEAR($D$9),MONTH($D$9)+(colonneA)*12/nombre_versements_an,DAY($D$9)),""),"")</f>
        <v/>
      </c>
      <c r="D208" s="175" t="str">
        <f>IF(Valeurs_saisies,IF(colonneA&lt;&gt;"",H207,""),"")</f>
        <v/>
      </c>
      <c r="E208" s="175" t="str">
        <f t="shared" si="6"/>
        <v/>
      </c>
      <c r="F208" s="175" t="str">
        <f>IF(Valeurs_saisies,IF(colonneA&lt;&gt;"",mensualite-G208,""),"")</f>
        <v/>
      </c>
      <c r="G208" s="175" t="str">
        <f>IF(Valeurs_saisies,IF(colonneA&lt;&gt;"",capital_restant_du*(taux_interet_annueld/nombre_versements_an),""),"")</f>
        <v/>
      </c>
      <c r="H208" s="175" t="str">
        <f>IF(Valeurs_saisies,IF(colonneA&lt;&gt;"",D208-F208,""),"")</f>
        <v/>
      </c>
      <c r="L208" s="172">
        <f t="shared" si="5"/>
        <v>16</v>
      </c>
    </row>
    <row r="209" spans="2:12" s="169" customFormat="1" ht="14.25" customHeight="1">
      <c r="B209" s="173" t="str">
        <f>IF(Valeurs_saisies,IF(duree_du_pret&gt;L209,B208+1,""),"")</f>
        <v/>
      </c>
      <c r="C209" s="174" t="str">
        <f>IF(Valeurs_saisies,IF(colonneA&lt;&gt;"",DATE(YEAR($D$9),MONTH($D$9)+(colonneA)*12/nombre_versements_an,DAY($D$9)),""),"")</f>
        <v/>
      </c>
      <c r="D209" s="175" t="str">
        <f>IF(Valeurs_saisies,IF(colonneA&lt;&gt;"",H208,""),"")</f>
        <v/>
      </c>
      <c r="E209" s="175" t="str">
        <f t="shared" si="6"/>
        <v/>
      </c>
      <c r="F209" s="175" t="str">
        <f>IF(Valeurs_saisies,IF(colonneA&lt;&gt;"",mensualite-G209,""),"")</f>
        <v/>
      </c>
      <c r="G209" s="175" t="str">
        <f>IF(Valeurs_saisies,IF(colonneA&lt;&gt;"",capital_restant_du*(taux_interet_annueld/nombre_versements_an),""),"")</f>
        <v/>
      </c>
      <c r="H209" s="175" t="str">
        <f>IF(Valeurs_saisies,IF(colonneA&lt;&gt;"",D209-F209,""),"")</f>
        <v/>
      </c>
      <c r="L209" s="172">
        <f t="shared" si="5"/>
        <v>16</v>
      </c>
    </row>
    <row r="210" spans="2:12" s="169" customFormat="1" ht="14.25" customHeight="1">
      <c r="B210" s="173" t="str">
        <f>IF(Valeurs_saisies,IF(duree_du_pret&gt;L210,B209+1,""),"")</f>
        <v/>
      </c>
      <c r="C210" s="174" t="str">
        <f>IF(Valeurs_saisies,IF(colonneA&lt;&gt;"",DATE(YEAR($D$9),MONTH($D$9)+(colonneA)*12/nombre_versements_an,DAY($D$9)),""),"")</f>
        <v/>
      </c>
      <c r="D210" s="175" t="str">
        <f>IF(Valeurs_saisies,IF(colonneA&lt;&gt;"",H209,""),"")</f>
        <v/>
      </c>
      <c r="E210" s="175" t="str">
        <f t="shared" si="6"/>
        <v/>
      </c>
      <c r="F210" s="175" t="str">
        <f>IF(Valeurs_saisies,IF(colonneA&lt;&gt;"",mensualite-G210,""),"")</f>
        <v/>
      </c>
      <c r="G210" s="175" t="str">
        <f>IF(Valeurs_saisies,IF(colonneA&lt;&gt;"",capital_restant_du*(taux_interet_annueld/nombre_versements_an),""),"")</f>
        <v/>
      </c>
      <c r="H210" s="175" t="str">
        <f>IF(Valeurs_saisies,IF(colonneA&lt;&gt;"",D210-F210,""),"")</f>
        <v/>
      </c>
      <c r="L210" s="172">
        <f t="shared" si="5"/>
        <v>16</v>
      </c>
    </row>
    <row r="211" spans="2:12" s="169" customFormat="1" ht="14.25" customHeight="1">
      <c r="B211" s="173" t="str">
        <f>IF(Valeurs_saisies,IF(duree_du_pret&gt;L211,B210+1,""),"")</f>
        <v/>
      </c>
      <c r="C211" s="174" t="str">
        <f>IF(Valeurs_saisies,IF(colonneA&lt;&gt;"",DATE(YEAR($D$9),MONTH($D$9)+(colonneA)*12/nombre_versements_an,DAY($D$9)),""),"")</f>
        <v/>
      </c>
      <c r="D211" s="175" t="str">
        <f>IF(Valeurs_saisies,IF(colonneA&lt;&gt;"",H210,""),"")</f>
        <v/>
      </c>
      <c r="E211" s="175" t="str">
        <f t="shared" si="6"/>
        <v/>
      </c>
      <c r="F211" s="175" t="str">
        <f>IF(Valeurs_saisies,IF(colonneA&lt;&gt;"",mensualite-G211,""),"")</f>
        <v/>
      </c>
      <c r="G211" s="175" t="str">
        <f>IF(Valeurs_saisies,IF(colonneA&lt;&gt;"",capital_restant_du*(taux_interet_annueld/nombre_versements_an),""),"")</f>
        <v/>
      </c>
      <c r="H211" s="175" t="str">
        <f>IF(Valeurs_saisies,IF(colonneA&lt;&gt;"",D211-F211,""),"")</f>
        <v/>
      </c>
      <c r="L211" s="172">
        <f t="shared" si="5"/>
        <v>16</v>
      </c>
    </row>
    <row r="212" spans="2:12" s="169" customFormat="1" ht="14.25" customHeight="1">
      <c r="B212" s="173" t="str">
        <f>IF(Valeurs_saisies,IF(duree_du_pret&gt;L212,B211+1,""),"")</f>
        <v/>
      </c>
      <c r="C212" s="174" t="str">
        <f>IF(Valeurs_saisies,IF(colonneA&lt;&gt;"",DATE(YEAR($D$9),MONTH($D$9)+(colonneA)*12/nombre_versements_an,DAY($D$9)),""),"")</f>
        <v/>
      </c>
      <c r="D212" s="175" t="str">
        <f>IF(Valeurs_saisies,IF(colonneA&lt;&gt;"",H211,""),"")</f>
        <v/>
      </c>
      <c r="E212" s="175" t="str">
        <f t="shared" si="6"/>
        <v/>
      </c>
      <c r="F212" s="175" t="str">
        <f>IF(Valeurs_saisies,IF(colonneA&lt;&gt;"",mensualite-G212,""),"")</f>
        <v/>
      </c>
      <c r="G212" s="175" t="str">
        <f>IF(Valeurs_saisies,IF(colonneA&lt;&gt;"",capital_restant_du*(taux_interet_annueld/nombre_versements_an),""),"")</f>
        <v/>
      </c>
      <c r="H212" s="175" t="str">
        <f>IF(Valeurs_saisies,IF(colonneA&lt;&gt;"",D212-F212,""),"")</f>
        <v/>
      </c>
      <c r="L212" s="172">
        <f t="shared" si="5"/>
        <v>16</v>
      </c>
    </row>
    <row r="213" spans="2:12" s="169" customFormat="1" ht="14.25" customHeight="1">
      <c r="B213" s="173" t="str">
        <f>IF(Valeurs_saisies,IF(duree_du_pret&gt;L213,B212+1,""),"")</f>
        <v/>
      </c>
      <c r="C213" s="174" t="str">
        <f>IF(Valeurs_saisies,IF(colonneA&lt;&gt;"",DATE(YEAR($D$9),MONTH($D$9)+(colonneA)*12/nombre_versements_an,DAY($D$9)),""),"")</f>
        <v/>
      </c>
      <c r="D213" s="175" t="str">
        <f>IF(Valeurs_saisies,IF(colonneA&lt;&gt;"",H212,""),"")</f>
        <v/>
      </c>
      <c r="E213" s="175" t="str">
        <f t="shared" si="6"/>
        <v/>
      </c>
      <c r="F213" s="175" t="str">
        <f>IF(Valeurs_saisies,IF(colonneA&lt;&gt;"",mensualite-G213,""),"")</f>
        <v/>
      </c>
      <c r="G213" s="175" t="str">
        <f>IF(Valeurs_saisies,IF(colonneA&lt;&gt;"",capital_restant_du*(taux_interet_annueld/nombre_versements_an),""),"")</f>
        <v/>
      </c>
      <c r="H213" s="175" t="str">
        <f>IF(Valeurs_saisies,IF(colonneA&lt;&gt;"",D213-F213,""),"")</f>
        <v/>
      </c>
      <c r="L213" s="172">
        <f t="shared" si="5"/>
        <v>16</v>
      </c>
    </row>
    <row r="214" spans="2:12" s="169" customFormat="1" ht="14.25" customHeight="1">
      <c r="B214" s="173" t="str">
        <f>IF(Valeurs_saisies,IF(duree_du_pret&gt;L214,B213+1,""),"")</f>
        <v/>
      </c>
      <c r="C214" s="174" t="str">
        <f>IF(Valeurs_saisies,IF(colonneA&lt;&gt;"",DATE(YEAR($D$9),MONTH($D$9)+(colonneA)*12/nombre_versements_an,DAY($D$9)),""),"")</f>
        <v/>
      </c>
      <c r="D214" s="175" t="str">
        <f>IF(Valeurs_saisies,IF(colonneA&lt;&gt;"",H213,""),"")</f>
        <v/>
      </c>
      <c r="E214" s="175" t="str">
        <f t="shared" si="6"/>
        <v/>
      </c>
      <c r="F214" s="175" t="str">
        <f>IF(Valeurs_saisies,IF(colonneA&lt;&gt;"",mensualite-G214,""),"")</f>
        <v/>
      </c>
      <c r="G214" s="175" t="str">
        <f>IF(Valeurs_saisies,IF(colonneA&lt;&gt;"",capital_restant_du*(taux_interet_annueld/nombre_versements_an),""),"")</f>
        <v/>
      </c>
      <c r="H214" s="175" t="str">
        <f>IF(Valeurs_saisies,IF(colonneA&lt;&gt;"",D214-F214,""),"")</f>
        <v/>
      </c>
      <c r="L214" s="172">
        <f t="shared" si="5"/>
        <v>16</v>
      </c>
    </row>
    <row r="215" spans="2:12" s="169" customFormat="1" ht="14.25" customHeight="1">
      <c r="B215" s="173" t="str">
        <f>IF(Valeurs_saisies,IF(duree_du_pret&gt;L215,B214+1,""),"")</f>
        <v/>
      </c>
      <c r="C215" s="174" t="str">
        <f>IF(Valeurs_saisies,IF(colonneA&lt;&gt;"",DATE(YEAR($D$9),MONTH($D$9)+(colonneA)*12/nombre_versements_an,DAY($D$9)),""),"")</f>
        <v/>
      </c>
      <c r="D215" s="175" t="str">
        <f>IF(Valeurs_saisies,IF(colonneA&lt;&gt;"",H214,""),"")</f>
        <v/>
      </c>
      <c r="E215" s="175" t="str">
        <f t="shared" si="6"/>
        <v/>
      </c>
      <c r="F215" s="175" t="str">
        <f>IF(Valeurs_saisies,IF(colonneA&lt;&gt;"",mensualite-G215,""),"")</f>
        <v/>
      </c>
      <c r="G215" s="175" t="str">
        <f>IF(Valeurs_saisies,IF(colonneA&lt;&gt;"",capital_restant_du*(taux_interet_annueld/nombre_versements_an),""),"")</f>
        <v/>
      </c>
      <c r="H215" s="175" t="str">
        <f>IF(Valeurs_saisies,IF(colonneA&lt;&gt;"",D215-F215,""),"")</f>
        <v/>
      </c>
      <c r="L215" s="172">
        <f t="shared" si="5"/>
        <v>16</v>
      </c>
    </row>
    <row r="216" spans="2:12" s="169" customFormat="1" ht="14.25" customHeight="1">
      <c r="B216" s="173" t="str">
        <f>IF(Valeurs_saisies,IF(duree_du_pret&gt;L216,B215+1,""),"")</f>
        <v/>
      </c>
      <c r="C216" s="174" t="str">
        <f>IF(Valeurs_saisies,IF(colonneA&lt;&gt;"",DATE(YEAR($D$9),MONTH($D$9)+(colonneA)*12/nombre_versements_an,DAY($D$9)),""),"")</f>
        <v/>
      </c>
      <c r="D216" s="175" t="str">
        <f>IF(Valeurs_saisies,IF(colonneA&lt;&gt;"",H215,""),"")</f>
        <v/>
      </c>
      <c r="E216" s="175" t="str">
        <f t="shared" si="6"/>
        <v/>
      </c>
      <c r="F216" s="175" t="str">
        <f>IF(Valeurs_saisies,IF(colonneA&lt;&gt;"",mensualite-G216,""),"")</f>
        <v/>
      </c>
      <c r="G216" s="175" t="str">
        <f>IF(Valeurs_saisies,IF(colonneA&lt;&gt;"",capital_restant_du*(taux_interet_annueld/nombre_versements_an),""),"")</f>
        <v/>
      </c>
      <c r="H216" s="175" t="str">
        <f>IF(Valeurs_saisies,IF(colonneA&lt;&gt;"",D216-F216,""),"")</f>
        <v/>
      </c>
      <c r="L216" s="172">
        <f t="shared" si="5"/>
        <v>17</v>
      </c>
    </row>
    <row r="217" spans="2:12" s="169" customFormat="1" ht="14.25" customHeight="1">
      <c r="B217" s="173" t="str">
        <f>IF(Valeurs_saisies,IF(duree_du_pret&gt;L217,B216+1,""),"")</f>
        <v/>
      </c>
      <c r="C217" s="174" t="str">
        <f>IF(Valeurs_saisies,IF(colonneA&lt;&gt;"",DATE(YEAR($D$9),MONTH($D$9)+(colonneA)*12/nombre_versements_an,DAY($D$9)),""),"")</f>
        <v/>
      </c>
      <c r="D217" s="175" t="str">
        <f>IF(Valeurs_saisies,IF(colonneA&lt;&gt;"",H216,""),"")</f>
        <v/>
      </c>
      <c r="E217" s="175" t="str">
        <f t="shared" si="6"/>
        <v/>
      </c>
      <c r="F217" s="175" t="str">
        <f>IF(Valeurs_saisies,IF(colonneA&lt;&gt;"",mensualite-G217,""),"")</f>
        <v/>
      </c>
      <c r="G217" s="175" t="str">
        <f>IF(Valeurs_saisies,IF(colonneA&lt;&gt;"",capital_restant_du*(taux_interet_annueld/nombre_versements_an),""),"")</f>
        <v/>
      </c>
      <c r="H217" s="175" t="str">
        <f>IF(Valeurs_saisies,IF(colonneA&lt;&gt;"",D217-F217,""),"")</f>
        <v/>
      </c>
      <c r="L217" s="172">
        <f t="shared" ref="L217:L280" si="7">L205+1</f>
        <v>17</v>
      </c>
    </row>
    <row r="218" spans="2:12" s="169" customFormat="1" ht="14.25" customHeight="1">
      <c r="B218" s="173" t="str">
        <f>IF(Valeurs_saisies,IF(duree_du_pret&gt;L218,B217+1,""),"")</f>
        <v/>
      </c>
      <c r="C218" s="174" t="str">
        <f>IF(Valeurs_saisies,IF(colonneA&lt;&gt;"",DATE(YEAR($D$9),MONTH($D$9)+(colonneA)*12/nombre_versements_an,DAY($D$9)),""),"")</f>
        <v/>
      </c>
      <c r="D218" s="175" t="str">
        <f>IF(Valeurs_saisies,IF(colonneA&lt;&gt;"",H217,""),"")</f>
        <v/>
      </c>
      <c r="E218" s="175" t="str">
        <f t="shared" si="6"/>
        <v/>
      </c>
      <c r="F218" s="175" t="str">
        <f>IF(Valeurs_saisies,IF(colonneA&lt;&gt;"",mensualite-G218,""),"")</f>
        <v/>
      </c>
      <c r="G218" s="175" t="str">
        <f>IF(Valeurs_saisies,IF(colonneA&lt;&gt;"",capital_restant_du*(taux_interet_annueld/nombre_versements_an),""),"")</f>
        <v/>
      </c>
      <c r="H218" s="175" t="str">
        <f>IF(Valeurs_saisies,IF(colonneA&lt;&gt;"",D218-F218,""),"")</f>
        <v/>
      </c>
      <c r="L218" s="172">
        <f t="shared" si="7"/>
        <v>17</v>
      </c>
    </row>
    <row r="219" spans="2:12" s="169" customFormat="1" ht="14.25" customHeight="1">
      <c r="B219" s="173" t="str">
        <f>IF(Valeurs_saisies,IF(duree_du_pret&gt;L219,B218+1,""),"")</f>
        <v/>
      </c>
      <c r="C219" s="174" t="str">
        <f>IF(Valeurs_saisies,IF(colonneA&lt;&gt;"",DATE(YEAR($D$9),MONTH($D$9)+(colonneA)*12/nombre_versements_an,DAY($D$9)),""),"")</f>
        <v/>
      </c>
      <c r="D219" s="175" t="str">
        <f>IF(Valeurs_saisies,IF(colonneA&lt;&gt;"",H218,""),"")</f>
        <v/>
      </c>
      <c r="E219" s="175" t="str">
        <f t="shared" si="6"/>
        <v/>
      </c>
      <c r="F219" s="175" t="str">
        <f>IF(Valeurs_saisies,IF(colonneA&lt;&gt;"",mensualite-G219,""),"")</f>
        <v/>
      </c>
      <c r="G219" s="175" t="str">
        <f>IF(Valeurs_saisies,IF(colonneA&lt;&gt;"",capital_restant_du*(taux_interet_annueld/nombre_versements_an),""),"")</f>
        <v/>
      </c>
      <c r="H219" s="175" t="str">
        <f>IF(Valeurs_saisies,IF(colonneA&lt;&gt;"",D219-F219,""),"")</f>
        <v/>
      </c>
      <c r="L219" s="172">
        <f t="shared" si="7"/>
        <v>17</v>
      </c>
    </row>
    <row r="220" spans="2:12" s="169" customFormat="1" ht="14.25" customHeight="1">
      <c r="B220" s="173" t="str">
        <f>IF(Valeurs_saisies,IF(duree_du_pret&gt;L220,B219+1,""),"")</f>
        <v/>
      </c>
      <c r="C220" s="174" t="str">
        <f>IF(Valeurs_saisies,IF(colonneA&lt;&gt;"",DATE(YEAR($D$9),MONTH($D$9)+(colonneA)*12/nombre_versements_an,DAY($D$9)),""),"")</f>
        <v/>
      </c>
      <c r="D220" s="175" t="str">
        <f>IF(Valeurs_saisies,IF(colonneA&lt;&gt;"",H219,""),"")</f>
        <v/>
      </c>
      <c r="E220" s="175" t="str">
        <f t="shared" si="6"/>
        <v/>
      </c>
      <c r="F220" s="175" t="str">
        <f>IF(Valeurs_saisies,IF(colonneA&lt;&gt;"",mensualite-G220,""),"")</f>
        <v/>
      </c>
      <c r="G220" s="175" t="str">
        <f>IF(Valeurs_saisies,IF(colonneA&lt;&gt;"",capital_restant_du*(taux_interet_annueld/nombre_versements_an),""),"")</f>
        <v/>
      </c>
      <c r="H220" s="175" t="str">
        <f>IF(Valeurs_saisies,IF(colonneA&lt;&gt;"",D220-F220,""),"")</f>
        <v/>
      </c>
      <c r="L220" s="172">
        <f t="shared" si="7"/>
        <v>17</v>
      </c>
    </row>
    <row r="221" spans="2:12" s="169" customFormat="1" ht="14.25" customHeight="1">
      <c r="B221" s="173" t="str">
        <f>IF(Valeurs_saisies,IF(duree_du_pret&gt;L221,B220+1,""),"")</f>
        <v/>
      </c>
      <c r="C221" s="174" t="str">
        <f>IF(Valeurs_saisies,IF(colonneA&lt;&gt;"",DATE(YEAR($D$9),MONTH($D$9)+(colonneA)*12/nombre_versements_an,DAY($D$9)),""),"")</f>
        <v/>
      </c>
      <c r="D221" s="175" t="str">
        <f>IF(Valeurs_saisies,IF(colonneA&lt;&gt;"",H220,""),"")</f>
        <v/>
      </c>
      <c r="E221" s="175" t="str">
        <f t="shared" si="6"/>
        <v/>
      </c>
      <c r="F221" s="175" t="str">
        <f>IF(Valeurs_saisies,IF(colonneA&lt;&gt;"",mensualite-G221,""),"")</f>
        <v/>
      </c>
      <c r="G221" s="175" t="str">
        <f>IF(Valeurs_saisies,IF(colonneA&lt;&gt;"",capital_restant_du*(taux_interet_annueld/nombre_versements_an),""),"")</f>
        <v/>
      </c>
      <c r="H221" s="175" t="str">
        <f>IF(Valeurs_saisies,IF(colonneA&lt;&gt;"",D221-F221,""),"")</f>
        <v/>
      </c>
      <c r="L221" s="172">
        <f t="shared" si="7"/>
        <v>17</v>
      </c>
    </row>
    <row r="222" spans="2:12" s="169" customFormat="1" ht="14.25" customHeight="1">
      <c r="B222" s="173" t="str">
        <f>IF(Valeurs_saisies,IF(duree_du_pret&gt;L222,B221+1,""),"")</f>
        <v/>
      </c>
      <c r="C222" s="174" t="str">
        <f>IF(Valeurs_saisies,IF(colonneA&lt;&gt;"",DATE(YEAR($D$9),MONTH($D$9)+(colonneA)*12/nombre_versements_an,DAY($D$9)),""),"")</f>
        <v/>
      </c>
      <c r="D222" s="175" t="str">
        <f>IF(Valeurs_saisies,IF(colonneA&lt;&gt;"",H221,""),"")</f>
        <v/>
      </c>
      <c r="E222" s="175" t="str">
        <f t="shared" si="6"/>
        <v/>
      </c>
      <c r="F222" s="175" t="str">
        <f>IF(Valeurs_saisies,IF(colonneA&lt;&gt;"",mensualite-G222,""),"")</f>
        <v/>
      </c>
      <c r="G222" s="175" t="str">
        <f>IF(Valeurs_saisies,IF(colonneA&lt;&gt;"",capital_restant_du*(taux_interet_annueld/nombre_versements_an),""),"")</f>
        <v/>
      </c>
      <c r="H222" s="175" t="str">
        <f>IF(Valeurs_saisies,IF(colonneA&lt;&gt;"",D222-F222,""),"")</f>
        <v/>
      </c>
      <c r="L222" s="172">
        <f t="shared" si="7"/>
        <v>17</v>
      </c>
    </row>
    <row r="223" spans="2:12" s="169" customFormat="1" ht="14.25" customHeight="1">
      <c r="B223" s="173" t="str">
        <f>IF(Valeurs_saisies,IF(duree_du_pret&gt;L223,B222+1,""),"")</f>
        <v/>
      </c>
      <c r="C223" s="174" t="str">
        <f>IF(Valeurs_saisies,IF(colonneA&lt;&gt;"",DATE(YEAR($D$9),MONTH($D$9)+(colonneA)*12/nombre_versements_an,DAY($D$9)),""),"")</f>
        <v/>
      </c>
      <c r="D223" s="175" t="str">
        <f>IF(Valeurs_saisies,IF(colonneA&lt;&gt;"",H222,""),"")</f>
        <v/>
      </c>
      <c r="E223" s="175" t="str">
        <f t="shared" si="6"/>
        <v/>
      </c>
      <c r="F223" s="175" t="str">
        <f>IF(Valeurs_saisies,IF(colonneA&lt;&gt;"",mensualite-G223,""),"")</f>
        <v/>
      </c>
      <c r="G223" s="175" t="str">
        <f>IF(Valeurs_saisies,IF(colonneA&lt;&gt;"",capital_restant_du*(taux_interet_annueld/nombre_versements_an),""),"")</f>
        <v/>
      </c>
      <c r="H223" s="175" t="str">
        <f>IF(Valeurs_saisies,IF(colonneA&lt;&gt;"",D223-F223,""),"")</f>
        <v/>
      </c>
      <c r="L223" s="172">
        <f t="shared" si="7"/>
        <v>17</v>
      </c>
    </row>
    <row r="224" spans="2:12" s="169" customFormat="1" ht="14.25" customHeight="1">
      <c r="B224" s="173" t="str">
        <f>IF(Valeurs_saisies,IF(duree_du_pret&gt;L224,B223+1,""),"")</f>
        <v/>
      </c>
      <c r="C224" s="174" t="str">
        <f>IF(Valeurs_saisies,IF(colonneA&lt;&gt;"",DATE(YEAR($D$9),MONTH($D$9)+(colonneA)*12/nombre_versements_an,DAY($D$9)),""),"")</f>
        <v/>
      </c>
      <c r="D224" s="175" t="str">
        <f>IF(Valeurs_saisies,IF(colonneA&lt;&gt;"",H223,""),"")</f>
        <v/>
      </c>
      <c r="E224" s="175" t="str">
        <f t="shared" si="6"/>
        <v/>
      </c>
      <c r="F224" s="175" t="str">
        <f>IF(Valeurs_saisies,IF(colonneA&lt;&gt;"",mensualite-G224,""),"")</f>
        <v/>
      </c>
      <c r="G224" s="175" t="str">
        <f>IF(Valeurs_saisies,IF(colonneA&lt;&gt;"",capital_restant_du*(taux_interet_annueld/nombre_versements_an),""),"")</f>
        <v/>
      </c>
      <c r="H224" s="175" t="str">
        <f>IF(Valeurs_saisies,IF(colonneA&lt;&gt;"",D224-F224,""),"")</f>
        <v/>
      </c>
      <c r="L224" s="172">
        <f t="shared" si="7"/>
        <v>17</v>
      </c>
    </row>
    <row r="225" spans="2:12" s="169" customFormat="1" ht="14.25" customHeight="1">
      <c r="B225" s="173" t="str">
        <f>IF(Valeurs_saisies,IF(duree_du_pret&gt;L225,B224+1,""),"")</f>
        <v/>
      </c>
      <c r="C225" s="174" t="str">
        <f>IF(Valeurs_saisies,IF(colonneA&lt;&gt;"",DATE(YEAR($D$9),MONTH($D$9)+(colonneA)*12/nombre_versements_an,DAY($D$9)),""),"")</f>
        <v/>
      </c>
      <c r="D225" s="175" t="str">
        <f>IF(Valeurs_saisies,IF(colonneA&lt;&gt;"",H224,""),"")</f>
        <v/>
      </c>
      <c r="E225" s="175" t="str">
        <f t="shared" si="6"/>
        <v/>
      </c>
      <c r="F225" s="175" t="str">
        <f>IF(Valeurs_saisies,IF(colonneA&lt;&gt;"",mensualite-G225,""),"")</f>
        <v/>
      </c>
      <c r="G225" s="175" t="str">
        <f>IF(Valeurs_saisies,IF(colonneA&lt;&gt;"",capital_restant_du*(taux_interet_annueld/nombre_versements_an),""),"")</f>
        <v/>
      </c>
      <c r="H225" s="175" t="str">
        <f>IF(Valeurs_saisies,IF(colonneA&lt;&gt;"",D225-F225,""),"")</f>
        <v/>
      </c>
      <c r="L225" s="172">
        <f t="shared" si="7"/>
        <v>17</v>
      </c>
    </row>
    <row r="226" spans="2:12" s="169" customFormat="1" ht="14.25" customHeight="1">
      <c r="B226" s="173" t="str">
        <f>IF(Valeurs_saisies,IF(duree_du_pret&gt;L226,B225+1,""),"")</f>
        <v/>
      </c>
      <c r="C226" s="174" t="str">
        <f>IF(Valeurs_saisies,IF(colonneA&lt;&gt;"",DATE(YEAR($D$9),MONTH($D$9)+(colonneA)*12/nombre_versements_an,DAY($D$9)),""),"")</f>
        <v/>
      </c>
      <c r="D226" s="175" t="str">
        <f>IF(Valeurs_saisies,IF(colonneA&lt;&gt;"",H225,""),"")</f>
        <v/>
      </c>
      <c r="E226" s="175" t="str">
        <f t="shared" si="6"/>
        <v/>
      </c>
      <c r="F226" s="175" t="str">
        <f>IF(Valeurs_saisies,IF(colonneA&lt;&gt;"",mensualite-G226,""),"")</f>
        <v/>
      </c>
      <c r="G226" s="175" t="str">
        <f>IF(Valeurs_saisies,IF(colonneA&lt;&gt;"",capital_restant_du*(taux_interet_annueld/nombre_versements_an),""),"")</f>
        <v/>
      </c>
      <c r="H226" s="175" t="str">
        <f>IF(Valeurs_saisies,IF(colonneA&lt;&gt;"",D226-F226,""),"")</f>
        <v/>
      </c>
      <c r="L226" s="172">
        <f t="shared" si="7"/>
        <v>17</v>
      </c>
    </row>
    <row r="227" spans="2:12" s="169" customFormat="1" ht="14.25" customHeight="1">
      <c r="B227" s="173" t="str">
        <f>IF(Valeurs_saisies,IF(duree_du_pret&gt;L227,B226+1,""),"")</f>
        <v/>
      </c>
      <c r="C227" s="174" t="str">
        <f>IF(Valeurs_saisies,IF(colonneA&lt;&gt;"",DATE(YEAR($D$9),MONTH($D$9)+(colonneA)*12/nombre_versements_an,DAY($D$9)),""),"")</f>
        <v/>
      </c>
      <c r="D227" s="175" t="str">
        <f>IF(Valeurs_saisies,IF(colonneA&lt;&gt;"",H226,""),"")</f>
        <v/>
      </c>
      <c r="E227" s="175" t="str">
        <f t="shared" si="6"/>
        <v/>
      </c>
      <c r="F227" s="175" t="str">
        <f>IF(Valeurs_saisies,IF(colonneA&lt;&gt;"",mensualite-G227,""),"")</f>
        <v/>
      </c>
      <c r="G227" s="175" t="str">
        <f>IF(Valeurs_saisies,IF(colonneA&lt;&gt;"",capital_restant_du*(taux_interet_annueld/nombre_versements_an),""),"")</f>
        <v/>
      </c>
      <c r="H227" s="175" t="str">
        <f>IF(Valeurs_saisies,IF(colonneA&lt;&gt;"",D227-F227,""),"")</f>
        <v/>
      </c>
      <c r="L227" s="172">
        <f t="shared" si="7"/>
        <v>17</v>
      </c>
    </row>
    <row r="228" spans="2:12" s="169" customFormat="1" ht="14.25" customHeight="1">
      <c r="B228" s="173" t="str">
        <f>IF(Valeurs_saisies,IF(duree_du_pret&gt;L228,B227+1,""),"")</f>
        <v/>
      </c>
      <c r="C228" s="174" t="str">
        <f>IF(Valeurs_saisies,IF(colonneA&lt;&gt;"",DATE(YEAR($D$9),MONTH($D$9)+(colonneA)*12/nombre_versements_an,DAY($D$9)),""),"")</f>
        <v/>
      </c>
      <c r="D228" s="175" t="str">
        <f>IF(Valeurs_saisies,IF(colonneA&lt;&gt;"",H227,""),"")</f>
        <v/>
      </c>
      <c r="E228" s="175" t="str">
        <f t="shared" si="6"/>
        <v/>
      </c>
      <c r="F228" s="175" t="str">
        <f>IF(Valeurs_saisies,IF(colonneA&lt;&gt;"",mensualite-G228,""),"")</f>
        <v/>
      </c>
      <c r="G228" s="175" t="str">
        <f>IF(Valeurs_saisies,IF(colonneA&lt;&gt;"",capital_restant_du*(taux_interet_annueld/nombre_versements_an),""),"")</f>
        <v/>
      </c>
      <c r="H228" s="175" t="str">
        <f>IF(Valeurs_saisies,IF(colonneA&lt;&gt;"",D228-F228,""),"")</f>
        <v/>
      </c>
      <c r="L228" s="172">
        <f t="shared" si="7"/>
        <v>18</v>
      </c>
    </row>
    <row r="229" spans="2:12" s="169" customFormat="1" ht="14.25" customHeight="1">
      <c r="B229" s="173" t="str">
        <f>IF(Valeurs_saisies,IF(duree_du_pret&gt;L229,B228+1,""),"")</f>
        <v/>
      </c>
      <c r="C229" s="174" t="str">
        <f>IF(Valeurs_saisies,IF(colonneA&lt;&gt;"",DATE(YEAR($D$9),MONTH($D$9)+(colonneA)*12/nombre_versements_an,DAY($D$9)),""),"")</f>
        <v/>
      </c>
      <c r="D229" s="175" t="str">
        <f>IF(Valeurs_saisies,IF(colonneA&lt;&gt;"",H228,""),"")</f>
        <v/>
      </c>
      <c r="E229" s="175" t="str">
        <f t="shared" si="6"/>
        <v/>
      </c>
      <c r="F229" s="175" t="str">
        <f>IF(Valeurs_saisies,IF(colonneA&lt;&gt;"",mensualite-G229,""),"")</f>
        <v/>
      </c>
      <c r="G229" s="175" t="str">
        <f>IF(Valeurs_saisies,IF(colonneA&lt;&gt;"",capital_restant_du*(taux_interet_annueld/nombre_versements_an),""),"")</f>
        <v/>
      </c>
      <c r="H229" s="175" t="str">
        <f>IF(Valeurs_saisies,IF(colonneA&lt;&gt;"",D229-F229,""),"")</f>
        <v/>
      </c>
      <c r="L229" s="172">
        <f t="shared" si="7"/>
        <v>18</v>
      </c>
    </row>
    <row r="230" spans="2:12" s="169" customFormat="1" ht="14.25" customHeight="1">
      <c r="B230" s="173" t="str">
        <f>IF(Valeurs_saisies,IF(duree_du_pret&gt;L230,B229+1,""),"")</f>
        <v/>
      </c>
      <c r="C230" s="174" t="str">
        <f>IF(Valeurs_saisies,IF(colonneA&lt;&gt;"",DATE(YEAR($D$9),MONTH($D$9)+(colonneA)*12/nombre_versements_an,DAY($D$9)),""),"")</f>
        <v/>
      </c>
      <c r="D230" s="175" t="str">
        <f>IF(Valeurs_saisies,IF(colonneA&lt;&gt;"",H229,""),"")</f>
        <v/>
      </c>
      <c r="E230" s="175" t="str">
        <f t="shared" si="6"/>
        <v/>
      </c>
      <c r="F230" s="175" t="str">
        <f>IF(Valeurs_saisies,IF(colonneA&lt;&gt;"",mensualite-G230,""),"")</f>
        <v/>
      </c>
      <c r="G230" s="175" t="str">
        <f>IF(Valeurs_saisies,IF(colonneA&lt;&gt;"",capital_restant_du*(taux_interet_annueld/nombre_versements_an),""),"")</f>
        <v/>
      </c>
      <c r="H230" s="175" t="str">
        <f>IF(Valeurs_saisies,IF(colonneA&lt;&gt;"",D230-F230,""),"")</f>
        <v/>
      </c>
      <c r="L230" s="172">
        <f t="shared" si="7"/>
        <v>18</v>
      </c>
    </row>
    <row r="231" spans="2:12" s="169" customFormat="1" ht="14.25" customHeight="1">
      <c r="B231" s="173" t="str">
        <f>IF(Valeurs_saisies,IF(duree_du_pret&gt;L231,B230+1,""),"")</f>
        <v/>
      </c>
      <c r="C231" s="174" t="str">
        <f>IF(Valeurs_saisies,IF(colonneA&lt;&gt;"",DATE(YEAR($D$9),MONTH($D$9)+(colonneA)*12/nombre_versements_an,DAY($D$9)),""),"")</f>
        <v/>
      </c>
      <c r="D231" s="175" t="str">
        <f>IF(Valeurs_saisies,IF(colonneA&lt;&gt;"",H230,""),"")</f>
        <v/>
      </c>
      <c r="E231" s="175" t="str">
        <f t="shared" si="6"/>
        <v/>
      </c>
      <c r="F231" s="175" t="str">
        <f>IF(Valeurs_saisies,IF(colonneA&lt;&gt;"",mensualite-G231,""),"")</f>
        <v/>
      </c>
      <c r="G231" s="175" t="str">
        <f>IF(Valeurs_saisies,IF(colonneA&lt;&gt;"",capital_restant_du*(taux_interet_annueld/nombre_versements_an),""),"")</f>
        <v/>
      </c>
      <c r="H231" s="175" t="str">
        <f>IF(Valeurs_saisies,IF(colonneA&lt;&gt;"",D231-F231,""),"")</f>
        <v/>
      </c>
      <c r="L231" s="172">
        <f t="shared" si="7"/>
        <v>18</v>
      </c>
    </row>
    <row r="232" spans="2:12" s="169" customFormat="1" ht="14.25" customHeight="1">
      <c r="B232" s="173" t="str">
        <f>IF(Valeurs_saisies,IF(duree_du_pret&gt;L232,B231+1,""),"")</f>
        <v/>
      </c>
      <c r="C232" s="174" t="str">
        <f>IF(Valeurs_saisies,IF(colonneA&lt;&gt;"",DATE(YEAR($D$9),MONTH($D$9)+(colonneA)*12/nombre_versements_an,DAY($D$9)),""),"")</f>
        <v/>
      </c>
      <c r="D232" s="175" t="str">
        <f>IF(Valeurs_saisies,IF(colonneA&lt;&gt;"",H231,""),"")</f>
        <v/>
      </c>
      <c r="E232" s="175" t="str">
        <f t="shared" si="6"/>
        <v/>
      </c>
      <c r="F232" s="175" t="str">
        <f>IF(Valeurs_saisies,IF(colonneA&lt;&gt;"",mensualite-G232,""),"")</f>
        <v/>
      </c>
      <c r="G232" s="175" t="str">
        <f>IF(Valeurs_saisies,IF(colonneA&lt;&gt;"",capital_restant_du*(taux_interet_annueld/nombre_versements_an),""),"")</f>
        <v/>
      </c>
      <c r="H232" s="175" t="str">
        <f>IF(Valeurs_saisies,IF(colonneA&lt;&gt;"",D232-F232,""),"")</f>
        <v/>
      </c>
      <c r="L232" s="172">
        <f t="shared" si="7"/>
        <v>18</v>
      </c>
    </row>
    <row r="233" spans="2:12" s="169" customFormat="1" ht="14.25" customHeight="1">
      <c r="B233" s="173" t="str">
        <f>IF(Valeurs_saisies,IF(duree_du_pret&gt;L233,B232+1,""),"")</f>
        <v/>
      </c>
      <c r="C233" s="174" t="str">
        <f>IF(Valeurs_saisies,IF(colonneA&lt;&gt;"",DATE(YEAR($D$9),MONTH($D$9)+(colonneA)*12/nombre_versements_an,DAY($D$9)),""),"")</f>
        <v/>
      </c>
      <c r="D233" s="175" t="str">
        <f>IF(Valeurs_saisies,IF(colonneA&lt;&gt;"",H232,""),"")</f>
        <v/>
      </c>
      <c r="E233" s="175" t="str">
        <f t="shared" si="6"/>
        <v/>
      </c>
      <c r="F233" s="175" t="str">
        <f>IF(Valeurs_saisies,IF(colonneA&lt;&gt;"",mensualite-G233,""),"")</f>
        <v/>
      </c>
      <c r="G233" s="175" t="str">
        <f>IF(Valeurs_saisies,IF(colonneA&lt;&gt;"",capital_restant_du*(taux_interet_annueld/nombre_versements_an),""),"")</f>
        <v/>
      </c>
      <c r="H233" s="175" t="str">
        <f>IF(Valeurs_saisies,IF(colonneA&lt;&gt;"",D233-F233,""),"")</f>
        <v/>
      </c>
      <c r="L233" s="172">
        <f t="shared" si="7"/>
        <v>18</v>
      </c>
    </row>
    <row r="234" spans="2:12" s="169" customFormat="1" ht="14.25" customHeight="1">
      <c r="B234" s="173" t="str">
        <f>IF(Valeurs_saisies,IF(duree_du_pret&gt;L234,B233+1,""),"")</f>
        <v/>
      </c>
      <c r="C234" s="174" t="str">
        <f>IF(Valeurs_saisies,IF(colonneA&lt;&gt;"",DATE(YEAR($D$9),MONTH($D$9)+(colonneA)*12/nombre_versements_an,DAY($D$9)),""),"")</f>
        <v/>
      </c>
      <c r="D234" s="175" t="str">
        <f>IF(Valeurs_saisies,IF(colonneA&lt;&gt;"",H233,""),"")</f>
        <v/>
      </c>
      <c r="E234" s="175" t="str">
        <f t="shared" si="6"/>
        <v/>
      </c>
      <c r="F234" s="175" t="str">
        <f>IF(Valeurs_saisies,IF(colonneA&lt;&gt;"",mensualite-G234,""),"")</f>
        <v/>
      </c>
      <c r="G234" s="175" t="str">
        <f>IF(Valeurs_saisies,IF(colonneA&lt;&gt;"",capital_restant_du*(taux_interet_annueld/nombre_versements_an),""),"")</f>
        <v/>
      </c>
      <c r="H234" s="175" t="str">
        <f>IF(Valeurs_saisies,IF(colonneA&lt;&gt;"",D234-F234,""),"")</f>
        <v/>
      </c>
      <c r="L234" s="172">
        <f t="shared" si="7"/>
        <v>18</v>
      </c>
    </row>
    <row r="235" spans="2:12" s="169" customFormat="1" ht="14.25" customHeight="1">
      <c r="B235" s="173" t="str">
        <f>IF(Valeurs_saisies,IF(duree_du_pret&gt;L235,B234+1,""),"")</f>
        <v/>
      </c>
      <c r="C235" s="174" t="str">
        <f>IF(Valeurs_saisies,IF(colonneA&lt;&gt;"",DATE(YEAR($D$9),MONTH($D$9)+(colonneA)*12/nombre_versements_an,DAY($D$9)),""),"")</f>
        <v/>
      </c>
      <c r="D235" s="175" t="str">
        <f>IF(Valeurs_saisies,IF(colonneA&lt;&gt;"",H234,""),"")</f>
        <v/>
      </c>
      <c r="E235" s="175" t="str">
        <f t="shared" si="6"/>
        <v/>
      </c>
      <c r="F235" s="175" t="str">
        <f>IF(Valeurs_saisies,IF(colonneA&lt;&gt;"",mensualite-G235,""),"")</f>
        <v/>
      </c>
      <c r="G235" s="175" t="str">
        <f>IF(Valeurs_saisies,IF(colonneA&lt;&gt;"",capital_restant_du*(taux_interet_annueld/nombre_versements_an),""),"")</f>
        <v/>
      </c>
      <c r="H235" s="175" t="str">
        <f>IF(Valeurs_saisies,IF(colonneA&lt;&gt;"",D235-F235,""),"")</f>
        <v/>
      </c>
      <c r="L235" s="172">
        <f t="shared" si="7"/>
        <v>18</v>
      </c>
    </row>
    <row r="236" spans="2:12" s="169" customFormat="1" ht="14.25" customHeight="1">
      <c r="B236" s="173" t="str">
        <f>IF(Valeurs_saisies,IF(duree_du_pret&gt;L236,B235+1,""),"")</f>
        <v/>
      </c>
      <c r="C236" s="174" t="str">
        <f>IF(Valeurs_saisies,IF(colonneA&lt;&gt;"",DATE(YEAR($D$9),MONTH($D$9)+(colonneA)*12/nombre_versements_an,DAY($D$9)),""),"")</f>
        <v/>
      </c>
      <c r="D236" s="175" t="str">
        <f>IF(Valeurs_saisies,IF(colonneA&lt;&gt;"",H235,""),"")</f>
        <v/>
      </c>
      <c r="E236" s="175" t="str">
        <f t="shared" si="6"/>
        <v/>
      </c>
      <c r="F236" s="175" t="str">
        <f>IF(Valeurs_saisies,IF(colonneA&lt;&gt;"",mensualite-G236,""),"")</f>
        <v/>
      </c>
      <c r="G236" s="175" t="str">
        <f>IF(Valeurs_saisies,IF(colonneA&lt;&gt;"",capital_restant_du*(taux_interet_annueld/nombre_versements_an),""),"")</f>
        <v/>
      </c>
      <c r="H236" s="175" t="str">
        <f>IF(Valeurs_saisies,IF(colonneA&lt;&gt;"",D236-F236,""),"")</f>
        <v/>
      </c>
      <c r="L236" s="172">
        <f t="shared" si="7"/>
        <v>18</v>
      </c>
    </row>
    <row r="237" spans="2:12" s="169" customFormat="1" ht="14.25" customHeight="1">
      <c r="B237" s="173" t="str">
        <f>IF(Valeurs_saisies,IF(duree_du_pret&gt;L237,B236+1,""),"")</f>
        <v/>
      </c>
      <c r="C237" s="174" t="str">
        <f>IF(Valeurs_saisies,IF(colonneA&lt;&gt;"",DATE(YEAR($D$9),MONTH($D$9)+(colonneA)*12/nombre_versements_an,DAY($D$9)),""),"")</f>
        <v/>
      </c>
      <c r="D237" s="175" t="str">
        <f>IF(Valeurs_saisies,IF(colonneA&lt;&gt;"",H236,""),"")</f>
        <v/>
      </c>
      <c r="E237" s="175" t="str">
        <f t="shared" si="6"/>
        <v/>
      </c>
      <c r="F237" s="175" t="str">
        <f>IF(Valeurs_saisies,IF(colonneA&lt;&gt;"",mensualite-G237,""),"")</f>
        <v/>
      </c>
      <c r="G237" s="175" t="str">
        <f>IF(Valeurs_saisies,IF(colonneA&lt;&gt;"",capital_restant_du*(taux_interet_annueld/nombre_versements_an),""),"")</f>
        <v/>
      </c>
      <c r="H237" s="175" t="str">
        <f>IF(Valeurs_saisies,IF(colonneA&lt;&gt;"",D237-F237,""),"")</f>
        <v/>
      </c>
      <c r="L237" s="172">
        <f t="shared" si="7"/>
        <v>18</v>
      </c>
    </row>
    <row r="238" spans="2:12" s="169" customFormat="1" ht="14.25" customHeight="1">
      <c r="B238" s="173" t="str">
        <f>IF(Valeurs_saisies,IF(duree_du_pret&gt;L238,B237+1,""),"")</f>
        <v/>
      </c>
      <c r="C238" s="174" t="str">
        <f>IF(Valeurs_saisies,IF(colonneA&lt;&gt;"",DATE(YEAR($D$9),MONTH($D$9)+(colonneA)*12/nombre_versements_an,DAY($D$9)),""),"")</f>
        <v/>
      </c>
      <c r="D238" s="175" t="str">
        <f>IF(Valeurs_saisies,IF(colonneA&lt;&gt;"",H237,""),"")</f>
        <v/>
      </c>
      <c r="E238" s="175" t="str">
        <f t="shared" si="6"/>
        <v/>
      </c>
      <c r="F238" s="175" t="str">
        <f>IF(Valeurs_saisies,IF(colonneA&lt;&gt;"",mensualite-G238,""),"")</f>
        <v/>
      </c>
      <c r="G238" s="175" t="str">
        <f>IF(Valeurs_saisies,IF(colonneA&lt;&gt;"",capital_restant_du*(taux_interet_annueld/nombre_versements_an),""),"")</f>
        <v/>
      </c>
      <c r="H238" s="175" t="str">
        <f>IF(Valeurs_saisies,IF(colonneA&lt;&gt;"",D238-F238,""),"")</f>
        <v/>
      </c>
      <c r="L238" s="172">
        <f t="shared" si="7"/>
        <v>18</v>
      </c>
    </row>
    <row r="239" spans="2:12" s="169" customFormat="1" ht="14.25" customHeight="1">
      <c r="B239" s="173" t="str">
        <f>IF(Valeurs_saisies,IF(duree_du_pret&gt;L239,B238+1,""),"")</f>
        <v/>
      </c>
      <c r="C239" s="174" t="str">
        <f>IF(Valeurs_saisies,IF(colonneA&lt;&gt;"",DATE(YEAR($D$9),MONTH($D$9)+(colonneA)*12/nombre_versements_an,DAY($D$9)),""),"")</f>
        <v/>
      </c>
      <c r="D239" s="175" t="str">
        <f>IF(Valeurs_saisies,IF(colonneA&lt;&gt;"",H238,""),"")</f>
        <v/>
      </c>
      <c r="E239" s="175" t="str">
        <f t="shared" si="6"/>
        <v/>
      </c>
      <c r="F239" s="175" t="str">
        <f>IF(Valeurs_saisies,IF(colonneA&lt;&gt;"",mensualite-G239,""),"")</f>
        <v/>
      </c>
      <c r="G239" s="175" t="str">
        <f>IF(Valeurs_saisies,IF(colonneA&lt;&gt;"",capital_restant_du*(taux_interet_annueld/nombre_versements_an),""),"")</f>
        <v/>
      </c>
      <c r="H239" s="175" t="str">
        <f>IF(Valeurs_saisies,IF(colonneA&lt;&gt;"",D239-F239,""),"")</f>
        <v/>
      </c>
      <c r="L239" s="172">
        <f t="shared" si="7"/>
        <v>18</v>
      </c>
    </row>
    <row r="240" spans="2:12" s="169" customFormat="1" ht="14.25" customHeight="1">
      <c r="B240" s="173" t="str">
        <f>IF(Valeurs_saisies,IF(duree_du_pret&gt;L240,B239+1,""),"")</f>
        <v/>
      </c>
      <c r="C240" s="174" t="str">
        <f>IF(Valeurs_saisies,IF(colonneA&lt;&gt;"",DATE(YEAR($D$9),MONTH($D$9)+(colonneA)*12/nombre_versements_an,DAY($D$9)),""),"")</f>
        <v/>
      </c>
      <c r="D240" s="175" t="str">
        <f>IF(Valeurs_saisies,IF(colonneA&lt;&gt;"",H239,""),"")</f>
        <v/>
      </c>
      <c r="E240" s="175" t="str">
        <f t="shared" si="6"/>
        <v/>
      </c>
      <c r="F240" s="175" t="str">
        <f>IF(Valeurs_saisies,IF(colonneA&lt;&gt;"",mensualite-G240,""),"")</f>
        <v/>
      </c>
      <c r="G240" s="175" t="str">
        <f>IF(Valeurs_saisies,IF(colonneA&lt;&gt;"",capital_restant_du*(taux_interet_annueld/nombre_versements_an),""),"")</f>
        <v/>
      </c>
      <c r="H240" s="175" t="str">
        <f>IF(Valeurs_saisies,IF(colonneA&lt;&gt;"",D240-F240,""),"")</f>
        <v/>
      </c>
      <c r="L240" s="172">
        <f t="shared" si="7"/>
        <v>19</v>
      </c>
    </row>
    <row r="241" spans="2:12" s="169" customFormat="1" ht="14.25" customHeight="1">
      <c r="B241" s="173" t="str">
        <f>IF(Valeurs_saisies,IF(duree_du_pret&gt;L241,B240+1,""),"")</f>
        <v/>
      </c>
      <c r="C241" s="174" t="str">
        <f>IF(Valeurs_saisies,IF(colonneA&lt;&gt;"",DATE(YEAR($D$9),MONTH($D$9)+(colonneA)*12/nombre_versements_an,DAY($D$9)),""),"")</f>
        <v/>
      </c>
      <c r="D241" s="175" t="str">
        <f>IF(Valeurs_saisies,IF(colonneA&lt;&gt;"",H240,""),"")</f>
        <v/>
      </c>
      <c r="E241" s="175" t="str">
        <f t="shared" si="6"/>
        <v/>
      </c>
      <c r="F241" s="175" t="str">
        <f>IF(Valeurs_saisies,IF(colonneA&lt;&gt;"",mensualite-G241,""),"")</f>
        <v/>
      </c>
      <c r="G241" s="175" t="str">
        <f>IF(Valeurs_saisies,IF(colonneA&lt;&gt;"",capital_restant_du*(taux_interet_annueld/nombre_versements_an),""),"")</f>
        <v/>
      </c>
      <c r="H241" s="175" t="str">
        <f>IF(Valeurs_saisies,IF(colonneA&lt;&gt;"",D241-F241,""),"")</f>
        <v/>
      </c>
      <c r="L241" s="172">
        <f t="shared" si="7"/>
        <v>19</v>
      </c>
    </row>
    <row r="242" spans="2:12" s="169" customFormat="1" ht="14.25" customHeight="1">
      <c r="B242" s="173" t="str">
        <f>IF(Valeurs_saisies,IF(duree_du_pret&gt;L242,B241+1,""),"")</f>
        <v/>
      </c>
      <c r="C242" s="174" t="str">
        <f>IF(Valeurs_saisies,IF(colonneA&lt;&gt;"",DATE(YEAR($D$9),MONTH($D$9)+(colonneA)*12/nombre_versements_an,DAY($D$9)),""),"")</f>
        <v/>
      </c>
      <c r="D242" s="175" t="str">
        <f>IF(Valeurs_saisies,IF(colonneA&lt;&gt;"",H241,""),"")</f>
        <v/>
      </c>
      <c r="E242" s="175" t="str">
        <f t="shared" si="6"/>
        <v/>
      </c>
      <c r="F242" s="175" t="str">
        <f>IF(Valeurs_saisies,IF(colonneA&lt;&gt;"",mensualite-G242,""),"")</f>
        <v/>
      </c>
      <c r="G242" s="175" t="str">
        <f>IF(Valeurs_saisies,IF(colonneA&lt;&gt;"",capital_restant_du*(taux_interet_annueld/nombre_versements_an),""),"")</f>
        <v/>
      </c>
      <c r="H242" s="175" t="str">
        <f>IF(Valeurs_saisies,IF(colonneA&lt;&gt;"",D242-F242,""),"")</f>
        <v/>
      </c>
      <c r="L242" s="172">
        <f t="shared" si="7"/>
        <v>19</v>
      </c>
    </row>
    <row r="243" spans="2:12" s="169" customFormat="1" ht="14.25" customHeight="1">
      <c r="B243" s="173" t="str">
        <f>IF(Valeurs_saisies,IF(duree_du_pret&gt;L243,B242+1,""),"")</f>
        <v/>
      </c>
      <c r="C243" s="174" t="str">
        <f>IF(Valeurs_saisies,IF(colonneA&lt;&gt;"",DATE(YEAR($D$9),MONTH($D$9)+(colonneA)*12/nombre_versements_an,DAY($D$9)),""),"")</f>
        <v/>
      </c>
      <c r="D243" s="175" t="str">
        <f>IF(Valeurs_saisies,IF(colonneA&lt;&gt;"",H242,""),"")</f>
        <v/>
      </c>
      <c r="E243" s="175" t="str">
        <f t="shared" si="6"/>
        <v/>
      </c>
      <c r="F243" s="175" t="str">
        <f>IF(Valeurs_saisies,IF(colonneA&lt;&gt;"",mensualite-G243,""),"")</f>
        <v/>
      </c>
      <c r="G243" s="175" t="str">
        <f>IF(Valeurs_saisies,IF(colonneA&lt;&gt;"",capital_restant_du*(taux_interet_annueld/nombre_versements_an),""),"")</f>
        <v/>
      </c>
      <c r="H243" s="175" t="str">
        <f>IF(Valeurs_saisies,IF(colonneA&lt;&gt;"",D243-F243,""),"")</f>
        <v/>
      </c>
      <c r="L243" s="172">
        <f t="shared" si="7"/>
        <v>19</v>
      </c>
    </row>
    <row r="244" spans="2:12" s="169" customFormat="1" ht="14.25" customHeight="1">
      <c r="B244" s="173" t="str">
        <f>IF(Valeurs_saisies,IF(duree_du_pret&gt;L244,B243+1,""),"")</f>
        <v/>
      </c>
      <c r="C244" s="174" t="str">
        <f>IF(Valeurs_saisies,IF(colonneA&lt;&gt;"",DATE(YEAR($D$9),MONTH($D$9)+(colonneA)*12/nombre_versements_an,DAY($D$9)),""),"")</f>
        <v/>
      </c>
      <c r="D244" s="175" t="str">
        <f>IF(Valeurs_saisies,IF(colonneA&lt;&gt;"",H243,""),"")</f>
        <v/>
      </c>
      <c r="E244" s="175" t="str">
        <f t="shared" si="6"/>
        <v/>
      </c>
      <c r="F244" s="175" t="str">
        <f>IF(Valeurs_saisies,IF(colonneA&lt;&gt;"",mensualite-G244,""),"")</f>
        <v/>
      </c>
      <c r="G244" s="175" t="str">
        <f>IF(Valeurs_saisies,IF(colonneA&lt;&gt;"",capital_restant_du*(taux_interet_annueld/nombre_versements_an),""),"")</f>
        <v/>
      </c>
      <c r="H244" s="175" t="str">
        <f>IF(Valeurs_saisies,IF(colonneA&lt;&gt;"",D244-F244,""),"")</f>
        <v/>
      </c>
      <c r="L244" s="172">
        <f t="shared" si="7"/>
        <v>19</v>
      </c>
    </row>
    <row r="245" spans="2:12" s="169" customFormat="1" ht="14.25" customHeight="1">
      <c r="B245" s="173" t="str">
        <f>IF(Valeurs_saisies,IF(duree_du_pret&gt;L245,B244+1,""),"")</f>
        <v/>
      </c>
      <c r="C245" s="174" t="str">
        <f>IF(Valeurs_saisies,IF(colonneA&lt;&gt;"",DATE(YEAR($D$9),MONTH($D$9)+(colonneA)*12/nombre_versements_an,DAY($D$9)),""),"")</f>
        <v/>
      </c>
      <c r="D245" s="175" t="str">
        <f>IF(Valeurs_saisies,IF(colonneA&lt;&gt;"",H244,""),"")</f>
        <v/>
      </c>
      <c r="E245" s="175" t="str">
        <f t="shared" si="6"/>
        <v/>
      </c>
      <c r="F245" s="175" t="str">
        <f>IF(Valeurs_saisies,IF(colonneA&lt;&gt;"",mensualite-G245,""),"")</f>
        <v/>
      </c>
      <c r="G245" s="175" t="str">
        <f>IF(Valeurs_saisies,IF(colonneA&lt;&gt;"",capital_restant_du*(taux_interet_annueld/nombre_versements_an),""),"")</f>
        <v/>
      </c>
      <c r="H245" s="175" t="str">
        <f>IF(Valeurs_saisies,IF(colonneA&lt;&gt;"",D245-F245,""),"")</f>
        <v/>
      </c>
      <c r="L245" s="172">
        <f t="shared" si="7"/>
        <v>19</v>
      </c>
    </row>
    <row r="246" spans="2:12" s="169" customFormat="1" ht="14.25" customHeight="1">
      <c r="B246" s="173" t="str">
        <f>IF(Valeurs_saisies,IF(duree_du_pret&gt;L246,B245+1,""),"")</f>
        <v/>
      </c>
      <c r="C246" s="174" t="str">
        <f>IF(Valeurs_saisies,IF(colonneA&lt;&gt;"",DATE(YEAR($D$9),MONTH($D$9)+(colonneA)*12/nombre_versements_an,DAY($D$9)),""),"")</f>
        <v/>
      </c>
      <c r="D246" s="175" t="str">
        <f>IF(Valeurs_saisies,IF(colonneA&lt;&gt;"",H245,""),"")</f>
        <v/>
      </c>
      <c r="E246" s="175" t="str">
        <f t="shared" si="6"/>
        <v/>
      </c>
      <c r="F246" s="175" t="str">
        <f>IF(Valeurs_saisies,IF(colonneA&lt;&gt;"",mensualite-G246,""),"")</f>
        <v/>
      </c>
      <c r="G246" s="175" t="str">
        <f>IF(Valeurs_saisies,IF(colonneA&lt;&gt;"",capital_restant_du*(taux_interet_annueld/nombre_versements_an),""),"")</f>
        <v/>
      </c>
      <c r="H246" s="175" t="str">
        <f>IF(Valeurs_saisies,IF(colonneA&lt;&gt;"",D246-F246,""),"")</f>
        <v/>
      </c>
      <c r="L246" s="172">
        <f t="shared" si="7"/>
        <v>19</v>
      </c>
    </row>
    <row r="247" spans="2:12" s="169" customFormat="1" ht="14.25" customHeight="1">
      <c r="B247" s="173" t="str">
        <f>IF(Valeurs_saisies,IF(duree_du_pret&gt;L247,B246+1,""),"")</f>
        <v/>
      </c>
      <c r="C247" s="174" t="str">
        <f>IF(Valeurs_saisies,IF(colonneA&lt;&gt;"",DATE(YEAR($D$9),MONTH($D$9)+(colonneA)*12/nombre_versements_an,DAY($D$9)),""),"")</f>
        <v/>
      </c>
      <c r="D247" s="175" t="str">
        <f>IF(Valeurs_saisies,IF(colonneA&lt;&gt;"",H246,""),"")</f>
        <v/>
      </c>
      <c r="E247" s="175" t="str">
        <f t="shared" si="6"/>
        <v/>
      </c>
      <c r="F247" s="175" t="str">
        <f>IF(Valeurs_saisies,IF(colonneA&lt;&gt;"",mensualite-G247,""),"")</f>
        <v/>
      </c>
      <c r="G247" s="175" t="str">
        <f>IF(Valeurs_saisies,IF(colonneA&lt;&gt;"",capital_restant_du*(taux_interet_annueld/nombre_versements_an),""),"")</f>
        <v/>
      </c>
      <c r="H247" s="175" t="str">
        <f>IF(Valeurs_saisies,IF(colonneA&lt;&gt;"",D247-F247,""),"")</f>
        <v/>
      </c>
      <c r="L247" s="172">
        <f t="shared" si="7"/>
        <v>19</v>
      </c>
    </row>
    <row r="248" spans="2:12" s="169" customFormat="1" ht="14.25" customHeight="1">
      <c r="B248" s="173" t="str">
        <f>IF(Valeurs_saisies,IF(duree_du_pret&gt;L248,B247+1,""),"")</f>
        <v/>
      </c>
      <c r="C248" s="174" t="str">
        <f>IF(Valeurs_saisies,IF(colonneA&lt;&gt;"",DATE(YEAR($D$9),MONTH($D$9)+(colonneA)*12/nombre_versements_an,DAY($D$9)),""),"")</f>
        <v/>
      </c>
      <c r="D248" s="175" t="str">
        <f>IF(Valeurs_saisies,IF(colonneA&lt;&gt;"",H247,""),"")</f>
        <v/>
      </c>
      <c r="E248" s="175" t="str">
        <f t="shared" si="6"/>
        <v/>
      </c>
      <c r="F248" s="175" t="str">
        <f>IF(Valeurs_saisies,IF(colonneA&lt;&gt;"",mensualite-G248,""),"")</f>
        <v/>
      </c>
      <c r="G248" s="175" t="str">
        <f>IF(Valeurs_saisies,IF(colonneA&lt;&gt;"",capital_restant_du*(taux_interet_annueld/nombre_versements_an),""),"")</f>
        <v/>
      </c>
      <c r="H248" s="175" t="str">
        <f>IF(Valeurs_saisies,IF(colonneA&lt;&gt;"",D248-F248,""),"")</f>
        <v/>
      </c>
      <c r="L248" s="172">
        <f t="shared" si="7"/>
        <v>19</v>
      </c>
    </row>
    <row r="249" spans="2:12" s="169" customFormat="1" ht="14.25" customHeight="1">
      <c r="B249" s="173" t="str">
        <f>IF(Valeurs_saisies,IF(duree_du_pret&gt;L249,B248+1,""),"")</f>
        <v/>
      </c>
      <c r="C249" s="174" t="str">
        <f>IF(Valeurs_saisies,IF(colonneA&lt;&gt;"",DATE(YEAR($D$9),MONTH($D$9)+(colonneA)*12/nombre_versements_an,DAY($D$9)),""),"")</f>
        <v/>
      </c>
      <c r="D249" s="175" t="str">
        <f>IF(Valeurs_saisies,IF(colonneA&lt;&gt;"",H248,""),"")</f>
        <v/>
      </c>
      <c r="E249" s="175" t="str">
        <f t="shared" si="6"/>
        <v/>
      </c>
      <c r="F249" s="175" t="str">
        <f>IF(Valeurs_saisies,IF(colonneA&lt;&gt;"",mensualite-G249,""),"")</f>
        <v/>
      </c>
      <c r="G249" s="175" t="str">
        <f>IF(Valeurs_saisies,IF(colonneA&lt;&gt;"",capital_restant_du*(taux_interet_annueld/nombre_versements_an),""),"")</f>
        <v/>
      </c>
      <c r="H249" s="175" t="str">
        <f>IF(Valeurs_saisies,IF(colonneA&lt;&gt;"",D249-F249,""),"")</f>
        <v/>
      </c>
      <c r="L249" s="172">
        <f t="shared" si="7"/>
        <v>19</v>
      </c>
    </row>
    <row r="250" spans="2:12" s="169" customFormat="1" ht="14.25" customHeight="1">
      <c r="B250" s="173" t="str">
        <f>IF(Valeurs_saisies,IF(duree_du_pret&gt;L250,B249+1,""),"")</f>
        <v/>
      </c>
      <c r="C250" s="174" t="str">
        <f>IF(Valeurs_saisies,IF(colonneA&lt;&gt;"",DATE(YEAR($D$9),MONTH($D$9)+(colonneA)*12/nombre_versements_an,DAY($D$9)),""),"")</f>
        <v/>
      </c>
      <c r="D250" s="175" t="str">
        <f>IF(Valeurs_saisies,IF(colonneA&lt;&gt;"",H249,""),"")</f>
        <v/>
      </c>
      <c r="E250" s="175" t="str">
        <f t="shared" si="6"/>
        <v/>
      </c>
      <c r="F250" s="175" t="str">
        <f>IF(Valeurs_saisies,IF(colonneA&lt;&gt;"",mensualite-G250,""),"")</f>
        <v/>
      </c>
      <c r="G250" s="175" t="str">
        <f>IF(Valeurs_saisies,IF(colonneA&lt;&gt;"",capital_restant_du*(taux_interet_annueld/nombre_versements_an),""),"")</f>
        <v/>
      </c>
      <c r="H250" s="175" t="str">
        <f>IF(Valeurs_saisies,IF(colonneA&lt;&gt;"",D250-F250,""),"")</f>
        <v/>
      </c>
      <c r="L250" s="172">
        <f t="shared" si="7"/>
        <v>19</v>
      </c>
    </row>
    <row r="251" spans="2:12" s="169" customFormat="1" ht="14.25" customHeight="1">
      <c r="B251" s="173" t="str">
        <f>IF(Valeurs_saisies,IF(duree_du_pret&gt;L251,B250+1,""),"")</f>
        <v/>
      </c>
      <c r="C251" s="174" t="str">
        <f>IF(Valeurs_saisies,IF(colonneA&lt;&gt;"",DATE(YEAR($D$9),MONTH($D$9)+(colonneA)*12/nombre_versements_an,DAY($D$9)),""),"")</f>
        <v/>
      </c>
      <c r="D251" s="175" t="str">
        <f>IF(Valeurs_saisies,IF(colonneA&lt;&gt;"",H250,""),"")</f>
        <v/>
      </c>
      <c r="E251" s="175" t="str">
        <f t="shared" si="6"/>
        <v/>
      </c>
      <c r="F251" s="175" t="str">
        <f>IF(Valeurs_saisies,IF(colonneA&lt;&gt;"",mensualite-G251,""),"")</f>
        <v/>
      </c>
      <c r="G251" s="175" t="str">
        <f>IF(Valeurs_saisies,IF(colonneA&lt;&gt;"",capital_restant_du*(taux_interet_annueld/nombre_versements_an),""),"")</f>
        <v/>
      </c>
      <c r="H251" s="175" t="str">
        <f>IF(Valeurs_saisies,IF(colonneA&lt;&gt;"",D251-F251,""),"")</f>
        <v/>
      </c>
      <c r="L251" s="172">
        <f t="shared" si="7"/>
        <v>19</v>
      </c>
    </row>
    <row r="252" spans="2:12" s="169" customFormat="1" ht="14.25" customHeight="1">
      <c r="B252" s="173" t="str">
        <f>IF(Valeurs_saisies,IF(duree_du_pret&gt;L252,B251+1,""),"")</f>
        <v/>
      </c>
      <c r="C252" s="174" t="str">
        <f>IF(Valeurs_saisies,IF(colonneA&lt;&gt;"",DATE(YEAR($D$9),MONTH($D$9)+(colonneA)*12/nombre_versements_an,DAY($D$9)),""),"")</f>
        <v/>
      </c>
      <c r="D252" s="175" t="str">
        <f>IF(Valeurs_saisies,IF(colonneA&lt;&gt;"",H251,""),"")</f>
        <v/>
      </c>
      <c r="E252" s="175" t="str">
        <f t="shared" si="6"/>
        <v/>
      </c>
      <c r="F252" s="175" t="str">
        <f>IF(Valeurs_saisies,IF(colonneA&lt;&gt;"",mensualite-G252,""),"")</f>
        <v/>
      </c>
      <c r="G252" s="175" t="str">
        <f>IF(Valeurs_saisies,IF(colonneA&lt;&gt;"",capital_restant_du*(taux_interet_annueld/nombre_versements_an),""),"")</f>
        <v/>
      </c>
      <c r="H252" s="175" t="str">
        <f>IF(Valeurs_saisies,IF(colonneA&lt;&gt;"",D252-F252,""),"")</f>
        <v/>
      </c>
      <c r="L252" s="172">
        <f t="shared" si="7"/>
        <v>20</v>
      </c>
    </row>
    <row r="253" spans="2:12" s="169" customFormat="1" ht="14.25" customHeight="1">
      <c r="B253" s="173" t="str">
        <f>IF(Valeurs_saisies,IF(duree_du_pret&gt;L253,B252+1,""),"")</f>
        <v/>
      </c>
      <c r="C253" s="174" t="str">
        <f>IF(Valeurs_saisies,IF(colonneA&lt;&gt;"",DATE(YEAR($D$9),MONTH($D$9)+(colonneA)*12/nombre_versements_an,DAY($D$9)),""),"")</f>
        <v/>
      </c>
      <c r="D253" s="175" t="str">
        <f>IF(Valeurs_saisies,IF(colonneA&lt;&gt;"",H252,""),"")</f>
        <v/>
      </c>
      <c r="E253" s="175" t="str">
        <f t="shared" si="6"/>
        <v/>
      </c>
      <c r="F253" s="175" t="str">
        <f>IF(Valeurs_saisies,IF(colonneA&lt;&gt;"",mensualite-G253,""),"")</f>
        <v/>
      </c>
      <c r="G253" s="175" t="str">
        <f>IF(Valeurs_saisies,IF(colonneA&lt;&gt;"",capital_restant_du*(taux_interet_annueld/nombre_versements_an),""),"")</f>
        <v/>
      </c>
      <c r="H253" s="175" t="str">
        <f>IF(Valeurs_saisies,IF(colonneA&lt;&gt;"",D253-F253,""),"")</f>
        <v/>
      </c>
      <c r="L253" s="172">
        <f t="shared" si="7"/>
        <v>20</v>
      </c>
    </row>
    <row r="254" spans="2:12" s="169" customFormat="1" ht="14.25" customHeight="1">
      <c r="B254" s="173" t="str">
        <f>IF(Valeurs_saisies,IF(duree_du_pret&gt;L254,B253+1,""),"")</f>
        <v/>
      </c>
      <c r="C254" s="174" t="str">
        <f>IF(Valeurs_saisies,IF(colonneA&lt;&gt;"",DATE(YEAR($D$9),MONTH($D$9)+(colonneA)*12/nombre_versements_an,DAY($D$9)),""),"")</f>
        <v/>
      </c>
      <c r="D254" s="175" t="str">
        <f>IF(Valeurs_saisies,IF(colonneA&lt;&gt;"",H253,""),"")</f>
        <v/>
      </c>
      <c r="E254" s="175" t="str">
        <f t="shared" si="6"/>
        <v/>
      </c>
      <c r="F254" s="175" t="str">
        <f>IF(Valeurs_saisies,IF(colonneA&lt;&gt;"",mensualite-G254,""),"")</f>
        <v/>
      </c>
      <c r="G254" s="175" t="str">
        <f>IF(Valeurs_saisies,IF(colonneA&lt;&gt;"",capital_restant_du*(taux_interet_annueld/nombre_versements_an),""),"")</f>
        <v/>
      </c>
      <c r="H254" s="175" t="str">
        <f>IF(Valeurs_saisies,IF(colonneA&lt;&gt;"",D254-F254,""),"")</f>
        <v/>
      </c>
      <c r="L254" s="172">
        <f t="shared" si="7"/>
        <v>20</v>
      </c>
    </row>
    <row r="255" spans="2:12" s="169" customFormat="1" ht="14.25" customHeight="1">
      <c r="B255" s="173" t="str">
        <f>IF(Valeurs_saisies,IF(duree_du_pret&gt;L255,B254+1,""),"")</f>
        <v/>
      </c>
      <c r="C255" s="174" t="str">
        <f>IF(Valeurs_saisies,IF(colonneA&lt;&gt;"",DATE(YEAR($D$9),MONTH($D$9)+(colonneA)*12/nombre_versements_an,DAY($D$9)),""),"")</f>
        <v/>
      </c>
      <c r="D255" s="175" t="str">
        <f>IF(Valeurs_saisies,IF(colonneA&lt;&gt;"",H254,""),"")</f>
        <v/>
      </c>
      <c r="E255" s="175" t="str">
        <f t="shared" si="6"/>
        <v/>
      </c>
      <c r="F255" s="175" t="str">
        <f>IF(Valeurs_saisies,IF(colonneA&lt;&gt;"",mensualite-G255,""),"")</f>
        <v/>
      </c>
      <c r="G255" s="175" t="str">
        <f>IF(Valeurs_saisies,IF(colonneA&lt;&gt;"",capital_restant_du*(taux_interet_annueld/nombre_versements_an),""),"")</f>
        <v/>
      </c>
      <c r="H255" s="175" t="str">
        <f>IF(Valeurs_saisies,IF(colonneA&lt;&gt;"",D255-F255,""),"")</f>
        <v/>
      </c>
      <c r="L255" s="172">
        <f t="shared" si="7"/>
        <v>20</v>
      </c>
    </row>
    <row r="256" spans="2:12" s="169" customFormat="1" ht="14.25" customHeight="1">
      <c r="B256" s="173" t="str">
        <f>IF(Valeurs_saisies,IF(duree_du_pret&gt;L256,B255+1,""),"")</f>
        <v/>
      </c>
      <c r="C256" s="174" t="str">
        <f>IF(Valeurs_saisies,IF(colonneA&lt;&gt;"",DATE(YEAR($D$9),MONTH($D$9)+(colonneA)*12/nombre_versements_an,DAY($D$9)),""),"")</f>
        <v/>
      </c>
      <c r="D256" s="175" t="str">
        <f>IF(Valeurs_saisies,IF(colonneA&lt;&gt;"",H255,""),"")</f>
        <v/>
      </c>
      <c r="E256" s="175" t="str">
        <f t="shared" si="6"/>
        <v/>
      </c>
      <c r="F256" s="175" t="str">
        <f>IF(Valeurs_saisies,IF(colonneA&lt;&gt;"",mensualite-G256,""),"")</f>
        <v/>
      </c>
      <c r="G256" s="175" t="str">
        <f>IF(Valeurs_saisies,IF(colonneA&lt;&gt;"",capital_restant_du*(taux_interet_annueld/nombre_versements_an),""),"")</f>
        <v/>
      </c>
      <c r="H256" s="175" t="str">
        <f>IF(Valeurs_saisies,IF(colonneA&lt;&gt;"",D256-F256,""),"")</f>
        <v/>
      </c>
      <c r="L256" s="172">
        <f t="shared" si="7"/>
        <v>20</v>
      </c>
    </row>
    <row r="257" spans="2:12" s="169" customFormat="1" ht="14.25" customHeight="1">
      <c r="B257" s="173" t="str">
        <f>IF(Valeurs_saisies,IF(duree_du_pret&gt;L257,B256+1,""),"")</f>
        <v/>
      </c>
      <c r="C257" s="174" t="str">
        <f>IF(Valeurs_saisies,IF(colonneA&lt;&gt;"",DATE(YEAR($D$9),MONTH($D$9)+(colonneA)*12/nombre_versements_an,DAY($D$9)),""),"")</f>
        <v/>
      </c>
      <c r="D257" s="175" t="str">
        <f>IF(Valeurs_saisies,IF(colonneA&lt;&gt;"",H256,""),"")</f>
        <v/>
      </c>
      <c r="E257" s="175" t="str">
        <f t="shared" si="6"/>
        <v/>
      </c>
      <c r="F257" s="175" t="str">
        <f>IF(Valeurs_saisies,IF(colonneA&lt;&gt;"",mensualite-G257,""),"")</f>
        <v/>
      </c>
      <c r="G257" s="175" t="str">
        <f>IF(Valeurs_saisies,IF(colonneA&lt;&gt;"",capital_restant_du*(taux_interet_annueld/nombre_versements_an),""),"")</f>
        <v/>
      </c>
      <c r="H257" s="175" t="str">
        <f>IF(Valeurs_saisies,IF(colonneA&lt;&gt;"",D257-F257,""),"")</f>
        <v/>
      </c>
      <c r="L257" s="172">
        <f t="shared" si="7"/>
        <v>20</v>
      </c>
    </row>
    <row r="258" spans="2:12" s="169" customFormat="1" ht="14.25" customHeight="1">
      <c r="B258" s="173" t="str">
        <f>IF(Valeurs_saisies,IF(duree_du_pret&gt;L258,B257+1,""),"")</f>
        <v/>
      </c>
      <c r="C258" s="174" t="str">
        <f>IF(Valeurs_saisies,IF(colonneA&lt;&gt;"",DATE(YEAR($D$9),MONTH($D$9)+(colonneA)*12/nombre_versements_an,DAY($D$9)),""),"")</f>
        <v/>
      </c>
      <c r="D258" s="175" t="str">
        <f>IF(Valeurs_saisies,IF(colonneA&lt;&gt;"",H257,""),"")</f>
        <v/>
      </c>
      <c r="E258" s="175" t="str">
        <f t="shared" si="6"/>
        <v/>
      </c>
      <c r="F258" s="175" t="str">
        <f>IF(Valeurs_saisies,IF(colonneA&lt;&gt;"",mensualite-G258,""),"")</f>
        <v/>
      </c>
      <c r="G258" s="175" t="str">
        <f>IF(Valeurs_saisies,IF(colonneA&lt;&gt;"",capital_restant_du*(taux_interet_annueld/nombre_versements_an),""),"")</f>
        <v/>
      </c>
      <c r="H258" s="175" t="str">
        <f>IF(Valeurs_saisies,IF(colonneA&lt;&gt;"",D258-F258,""),"")</f>
        <v/>
      </c>
      <c r="L258" s="172">
        <f t="shared" si="7"/>
        <v>20</v>
      </c>
    </row>
    <row r="259" spans="2:12" s="169" customFormat="1" ht="14.25" customHeight="1">
      <c r="B259" s="173" t="str">
        <f>IF(Valeurs_saisies,IF(duree_du_pret&gt;L259,B258+1,""),"")</f>
        <v/>
      </c>
      <c r="C259" s="174" t="str">
        <f>IF(Valeurs_saisies,IF(colonneA&lt;&gt;"",DATE(YEAR($D$9),MONTH($D$9)+(colonneA)*12/nombre_versements_an,DAY($D$9)),""),"")</f>
        <v/>
      </c>
      <c r="D259" s="175" t="str">
        <f>IF(Valeurs_saisies,IF(colonneA&lt;&gt;"",H258,""),"")</f>
        <v/>
      </c>
      <c r="E259" s="175" t="str">
        <f t="shared" si="6"/>
        <v/>
      </c>
      <c r="F259" s="175" t="str">
        <f>IF(Valeurs_saisies,IF(colonneA&lt;&gt;"",mensualite-G259,""),"")</f>
        <v/>
      </c>
      <c r="G259" s="175" t="str">
        <f>IF(Valeurs_saisies,IF(colonneA&lt;&gt;"",capital_restant_du*(taux_interet_annueld/nombre_versements_an),""),"")</f>
        <v/>
      </c>
      <c r="H259" s="175" t="str">
        <f>IF(Valeurs_saisies,IF(colonneA&lt;&gt;"",D259-F259,""),"")</f>
        <v/>
      </c>
      <c r="L259" s="172">
        <f t="shared" si="7"/>
        <v>20</v>
      </c>
    </row>
    <row r="260" spans="2:12" s="169" customFormat="1" ht="14.25" customHeight="1">
      <c r="B260" s="173" t="str">
        <f>IF(Valeurs_saisies,IF(duree_du_pret&gt;L260,B259+1,""),"")</f>
        <v/>
      </c>
      <c r="C260" s="174" t="str">
        <f>IF(Valeurs_saisies,IF(colonneA&lt;&gt;"",DATE(YEAR($D$9),MONTH($D$9)+(colonneA)*12/nombre_versements_an,DAY($D$9)),""),"")</f>
        <v/>
      </c>
      <c r="D260" s="175" t="str">
        <f>IF(Valeurs_saisies,IF(colonneA&lt;&gt;"",H259,""),"")</f>
        <v/>
      </c>
      <c r="E260" s="175" t="str">
        <f t="shared" si="6"/>
        <v/>
      </c>
      <c r="F260" s="175" t="str">
        <f>IF(Valeurs_saisies,IF(colonneA&lt;&gt;"",mensualite-G260,""),"")</f>
        <v/>
      </c>
      <c r="G260" s="175" t="str">
        <f>IF(Valeurs_saisies,IF(colonneA&lt;&gt;"",capital_restant_du*(taux_interet_annueld/nombre_versements_an),""),"")</f>
        <v/>
      </c>
      <c r="H260" s="175" t="str">
        <f>IF(Valeurs_saisies,IF(colonneA&lt;&gt;"",D260-F260,""),"")</f>
        <v/>
      </c>
      <c r="L260" s="172">
        <f t="shared" si="7"/>
        <v>20</v>
      </c>
    </row>
    <row r="261" spans="2:12" s="169" customFormat="1" ht="14.25" customHeight="1">
      <c r="B261" s="173" t="str">
        <f>IF(Valeurs_saisies,IF(duree_du_pret&gt;L261,B260+1,""),"")</f>
        <v/>
      </c>
      <c r="C261" s="174" t="str">
        <f>IF(Valeurs_saisies,IF(colonneA&lt;&gt;"",DATE(YEAR($D$9),MONTH($D$9)+(colonneA)*12/nombre_versements_an,DAY($D$9)),""),"")</f>
        <v/>
      </c>
      <c r="D261" s="175" t="str">
        <f>IF(Valeurs_saisies,IF(colonneA&lt;&gt;"",H260,""),"")</f>
        <v/>
      </c>
      <c r="E261" s="175" t="str">
        <f t="shared" si="6"/>
        <v/>
      </c>
      <c r="F261" s="175" t="str">
        <f>IF(Valeurs_saisies,IF(colonneA&lt;&gt;"",mensualite-G261,""),"")</f>
        <v/>
      </c>
      <c r="G261" s="175" t="str">
        <f>IF(Valeurs_saisies,IF(colonneA&lt;&gt;"",capital_restant_du*(taux_interet_annueld/nombre_versements_an),""),"")</f>
        <v/>
      </c>
      <c r="H261" s="175" t="str">
        <f>IF(Valeurs_saisies,IF(colonneA&lt;&gt;"",D261-F261,""),"")</f>
        <v/>
      </c>
      <c r="L261" s="172">
        <f t="shared" si="7"/>
        <v>20</v>
      </c>
    </row>
    <row r="262" spans="2:12" s="169" customFormat="1" ht="14.25" customHeight="1">
      <c r="B262" s="173" t="str">
        <f>IF(Valeurs_saisies,IF(duree_du_pret&gt;L262,B261+1,""),"")</f>
        <v/>
      </c>
      <c r="C262" s="174" t="str">
        <f>IF(Valeurs_saisies,IF(colonneA&lt;&gt;"",DATE(YEAR($D$9),MONTH($D$9)+(colonneA)*12/nombre_versements_an,DAY($D$9)),""),"")</f>
        <v/>
      </c>
      <c r="D262" s="175" t="str">
        <f>IF(Valeurs_saisies,IF(colonneA&lt;&gt;"",H261,""),"")</f>
        <v/>
      </c>
      <c r="E262" s="175" t="str">
        <f t="shared" si="6"/>
        <v/>
      </c>
      <c r="F262" s="175" t="str">
        <f>IF(Valeurs_saisies,IF(colonneA&lt;&gt;"",mensualite-G262,""),"")</f>
        <v/>
      </c>
      <c r="G262" s="175" t="str">
        <f>IF(Valeurs_saisies,IF(colonneA&lt;&gt;"",capital_restant_du*(taux_interet_annueld/nombre_versements_an),""),"")</f>
        <v/>
      </c>
      <c r="H262" s="175" t="str">
        <f>IF(Valeurs_saisies,IF(colonneA&lt;&gt;"",D262-F262,""),"")</f>
        <v/>
      </c>
      <c r="L262" s="172">
        <f t="shared" si="7"/>
        <v>20</v>
      </c>
    </row>
    <row r="263" spans="2:12" s="169" customFormat="1" ht="14.25" customHeight="1">
      <c r="B263" s="173" t="str">
        <f>IF(Valeurs_saisies,IF(duree_du_pret&gt;L263,B262+1,""),"")</f>
        <v/>
      </c>
      <c r="C263" s="174" t="str">
        <f>IF(Valeurs_saisies,IF(colonneA&lt;&gt;"",DATE(YEAR($D$9),MONTH($D$9)+(colonneA)*12/nombre_versements_an,DAY($D$9)),""),"")</f>
        <v/>
      </c>
      <c r="D263" s="175" t="str">
        <f>IF(Valeurs_saisies,IF(colonneA&lt;&gt;"",H262,""),"")</f>
        <v/>
      </c>
      <c r="E263" s="175" t="str">
        <f t="shared" si="6"/>
        <v/>
      </c>
      <c r="F263" s="175" t="str">
        <f>IF(Valeurs_saisies,IF(colonneA&lt;&gt;"",mensualite-G263,""),"")</f>
        <v/>
      </c>
      <c r="G263" s="175" t="str">
        <f>IF(Valeurs_saisies,IF(colonneA&lt;&gt;"",capital_restant_du*(taux_interet_annueld/nombre_versements_an),""),"")</f>
        <v/>
      </c>
      <c r="H263" s="175" t="str">
        <f>IF(Valeurs_saisies,IF(colonneA&lt;&gt;"",D263-F263,""),"")</f>
        <v/>
      </c>
      <c r="L263" s="172">
        <f t="shared" si="7"/>
        <v>20</v>
      </c>
    </row>
    <row r="264" spans="2:12" s="169" customFormat="1" ht="14.25" customHeight="1">
      <c r="B264" s="173" t="str">
        <f>IF(Valeurs_saisies,IF(duree_du_pret&gt;L264,B263+1,""),"")</f>
        <v/>
      </c>
      <c r="C264" s="174" t="str">
        <f>IF(Valeurs_saisies,IF(colonneA&lt;&gt;"",DATE(YEAR($D$9),MONTH($D$9)+(colonneA)*12/nombre_versements_an,DAY($D$9)),""),"")</f>
        <v/>
      </c>
      <c r="D264" s="175" t="str">
        <f>IF(Valeurs_saisies,IF(colonneA&lt;&gt;"",H263,""),"")</f>
        <v/>
      </c>
      <c r="E264" s="175" t="str">
        <f t="shared" si="6"/>
        <v/>
      </c>
      <c r="F264" s="175" t="str">
        <f>IF(Valeurs_saisies,IF(colonneA&lt;&gt;"",mensualite-G264,""),"")</f>
        <v/>
      </c>
      <c r="G264" s="175" t="str">
        <f>IF(Valeurs_saisies,IF(colonneA&lt;&gt;"",capital_restant_du*(taux_interet_annueld/nombre_versements_an),""),"")</f>
        <v/>
      </c>
      <c r="H264" s="175" t="str">
        <f>IF(Valeurs_saisies,IF(colonneA&lt;&gt;"",D264-F264,""),"")</f>
        <v/>
      </c>
      <c r="L264" s="172">
        <f t="shared" si="7"/>
        <v>21</v>
      </c>
    </row>
    <row r="265" spans="2:12" s="169" customFormat="1" ht="14.25" customHeight="1">
      <c r="B265" s="173" t="str">
        <f>IF(Valeurs_saisies,IF(duree_du_pret&gt;L265,B264+1,""),"")</f>
        <v/>
      </c>
      <c r="C265" s="174" t="str">
        <f>IF(Valeurs_saisies,IF(colonneA&lt;&gt;"",DATE(YEAR($D$9),MONTH($D$9)+(colonneA)*12/nombre_versements_an,DAY($D$9)),""),"")</f>
        <v/>
      </c>
      <c r="D265" s="175" t="str">
        <f>IF(Valeurs_saisies,IF(colonneA&lt;&gt;"",H264,""),"")</f>
        <v/>
      </c>
      <c r="E265" s="175" t="str">
        <f t="shared" si="6"/>
        <v/>
      </c>
      <c r="F265" s="175" t="str">
        <f>IF(Valeurs_saisies,IF(colonneA&lt;&gt;"",mensualite-G265,""),"")</f>
        <v/>
      </c>
      <c r="G265" s="175" t="str">
        <f>IF(Valeurs_saisies,IF(colonneA&lt;&gt;"",capital_restant_du*(taux_interet_annueld/nombre_versements_an),""),"")</f>
        <v/>
      </c>
      <c r="H265" s="175" t="str">
        <f>IF(Valeurs_saisies,IF(colonneA&lt;&gt;"",D265-F265,""),"")</f>
        <v/>
      </c>
      <c r="L265" s="172">
        <f t="shared" si="7"/>
        <v>21</v>
      </c>
    </row>
    <row r="266" spans="2:12" s="169" customFormat="1" ht="14.25" customHeight="1">
      <c r="B266" s="173" t="str">
        <f>IF(Valeurs_saisies,IF(duree_du_pret&gt;L266,B265+1,""),"")</f>
        <v/>
      </c>
      <c r="C266" s="174" t="str">
        <f>IF(Valeurs_saisies,IF(colonneA&lt;&gt;"",DATE(YEAR($D$9),MONTH($D$9)+(colonneA)*12/nombre_versements_an,DAY($D$9)),""),"")</f>
        <v/>
      </c>
      <c r="D266" s="175" t="str">
        <f>IF(Valeurs_saisies,IF(colonneA&lt;&gt;"",H265,""),"")</f>
        <v/>
      </c>
      <c r="E266" s="175" t="str">
        <f t="shared" si="6"/>
        <v/>
      </c>
      <c r="F266" s="175" t="str">
        <f>IF(Valeurs_saisies,IF(colonneA&lt;&gt;"",mensualite-G266,""),"")</f>
        <v/>
      </c>
      <c r="G266" s="175" t="str">
        <f>IF(Valeurs_saisies,IF(colonneA&lt;&gt;"",capital_restant_du*(taux_interet_annueld/nombre_versements_an),""),"")</f>
        <v/>
      </c>
      <c r="H266" s="175" t="str">
        <f>IF(Valeurs_saisies,IF(colonneA&lt;&gt;"",D266-F266,""),"")</f>
        <v/>
      </c>
      <c r="L266" s="172">
        <f t="shared" si="7"/>
        <v>21</v>
      </c>
    </row>
    <row r="267" spans="2:12" s="169" customFormat="1" ht="14.25" customHeight="1">
      <c r="B267" s="173" t="str">
        <f>IF(Valeurs_saisies,IF(duree_du_pret&gt;L267,B266+1,""),"")</f>
        <v/>
      </c>
      <c r="C267" s="174" t="str">
        <f>IF(Valeurs_saisies,IF(colonneA&lt;&gt;"",DATE(YEAR($D$9),MONTH($D$9)+(colonneA)*12/nombre_versements_an,DAY($D$9)),""),"")</f>
        <v/>
      </c>
      <c r="D267" s="175" t="str">
        <f>IF(Valeurs_saisies,IF(colonneA&lt;&gt;"",H266,""),"")</f>
        <v/>
      </c>
      <c r="E267" s="175" t="str">
        <f t="shared" si="6"/>
        <v/>
      </c>
      <c r="F267" s="175" t="str">
        <f>IF(Valeurs_saisies,IF(colonneA&lt;&gt;"",mensualite-G267,""),"")</f>
        <v/>
      </c>
      <c r="G267" s="175" t="str">
        <f>IF(Valeurs_saisies,IF(colonneA&lt;&gt;"",capital_restant_du*(taux_interet_annueld/nombre_versements_an),""),"")</f>
        <v/>
      </c>
      <c r="H267" s="175" t="str">
        <f>IF(Valeurs_saisies,IF(colonneA&lt;&gt;"",D267-F267,""),"")</f>
        <v/>
      </c>
      <c r="L267" s="172">
        <f t="shared" si="7"/>
        <v>21</v>
      </c>
    </row>
    <row r="268" spans="2:12" s="169" customFormat="1" ht="14.25" customHeight="1">
      <c r="B268" s="173" t="str">
        <f>IF(Valeurs_saisies,IF(duree_du_pret&gt;L268,B267+1,""),"")</f>
        <v/>
      </c>
      <c r="C268" s="174" t="str">
        <f>IF(Valeurs_saisies,IF(colonneA&lt;&gt;"",DATE(YEAR($D$9),MONTH($D$9)+(colonneA)*12/nombre_versements_an,DAY($D$9)),""),"")</f>
        <v/>
      </c>
      <c r="D268" s="175" t="str">
        <f>IF(Valeurs_saisies,IF(colonneA&lt;&gt;"",H267,""),"")</f>
        <v/>
      </c>
      <c r="E268" s="175" t="str">
        <f t="shared" ref="E268:E331" si="8">IF(colonneA&lt;&gt;"",$H$5,"")</f>
        <v/>
      </c>
      <c r="F268" s="175" t="str">
        <f>IF(Valeurs_saisies,IF(colonneA&lt;&gt;"",mensualite-G268,""),"")</f>
        <v/>
      </c>
      <c r="G268" s="175" t="str">
        <f>IF(Valeurs_saisies,IF(colonneA&lt;&gt;"",capital_restant_du*(taux_interet_annueld/nombre_versements_an),""),"")</f>
        <v/>
      </c>
      <c r="H268" s="175" t="str">
        <f>IF(Valeurs_saisies,IF(colonneA&lt;&gt;"",D268-F268,""),"")</f>
        <v/>
      </c>
      <c r="L268" s="172">
        <f t="shared" si="7"/>
        <v>21</v>
      </c>
    </row>
    <row r="269" spans="2:12" s="169" customFormat="1" ht="14.25" customHeight="1">
      <c r="B269" s="173" t="str">
        <f>IF(Valeurs_saisies,IF(duree_du_pret&gt;L269,B268+1,""),"")</f>
        <v/>
      </c>
      <c r="C269" s="174" t="str">
        <f>IF(Valeurs_saisies,IF(colonneA&lt;&gt;"",DATE(YEAR($D$9),MONTH($D$9)+(colonneA)*12/nombre_versements_an,DAY($D$9)),""),"")</f>
        <v/>
      </c>
      <c r="D269" s="175" t="str">
        <f>IF(Valeurs_saisies,IF(colonneA&lt;&gt;"",H268,""),"")</f>
        <v/>
      </c>
      <c r="E269" s="175" t="str">
        <f t="shared" si="8"/>
        <v/>
      </c>
      <c r="F269" s="175" t="str">
        <f>IF(Valeurs_saisies,IF(colonneA&lt;&gt;"",mensualite-G269,""),"")</f>
        <v/>
      </c>
      <c r="G269" s="175" t="str">
        <f>IF(Valeurs_saisies,IF(colonneA&lt;&gt;"",capital_restant_du*(taux_interet_annueld/nombre_versements_an),""),"")</f>
        <v/>
      </c>
      <c r="H269" s="175" t="str">
        <f>IF(Valeurs_saisies,IF(colonneA&lt;&gt;"",D269-F269,""),"")</f>
        <v/>
      </c>
      <c r="L269" s="172">
        <f t="shared" si="7"/>
        <v>21</v>
      </c>
    </row>
    <row r="270" spans="2:12" s="169" customFormat="1" ht="14.25" customHeight="1">
      <c r="B270" s="173" t="str">
        <f>IF(Valeurs_saisies,IF(duree_du_pret&gt;L270,B269+1,""),"")</f>
        <v/>
      </c>
      <c r="C270" s="174" t="str">
        <f>IF(Valeurs_saisies,IF(colonneA&lt;&gt;"",DATE(YEAR($D$9),MONTH($D$9)+(colonneA)*12/nombre_versements_an,DAY($D$9)),""),"")</f>
        <v/>
      </c>
      <c r="D270" s="175" t="str">
        <f>IF(Valeurs_saisies,IF(colonneA&lt;&gt;"",H269,""),"")</f>
        <v/>
      </c>
      <c r="E270" s="175" t="str">
        <f t="shared" si="8"/>
        <v/>
      </c>
      <c r="F270" s="175" t="str">
        <f>IF(Valeurs_saisies,IF(colonneA&lt;&gt;"",mensualite-G270,""),"")</f>
        <v/>
      </c>
      <c r="G270" s="175" t="str">
        <f>IF(Valeurs_saisies,IF(colonneA&lt;&gt;"",capital_restant_du*(taux_interet_annueld/nombre_versements_an),""),"")</f>
        <v/>
      </c>
      <c r="H270" s="175" t="str">
        <f>IF(Valeurs_saisies,IF(colonneA&lt;&gt;"",D270-F270,""),"")</f>
        <v/>
      </c>
      <c r="L270" s="172">
        <f t="shared" si="7"/>
        <v>21</v>
      </c>
    </row>
    <row r="271" spans="2:12" s="169" customFormat="1" ht="14.25" customHeight="1">
      <c r="B271" s="173" t="str">
        <f>IF(Valeurs_saisies,IF(duree_du_pret&gt;L271,B270+1,""),"")</f>
        <v/>
      </c>
      <c r="C271" s="174" t="str">
        <f>IF(Valeurs_saisies,IF(colonneA&lt;&gt;"",DATE(YEAR($D$9),MONTH($D$9)+(colonneA)*12/nombre_versements_an,DAY($D$9)),""),"")</f>
        <v/>
      </c>
      <c r="D271" s="175" t="str">
        <f>IF(Valeurs_saisies,IF(colonneA&lt;&gt;"",H270,""),"")</f>
        <v/>
      </c>
      <c r="E271" s="175" t="str">
        <f t="shared" si="8"/>
        <v/>
      </c>
      <c r="F271" s="175" t="str">
        <f>IF(Valeurs_saisies,IF(colonneA&lt;&gt;"",mensualite-G271,""),"")</f>
        <v/>
      </c>
      <c r="G271" s="175" t="str">
        <f>IF(Valeurs_saisies,IF(colonneA&lt;&gt;"",capital_restant_du*(taux_interet_annueld/nombre_versements_an),""),"")</f>
        <v/>
      </c>
      <c r="H271" s="175" t="str">
        <f>IF(Valeurs_saisies,IF(colonneA&lt;&gt;"",D271-F271,""),"")</f>
        <v/>
      </c>
      <c r="L271" s="172">
        <f t="shared" si="7"/>
        <v>21</v>
      </c>
    </row>
    <row r="272" spans="2:12" s="169" customFormat="1" ht="14.25" customHeight="1">
      <c r="B272" s="173" t="str">
        <f>IF(Valeurs_saisies,IF(duree_du_pret&gt;L272,B271+1,""),"")</f>
        <v/>
      </c>
      <c r="C272" s="174" t="str">
        <f>IF(Valeurs_saisies,IF(colonneA&lt;&gt;"",DATE(YEAR($D$9),MONTH($D$9)+(colonneA)*12/nombre_versements_an,DAY($D$9)),""),"")</f>
        <v/>
      </c>
      <c r="D272" s="175" t="str">
        <f>IF(Valeurs_saisies,IF(colonneA&lt;&gt;"",H271,""),"")</f>
        <v/>
      </c>
      <c r="E272" s="175" t="str">
        <f t="shared" si="8"/>
        <v/>
      </c>
      <c r="F272" s="175" t="str">
        <f>IF(Valeurs_saisies,IF(colonneA&lt;&gt;"",mensualite-G272,""),"")</f>
        <v/>
      </c>
      <c r="G272" s="175" t="str">
        <f>IF(Valeurs_saisies,IF(colonneA&lt;&gt;"",capital_restant_du*(taux_interet_annueld/nombre_versements_an),""),"")</f>
        <v/>
      </c>
      <c r="H272" s="175" t="str">
        <f>IF(Valeurs_saisies,IF(colonneA&lt;&gt;"",D272-F272,""),"")</f>
        <v/>
      </c>
      <c r="L272" s="172">
        <f t="shared" si="7"/>
        <v>21</v>
      </c>
    </row>
    <row r="273" spans="2:12" s="169" customFormat="1" ht="14.25" customHeight="1">
      <c r="B273" s="173" t="str">
        <f>IF(Valeurs_saisies,IF(duree_du_pret&gt;L273,B272+1,""),"")</f>
        <v/>
      </c>
      <c r="C273" s="174" t="str">
        <f>IF(Valeurs_saisies,IF(colonneA&lt;&gt;"",DATE(YEAR($D$9),MONTH($D$9)+(colonneA)*12/nombre_versements_an,DAY($D$9)),""),"")</f>
        <v/>
      </c>
      <c r="D273" s="175" t="str">
        <f>IF(Valeurs_saisies,IF(colonneA&lt;&gt;"",H272,""),"")</f>
        <v/>
      </c>
      <c r="E273" s="175" t="str">
        <f t="shared" si="8"/>
        <v/>
      </c>
      <c r="F273" s="175" t="str">
        <f>IF(Valeurs_saisies,IF(colonneA&lt;&gt;"",mensualite-G273,""),"")</f>
        <v/>
      </c>
      <c r="G273" s="175" t="str">
        <f>IF(Valeurs_saisies,IF(colonneA&lt;&gt;"",capital_restant_du*(taux_interet_annueld/nombre_versements_an),""),"")</f>
        <v/>
      </c>
      <c r="H273" s="175" t="str">
        <f>IF(Valeurs_saisies,IF(colonneA&lt;&gt;"",D273-F273,""),"")</f>
        <v/>
      </c>
      <c r="L273" s="172">
        <f t="shared" si="7"/>
        <v>21</v>
      </c>
    </row>
    <row r="274" spans="2:12" s="169" customFormat="1" ht="14.25" customHeight="1">
      <c r="B274" s="173" t="str">
        <f>IF(Valeurs_saisies,IF(duree_du_pret&gt;L274,B273+1,""),"")</f>
        <v/>
      </c>
      <c r="C274" s="174" t="str">
        <f>IF(Valeurs_saisies,IF(colonneA&lt;&gt;"",DATE(YEAR($D$9),MONTH($D$9)+(colonneA)*12/nombre_versements_an,DAY($D$9)),""),"")</f>
        <v/>
      </c>
      <c r="D274" s="175" t="str">
        <f>IF(Valeurs_saisies,IF(colonneA&lt;&gt;"",H273,""),"")</f>
        <v/>
      </c>
      <c r="E274" s="175" t="str">
        <f t="shared" si="8"/>
        <v/>
      </c>
      <c r="F274" s="175" t="str">
        <f>IF(Valeurs_saisies,IF(colonneA&lt;&gt;"",mensualite-G274,""),"")</f>
        <v/>
      </c>
      <c r="G274" s="175" t="str">
        <f>IF(Valeurs_saisies,IF(colonneA&lt;&gt;"",capital_restant_du*(taux_interet_annueld/nombre_versements_an),""),"")</f>
        <v/>
      </c>
      <c r="H274" s="175" t="str">
        <f>IF(Valeurs_saisies,IF(colonneA&lt;&gt;"",D274-F274,""),"")</f>
        <v/>
      </c>
      <c r="L274" s="172">
        <f t="shared" si="7"/>
        <v>21</v>
      </c>
    </row>
    <row r="275" spans="2:12" s="169" customFormat="1" ht="14.25" customHeight="1">
      <c r="B275" s="173" t="str">
        <f>IF(Valeurs_saisies,IF(duree_du_pret&gt;L275,B274+1,""),"")</f>
        <v/>
      </c>
      <c r="C275" s="174" t="str">
        <f>IF(Valeurs_saisies,IF(colonneA&lt;&gt;"",DATE(YEAR($D$9),MONTH($D$9)+(colonneA)*12/nombre_versements_an,DAY($D$9)),""),"")</f>
        <v/>
      </c>
      <c r="D275" s="175" t="str">
        <f>IF(Valeurs_saisies,IF(colonneA&lt;&gt;"",H274,""),"")</f>
        <v/>
      </c>
      <c r="E275" s="175" t="str">
        <f t="shared" si="8"/>
        <v/>
      </c>
      <c r="F275" s="175" t="str">
        <f>IF(Valeurs_saisies,IF(colonneA&lt;&gt;"",mensualite-G275,""),"")</f>
        <v/>
      </c>
      <c r="G275" s="175" t="str">
        <f>IF(Valeurs_saisies,IF(colonneA&lt;&gt;"",capital_restant_du*(taux_interet_annueld/nombre_versements_an),""),"")</f>
        <v/>
      </c>
      <c r="H275" s="175" t="str">
        <f>IF(Valeurs_saisies,IF(colonneA&lt;&gt;"",D275-F275,""),"")</f>
        <v/>
      </c>
      <c r="L275" s="172">
        <f t="shared" si="7"/>
        <v>21</v>
      </c>
    </row>
    <row r="276" spans="2:12" s="169" customFormat="1" ht="14.25" customHeight="1">
      <c r="B276" s="173" t="str">
        <f>IF(Valeurs_saisies,IF(duree_du_pret&gt;L276,B275+1,""),"")</f>
        <v/>
      </c>
      <c r="C276" s="174" t="str">
        <f>IF(Valeurs_saisies,IF(colonneA&lt;&gt;"",DATE(YEAR($D$9),MONTH($D$9)+(colonneA)*12/nombre_versements_an,DAY($D$9)),""),"")</f>
        <v/>
      </c>
      <c r="D276" s="175" t="str">
        <f>IF(Valeurs_saisies,IF(colonneA&lt;&gt;"",H275,""),"")</f>
        <v/>
      </c>
      <c r="E276" s="175" t="str">
        <f t="shared" si="8"/>
        <v/>
      </c>
      <c r="F276" s="175" t="str">
        <f>IF(Valeurs_saisies,IF(colonneA&lt;&gt;"",mensualite-G276,""),"")</f>
        <v/>
      </c>
      <c r="G276" s="175" t="str">
        <f>IF(Valeurs_saisies,IF(colonneA&lt;&gt;"",capital_restant_du*(taux_interet_annueld/nombre_versements_an),""),"")</f>
        <v/>
      </c>
      <c r="H276" s="175" t="str">
        <f>IF(Valeurs_saisies,IF(colonneA&lt;&gt;"",D276-F276,""),"")</f>
        <v/>
      </c>
      <c r="L276" s="172">
        <f t="shared" si="7"/>
        <v>22</v>
      </c>
    </row>
    <row r="277" spans="2:12" s="169" customFormat="1" ht="14.25" customHeight="1">
      <c r="B277" s="173" t="str">
        <f>IF(Valeurs_saisies,IF(duree_du_pret&gt;L277,B276+1,""),"")</f>
        <v/>
      </c>
      <c r="C277" s="174" t="str">
        <f>IF(Valeurs_saisies,IF(colonneA&lt;&gt;"",DATE(YEAR($D$9),MONTH($D$9)+(colonneA)*12/nombre_versements_an,DAY($D$9)),""),"")</f>
        <v/>
      </c>
      <c r="D277" s="175" t="str">
        <f>IF(Valeurs_saisies,IF(colonneA&lt;&gt;"",H276,""),"")</f>
        <v/>
      </c>
      <c r="E277" s="175" t="str">
        <f t="shared" si="8"/>
        <v/>
      </c>
      <c r="F277" s="175" t="str">
        <f>IF(Valeurs_saisies,IF(colonneA&lt;&gt;"",mensualite-G277,""),"")</f>
        <v/>
      </c>
      <c r="G277" s="175" t="str">
        <f>IF(Valeurs_saisies,IF(colonneA&lt;&gt;"",capital_restant_du*(taux_interet_annueld/nombre_versements_an),""),"")</f>
        <v/>
      </c>
      <c r="H277" s="175" t="str">
        <f>IF(Valeurs_saisies,IF(colonneA&lt;&gt;"",D277-F277,""),"")</f>
        <v/>
      </c>
      <c r="L277" s="172">
        <f t="shared" si="7"/>
        <v>22</v>
      </c>
    </row>
    <row r="278" spans="2:12" s="169" customFormat="1" ht="14.25" customHeight="1">
      <c r="B278" s="173" t="str">
        <f>IF(Valeurs_saisies,IF(duree_du_pret&gt;L278,B277+1,""),"")</f>
        <v/>
      </c>
      <c r="C278" s="174" t="str">
        <f>IF(Valeurs_saisies,IF(colonneA&lt;&gt;"",DATE(YEAR($D$9),MONTH($D$9)+(colonneA)*12/nombre_versements_an,DAY($D$9)),""),"")</f>
        <v/>
      </c>
      <c r="D278" s="175" t="str">
        <f>IF(Valeurs_saisies,IF(colonneA&lt;&gt;"",H277,""),"")</f>
        <v/>
      </c>
      <c r="E278" s="175" t="str">
        <f t="shared" si="8"/>
        <v/>
      </c>
      <c r="F278" s="175" t="str">
        <f>IF(Valeurs_saisies,IF(colonneA&lt;&gt;"",mensualite-G278,""),"")</f>
        <v/>
      </c>
      <c r="G278" s="175" t="str">
        <f>IF(Valeurs_saisies,IF(colonneA&lt;&gt;"",capital_restant_du*(taux_interet_annueld/nombre_versements_an),""),"")</f>
        <v/>
      </c>
      <c r="H278" s="175" t="str">
        <f>IF(Valeurs_saisies,IF(colonneA&lt;&gt;"",D278-F278,""),"")</f>
        <v/>
      </c>
      <c r="L278" s="172">
        <f t="shared" si="7"/>
        <v>22</v>
      </c>
    </row>
    <row r="279" spans="2:12" s="169" customFormat="1" ht="14.25" customHeight="1">
      <c r="B279" s="173" t="str">
        <f>IF(Valeurs_saisies,IF(duree_du_pret&gt;L279,B278+1,""),"")</f>
        <v/>
      </c>
      <c r="C279" s="174" t="str">
        <f>IF(Valeurs_saisies,IF(colonneA&lt;&gt;"",DATE(YEAR($D$9),MONTH($D$9)+(colonneA)*12/nombre_versements_an,DAY($D$9)),""),"")</f>
        <v/>
      </c>
      <c r="D279" s="175" t="str">
        <f>IF(Valeurs_saisies,IF(colonneA&lt;&gt;"",H278,""),"")</f>
        <v/>
      </c>
      <c r="E279" s="175" t="str">
        <f t="shared" si="8"/>
        <v/>
      </c>
      <c r="F279" s="175" t="str">
        <f>IF(Valeurs_saisies,IF(colonneA&lt;&gt;"",mensualite-G279,""),"")</f>
        <v/>
      </c>
      <c r="G279" s="175" t="str">
        <f>IF(Valeurs_saisies,IF(colonneA&lt;&gt;"",capital_restant_du*(taux_interet_annueld/nombre_versements_an),""),"")</f>
        <v/>
      </c>
      <c r="H279" s="175" t="str">
        <f>IF(Valeurs_saisies,IF(colonneA&lt;&gt;"",D279-F279,""),"")</f>
        <v/>
      </c>
      <c r="L279" s="172">
        <f t="shared" si="7"/>
        <v>22</v>
      </c>
    </row>
    <row r="280" spans="2:12" s="169" customFormat="1" ht="14.25" customHeight="1">
      <c r="B280" s="173" t="str">
        <f>IF(Valeurs_saisies,IF(duree_du_pret&gt;L280,B279+1,""),"")</f>
        <v/>
      </c>
      <c r="C280" s="174" t="str">
        <f>IF(Valeurs_saisies,IF(colonneA&lt;&gt;"",DATE(YEAR($D$9),MONTH($D$9)+(colonneA)*12/nombre_versements_an,DAY($D$9)),""),"")</f>
        <v/>
      </c>
      <c r="D280" s="175" t="str">
        <f>IF(Valeurs_saisies,IF(colonneA&lt;&gt;"",H279,""),"")</f>
        <v/>
      </c>
      <c r="E280" s="175" t="str">
        <f t="shared" si="8"/>
        <v/>
      </c>
      <c r="F280" s="175" t="str">
        <f>IF(Valeurs_saisies,IF(colonneA&lt;&gt;"",mensualite-G280,""),"")</f>
        <v/>
      </c>
      <c r="G280" s="175" t="str">
        <f>IF(Valeurs_saisies,IF(colonneA&lt;&gt;"",capital_restant_du*(taux_interet_annueld/nombre_versements_an),""),"")</f>
        <v/>
      </c>
      <c r="H280" s="175" t="str">
        <f>IF(Valeurs_saisies,IF(colonneA&lt;&gt;"",D280-F280,""),"")</f>
        <v/>
      </c>
      <c r="L280" s="172">
        <f t="shared" si="7"/>
        <v>22</v>
      </c>
    </row>
    <row r="281" spans="2:12" s="169" customFormat="1" ht="14.25" customHeight="1">
      <c r="B281" s="173" t="str">
        <f>IF(Valeurs_saisies,IF(duree_du_pret&gt;L281,B280+1,""),"")</f>
        <v/>
      </c>
      <c r="C281" s="174" t="str">
        <f>IF(Valeurs_saisies,IF(colonneA&lt;&gt;"",DATE(YEAR($D$9),MONTH($D$9)+(colonneA)*12/nombre_versements_an,DAY($D$9)),""),"")</f>
        <v/>
      </c>
      <c r="D281" s="175" t="str">
        <f>IF(Valeurs_saisies,IF(colonneA&lt;&gt;"",H280,""),"")</f>
        <v/>
      </c>
      <c r="E281" s="175" t="str">
        <f t="shared" si="8"/>
        <v/>
      </c>
      <c r="F281" s="175" t="str">
        <f>IF(Valeurs_saisies,IF(colonneA&lt;&gt;"",mensualite-G281,""),"")</f>
        <v/>
      </c>
      <c r="G281" s="175" t="str">
        <f>IF(Valeurs_saisies,IF(colonneA&lt;&gt;"",capital_restant_du*(taux_interet_annueld/nombre_versements_an),""),"")</f>
        <v/>
      </c>
      <c r="H281" s="175" t="str">
        <f>IF(Valeurs_saisies,IF(colonneA&lt;&gt;"",D281-F281,""),"")</f>
        <v/>
      </c>
      <c r="L281" s="172">
        <f t="shared" ref="L281:L344" si="9">L269+1</f>
        <v>22</v>
      </c>
    </row>
    <row r="282" spans="2:12" s="169" customFormat="1" ht="14.25" customHeight="1">
      <c r="B282" s="173" t="str">
        <f>IF(Valeurs_saisies,IF(duree_du_pret&gt;L282,B281+1,""),"")</f>
        <v/>
      </c>
      <c r="C282" s="174" t="str">
        <f>IF(Valeurs_saisies,IF(colonneA&lt;&gt;"",DATE(YEAR($D$9),MONTH($D$9)+(colonneA)*12/nombre_versements_an,DAY($D$9)),""),"")</f>
        <v/>
      </c>
      <c r="D282" s="175" t="str">
        <f>IF(Valeurs_saisies,IF(colonneA&lt;&gt;"",H281,""),"")</f>
        <v/>
      </c>
      <c r="E282" s="175" t="str">
        <f t="shared" si="8"/>
        <v/>
      </c>
      <c r="F282" s="175" t="str">
        <f>IF(Valeurs_saisies,IF(colonneA&lt;&gt;"",mensualite-G282,""),"")</f>
        <v/>
      </c>
      <c r="G282" s="175" t="str">
        <f>IF(Valeurs_saisies,IF(colonneA&lt;&gt;"",capital_restant_du*(taux_interet_annueld/nombre_versements_an),""),"")</f>
        <v/>
      </c>
      <c r="H282" s="175" t="str">
        <f>IF(Valeurs_saisies,IF(colonneA&lt;&gt;"",D282-F282,""),"")</f>
        <v/>
      </c>
      <c r="L282" s="172">
        <f t="shared" si="9"/>
        <v>22</v>
      </c>
    </row>
    <row r="283" spans="2:12" s="169" customFormat="1" ht="14.25" customHeight="1">
      <c r="B283" s="173" t="str">
        <f>IF(Valeurs_saisies,IF(duree_du_pret&gt;L283,B282+1,""),"")</f>
        <v/>
      </c>
      <c r="C283" s="174" t="str">
        <f>IF(Valeurs_saisies,IF(colonneA&lt;&gt;"",DATE(YEAR($D$9),MONTH($D$9)+(colonneA)*12/nombre_versements_an,DAY($D$9)),""),"")</f>
        <v/>
      </c>
      <c r="D283" s="175" t="str">
        <f>IF(Valeurs_saisies,IF(colonneA&lt;&gt;"",H282,""),"")</f>
        <v/>
      </c>
      <c r="E283" s="175" t="str">
        <f t="shared" si="8"/>
        <v/>
      </c>
      <c r="F283" s="175" t="str">
        <f>IF(Valeurs_saisies,IF(colonneA&lt;&gt;"",mensualite-G283,""),"")</f>
        <v/>
      </c>
      <c r="G283" s="175" t="str">
        <f>IF(Valeurs_saisies,IF(colonneA&lt;&gt;"",capital_restant_du*(taux_interet_annueld/nombre_versements_an),""),"")</f>
        <v/>
      </c>
      <c r="H283" s="175" t="str">
        <f>IF(Valeurs_saisies,IF(colonneA&lt;&gt;"",D283-F283,""),"")</f>
        <v/>
      </c>
      <c r="L283" s="172">
        <f t="shared" si="9"/>
        <v>22</v>
      </c>
    </row>
    <row r="284" spans="2:12" s="169" customFormat="1" ht="14.25" customHeight="1">
      <c r="B284" s="173" t="str">
        <f>IF(Valeurs_saisies,IF(duree_du_pret&gt;L284,B283+1,""),"")</f>
        <v/>
      </c>
      <c r="C284" s="174" t="str">
        <f>IF(Valeurs_saisies,IF(colonneA&lt;&gt;"",DATE(YEAR($D$9),MONTH($D$9)+(colonneA)*12/nombre_versements_an,DAY($D$9)),""),"")</f>
        <v/>
      </c>
      <c r="D284" s="175" t="str">
        <f>IF(Valeurs_saisies,IF(colonneA&lt;&gt;"",H283,""),"")</f>
        <v/>
      </c>
      <c r="E284" s="175" t="str">
        <f t="shared" si="8"/>
        <v/>
      </c>
      <c r="F284" s="175" t="str">
        <f>IF(Valeurs_saisies,IF(colonneA&lt;&gt;"",mensualite-G284,""),"")</f>
        <v/>
      </c>
      <c r="G284" s="175" t="str">
        <f>IF(Valeurs_saisies,IF(colonneA&lt;&gt;"",capital_restant_du*(taux_interet_annueld/nombre_versements_an),""),"")</f>
        <v/>
      </c>
      <c r="H284" s="175" t="str">
        <f>IF(Valeurs_saisies,IF(colonneA&lt;&gt;"",D284-F284,""),"")</f>
        <v/>
      </c>
      <c r="L284" s="172">
        <f t="shared" si="9"/>
        <v>22</v>
      </c>
    </row>
    <row r="285" spans="2:12" s="169" customFormat="1" ht="14.25" customHeight="1">
      <c r="B285" s="173" t="str">
        <f>IF(Valeurs_saisies,IF(duree_du_pret&gt;L285,B284+1,""),"")</f>
        <v/>
      </c>
      <c r="C285" s="174" t="str">
        <f>IF(Valeurs_saisies,IF(colonneA&lt;&gt;"",DATE(YEAR($D$9),MONTH($D$9)+(colonneA)*12/nombre_versements_an,DAY($D$9)),""),"")</f>
        <v/>
      </c>
      <c r="D285" s="175" t="str">
        <f>IF(Valeurs_saisies,IF(colonneA&lt;&gt;"",H284,""),"")</f>
        <v/>
      </c>
      <c r="E285" s="175" t="str">
        <f t="shared" si="8"/>
        <v/>
      </c>
      <c r="F285" s="175" t="str">
        <f>IF(Valeurs_saisies,IF(colonneA&lt;&gt;"",mensualite-G285,""),"")</f>
        <v/>
      </c>
      <c r="G285" s="175" t="str">
        <f>IF(Valeurs_saisies,IF(colonneA&lt;&gt;"",capital_restant_du*(taux_interet_annueld/nombre_versements_an),""),"")</f>
        <v/>
      </c>
      <c r="H285" s="175" t="str">
        <f>IF(Valeurs_saisies,IF(colonneA&lt;&gt;"",D285-F285,""),"")</f>
        <v/>
      </c>
      <c r="L285" s="172">
        <f t="shared" si="9"/>
        <v>22</v>
      </c>
    </row>
    <row r="286" spans="2:12" s="169" customFormat="1" ht="14.25" customHeight="1">
      <c r="B286" s="173" t="str">
        <f>IF(Valeurs_saisies,IF(duree_du_pret&gt;L286,B285+1,""),"")</f>
        <v/>
      </c>
      <c r="C286" s="174" t="str">
        <f>IF(Valeurs_saisies,IF(colonneA&lt;&gt;"",DATE(YEAR($D$9),MONTH($D$9)+(colonneA)*12/nombre_versements_an,DAY($D$9)),""),"")</f>
        <v/>
      </c>
      <c r="D286" s="175" t="str">
        <f>IF(Valeurs_saisies,IF(colonneA&lt;&gt;"",H285,""),"")</f>
        <v/>
      </c>
      <c r="E286" s="175" t="str">
        <f t="shared" si="8"/>
        <v/>
      </c>
      <c r="F286" s="175" t="str">
        <f>IF(Valeurs_saisies,IF(colonneA&lt;&gt;"",mensualite-G286,""),"")</f>
        <v/>
      </c>
      <c r="G286" s="175" t="str">
        <f>IF(Valeurs_saisies,IF(colonneA&lt;&gt;"",capital_restant_du*(taux_interet_annueld/nombre_versements_an),""),"")</f>
        <v/>
      </c>
      <c r="H286" s="175" t="str">
        <f>IF(Valeurs_saisies,IF(colonneA&lt;&gt;"",D286-F286,""),"")</f>
        <v/>
      </c>
      <c r="L286" s="172">
        <f t="shared" si="9"/>
        <v>22</v>
      </c>
    </row>
    <row r="287" spans="2:12" s="169" customFormat="1" ht="14.25" customHeight="1">
      <c r="B287" s="173" t="str">
        <f>IF(Valeurs_saisies,IF(duree_du_pret&gt;L287,B286+1,""),"")</f>
        <v/>
      </c>
      <c r="C287" s="174" t="str">
        <f>IF(Valeurs_saisies,IF(colonneA&lt;&gt;"",DATE(YEAR($D$9),MONTH($D$9)+(colonneA)*12/nombre_versements_an,DAY($D$9)),""),"")</f>
        <v/>
      </c>
      <c r="D287" s="175" t="str">
        <f>IF(Valeurs_saisies,IF(colonneA&lt;&gt;"",H286,""),"")</f>
        <v/>
      </c>
      <c r="E287" s="175" t="str">
        <f t="shared" si="8"/>
        <v/>
      </c>
      <c r="F287" s="175" t="str">
        <f>IF(Valeurs_saisies,IF(colonneA&lt;&gt;"",mensualite-G287,""),"")</f>
        <v/>
      </c>
      <c r="G287" s="175" t="str">
        <f>IF(Valeurs_saisies,IF(colonneA&lt;&gt;"",capital_restant_du*(taux_interet_annueld/nombre_versements_an),""),"")</f>
        <v/>
      </c>
      <c r="H287" s="175" t="str">
        <f>IF(Valeurs_saisies,IF(colonneA&lt;&gt;"",D287-F287,""),"")</f>
        <v/>
      </c>
      <c r="L287" s="172">
        <f t="shared" si="9"/>
        <v>22</v>
      </c>
    </row>
    <row r="288" spans="2:12" s="169" customFormat="1" ht="14.25" customHeight="1">
      <c r="B288" s="173" t="str">
        <f>IF(Valeurs_saisies,IF(duree_du_pret&gt;L288,B287+1,""),"")</f>
        <v/>
      </c>
      <c r="C288" s="174" t="str">
        <f>IF(Valeurs_saisies,IF(colonneA&lt;&gt;"",DATE(YEAR($D$9),MONTH($D$9)+(colonneA)*12/nombre_versements_an,DAY($D$9)),""),"")</f>
        <v/>
      </c>
      <c r="D288" s="175" t="str">
        <f>IF(Valeurs_saisies,IF(colonneA&lt;&gt;"",H287,""),"")</f>
        <v/>
      </c>
      <c r="E288" s="175" t="str">
        <f t="shared" si="8"/>
        <v/>
      </c>
      <c r="F288" s="175" t="str">
        <f>IF(Valeurs_saisies,IF(colonneA&lt;&gt;"",mensualite-G288,""),"")</f>
        <v/>
      </c>
      <c r="G288" s="175" t="str">
        <f>IF(Valeurs_saisies,IF(colonneA&lt;&gt;"",capital_restant_du*(taux_interet_annueld/nombre_versements_an),""),"")</f>
        <v/>
      </c>
      <c r="H288" s="175" t="str">
        <f>IF(Valeurs_saisies,IF(colonneA&lt;&gt;"",D288-F288,""),"")</f>
        <v/>
      </c>
      <c r="L288" s="172">
        <f t="shared" si="9"/>
        <v>23</v>
      </c>
    </row>
    <row r="289" spans="2:12" s="169" customFormat="1" ht="14.25" customHeight="1">
      <c r="B289" s="173" t="str">
        <f>IF(Valeurs_saisies,IF(duree_du_pret&gt;L289,B288+1,""),"")</f>
        <v/>
      </c>
      <c r="C289" s="174" t="str">
        <f>IF(Valeurs_saisies,IF(colonneA&lt;&gt;"",DATE(YEAR($D$9),MONTH($D$9)+(colonneA)*12/nombre_versements_an,DAY($D$9)),""),"")</f>
        <v/>
      </c>
      <c r="D289" s="175" t="str">
        <f>IF(Valeurs_saisies,IF(colonneA&lt;&gt;"",H288,""),"")</f>
        <v/>
      </c>
      <c r="E289" s="175" t="str">
        <f t="shared" si="8"/>
        <v/>
      </c>
      <c r="F289" s="175" t="str">
        <f>IF(Valeurs_saisies,IF(colonneA&lt;&gt;"",mensualite-G289,""),"")</f>
        <v/>
      </c>
      <c r="G289" s="175" t="str">
        <f>IF(Valeurs_saisies,IF(colonneA&lt;&gt;"",capital_restant_du*(taux_interet_annueld/nombre_versements_an),""),"")</f>
        <v/>
      </c>
      <c r="H289" s="175" t="str">
        <f>IF(Valeurs_saisies,IF(colonneA&lt;&gt;"",D289-F289,""),"")</f>
        <v/>
      </c>
      <c r="L289" s="172">
        <f t="shared" si="9"/>
        <v>23</v>
      </c>
    </row>
    <row r="290" spans="2:12" s="169" customFormat="1" ht="14.25" customHeight="1">
      <c r="B290" s="173" t="str">
        <f>IF(Valeurs_saisies,IF(duree_du_pret&gt;L290,B289+1,""),"")</f>
        <v/>
      </c>
      <c r="C290" s="174" t="str">
        <f>IF(Valeurs_saisies,IF(colonneA&lt;&gt;"",DATE(YEAR($D$9),MONTH($D$9)+(colonneA)*12/nombre_versements_an,DAY($D$9)),""),"")</f>
        <v/>
      </c>
      <c r="D290" s="175" t="str">
        <f>IF(Valeurs_saisies,IF(colonneA&lt;&gt;"",H289,""),"")</f>
        <v/>
      </c>
      <c r="E290" s="175" t="str">
        <f t="shared" si="8"/>
        <v/>
      </c>
      <c r="F290" s="175" t="str">
        <f>IF(Valeurs_saisies,IF(colonneA&lt;&gt;"",mensualite-G290,""),"")</f>
        <v/>
      </c>
      <c r="G290" s="175" t="str">
        <f>IF(Valeurs_saisies,IF(colonneA&lt;&gt;"",capital_restant_du*(taux_interet_annueld/nombre_versements_an),""),"")</f>
        <v/>
      </c>
      <c r="H290" s="175" t="str">
        <f>IF(Valeurs_saisies,IF(colonneA&lt;&gt;"",D290-F290,""),"")</f>
        <v/>
      </c>
      <c r="L290" s="172">
        <f t="shared" si="9"/>
        <v>23</v>
      </c>
    </row>
    <row r="291" spans="2:12" s="169" customFormat="1" ht="14.25" customHeight="1">
      <c r="B291" s="173" t="str">
        <f>IF(Valeurs_saisies,IF(duree_du_pret&gt;L291,B290+1,""),"")</f>
        <v/>
      </c>
      <c r="C291" s="174" t="str">
        <f>IF(Valeurs_saisies,IF(colonneA&lt;&gt;"",DATE(YEAR($D$9),MONTH($D$9)+(colonneA)*12/nombre_versements_an,DAY($D$9)),""),"")</f>
        <v/>
      </c>
      <c r="D291" s="175" t="str">
        <f>IF(Valeurs_saisies,IF(colonneA&lt;&gt;"",H290,""),"")</f>
        <v/>
      </c>
      <c r="E291" s="175" t="str">
        <f t="shared" si="8"/>
        <v/>
      </c>
      <c r="F291" s="175" t="str">
        <f>IF(Valeurs_saisies,IF(colonneA&lt;&gt;"",mensualite-G291,""),"")</f>
        <v/>
      </c>
      <c r="G291" s="175" t="str">
        <f>IF(Valeurs_saisies,IF(colonneA&lt;&gt;"",capital_restant_du*(taux_interet_annueld/nombre_versements_an),""),"")</f>
        <v/>
      </c>
      <c r="H291" s="175" t="str">
        <f>IF(Valeurs_saisies,IF(colonneA&lt;&gt;"",D291-F291,""),"")</f>
        <v/>
      </c>
      <c r="L291" s="172">
        <f t="shared" si="9"/>
        <v>23</v>
      </c>
    </row>
    <row r="292" spans="2:12" s="169" customFormat="1" ht="14.25" customHeight="1">
      <c r="B292" s="173" t="str">
        <f>IF(Valeurs_saisies,IF(duree_du_pret&gt;L292,B291+1,""),"")</f>
        <v/>
      </c>
      <c r="C292" s="174" t="str">
        <f>IF(Valeurs_saisies,IF(colonneA&lt;&gt;"",DATE(YEAR($D$9),MONTH($D$9)+(colonneA)*12/nombre_versements_an,DAY($D$9)),""),"")</f>
        <v/>
      </c>
      <c r="D292" s="175" t="str">
        <f>IF(Valeurs_saisies,IF(colonneA&lt;&gt;"",H291,""),"")</f>
        <v/>
      </c>
      <c r="E292" s="175" t="str">
        <f t="shared" si="8"/>
        <v/>
      </c>
      <c r="F292" s="175" t="str">
        <f>IF(Valeurs_saisies,IF(colonneA&lt;&gt;"",mensualite-G292,""),"")</f>
        <v/>
      </c>
      <c r="G292" s="175" t="str">
        <f>IF(Valeurs_saisies,IF(colonneA&lt;&gt;"",capital_restant_du*(taux_interet_annueld/nombre_versements_an),""),"")</f>
        <v/>
      </c>
      <c r="H292" s="175" t="str">
        <f>IF(Valeurs_saisies,IF(colonneA&lt;&gt;"",D292-F292,""),"")</f>
        <v/>
      </c>
      <c r="L292" s="172">
        <f t="shared" si="9"/>
        <v>23</v>
      </c>
    </row>
    <row r="293" spans="2:12" s="169" customFormat="1" ht="14.25" customHeight="1">
      <c r="B293" s="173" t="str">
        <f>IF(Valeurs_saisies,IF(duree_du_pret&gt;L293,B292+1,""),"")</f>
        <v/>
      </c>
      <c r="C293" s="174" t="str">
        <f>IF(Valeurs_saisies,IF(colonneA&lt;&gt;"",DATE(YEAR($D$9),MONTH($D$9)+(colonneA)*12/nombre_versements_an,DAY($D$9)),""),"")</f>
        <v/>
      </c>
      <c r="D293" s="175" t="str">
        <f>IF(Valeurs_saisies,IF(colonneA&lt;&gt;"",H292,""),"")</f>
        <v/>
      </c>
      <c r="E293" s="175" t="str">
        <f t="shared" si="8"/>
        <v/>
      </c>
      <c r="F293" s="175" t="str">
        <f>IF(Valeurs_saisies,IF(colonneA&lt;&gt;"",mensualite-G293,""),"")</f>
        <v/>
      </c>
      <c r="G293" s="175" t="str">
        <f>IF(Valeurs_saisies,IF(colonneA&lt;&gt;"",capital_restant_du*(taux_interet_annueld/nombre_versements_an),""),"")</f>
        <v/>
      </c>
      <c r="H293" s="175" t="str">
        <f>IF(Valeurs_saisies,IF(colonneA&lt;&gt;"",D293-F293,""),"")</f>
        <v/>
      </c>
      <c r="L293" s="172">
        <f t="shared" si="9"/>
        <v>23</v>
      </c>
    </row>
    <row r="294" spans="2:12" s="169" customFormat="1" ht="14.25" customHeight="1">
      <c r="B294" s="173" t="str">
        <f>IF(Valeurs_saisies,IF(duree_du_pret&gt;L294,B293+1,""),"")</f>
        <v/>
      </c>
      <c r="C294" s="174" t="str">
        <f>IF(Valeurs_saisies,IF(colonneA&lt;&gt;"",DATE(YEAR($D$9),MONTH($D$9)+(colonneA)*12/nombre_versements_an,DAY($D$9)),""),"")</f>
        <v/>
      </c>
      <c r="D294" s="175" t="str">
        <f>IF(Valeurs_saisies,IF(colonneA&lt;&gt;"",H293,""),"")</f>
        <v/>
      </c>
      <c r="E294" s="175" t="str">
        <f t="shared" si="8"/>
        <v/>
      </c>
      <c r="F294" s="175" t="str">
        <f>IF(Valeurs_saisies,IF(colonneA&lt;&gt;"",mensualite-G294,""),"")</f>
        <v/>
      </c>
      <c r="G294" s="175" t="str">
        <f>IF(Valeurs_saisies,IF(colonneA&lt;&gt;"",capital_restant_du*(taux_interet_annueld/nombre_versements_an),""),"")</f>
        <v/>
      </c>
      <c r="H294" s="175" t="str">
        <f>IF(Valeurs_saisies,IF(colonneA&lt;&gt;"",D294-F294,""),"")</f>
        <v/>
      </c>
      <c r="L294" s="172">
        <f t="shared" si="9"/>
        <v>23</v>
      </c>
    </row>
    <row r="295" spans="2:12" s="169" customFormat="1" ht="14.25" customHeight="1">
      <c r="B295" s="173" t="str">
        <f>IF(Valeurs_saisies,IF(duree_du_pret&gt;L295,B294+1,""),"")</f>
        <v/>
      </c>
      <c r="C295" s="174" t="str">
        <f>IF(Valeurs_saisies,IF(colonneA&lt;&gt;"",DATE(YEAR($D$9),MONTH($D$9)+(colonneA)*12/nombre_versements_an,DAY($D$9)),""),"")</f>
        <v/>
      </c>
      <c r="D295" s="175" t="str">
        <f>IF(Valeurs_saisies,IF(colonneA&lt;&gt;"",H294,""),"")</f>
        <v/>
      </c>
      <c r="E295" s="175" t="str">
        <f t="shared" si="8"/>
        <v/>
      </c>
      <c r="F295" s="175" t="str">
        <f>IF(Valeurs_saisies,IF(colonneA&lt;&gt;"",mensualite-G295,""),"")</f>
        <v/>
      </c>
      <c r="G295" s="175" t="str">
        <f>IF(Valeurs_saisies,IF(colonneA&lt;&gt;"",capital_restant_du*(taux_interet_annueld/nombre_versements_an),""),"")</f>
        <v/>
      </c>
      <c r="H295" s="175" t="str">
        <f>IF(Valeurs_saisies,IF(colonneA&lt;&gt;"",D295-F295,""),"")</f>
        <v/>
      </c>
      <c r="L295" s="172">
        <f t="shared" si="9"/>
        <v>23</v>
      </c>
    </row>
    <row r="296" spans="2:12" s="169" customFormat="1" ht="14.25" customHeight="1">
      <c r="B296" s="173" t="str">
        <f>IF(Valeurs_saisies,IF(duree_du_pret&gt;L296,B295+1,""),"")</f>
        <v/>
      </c>
      <c r="C296" s="174" t="str">
        <f>IF(Valeurs_saisies,IF(colonneA&lt;&gt;"",DATE(YEAR($D$9),MONTH($D$9)+(colonneA)*12/nombre_versements_an,DAY($D$9)),""),"")</f>
        <v/>
      </c>
      <c r="D296" s="175" t="str">
        <f>IF(Valeurs_saisies,IF(colonneA&lt;&gt;"",H295,""),"")</f>
        <v/>
      </c>
      <c r="E296" s="175" t="str">
        <f t="shared" si="8"/>
        <v/>
      </c>
      <c r="F296" s="175" t="str">
        <f>IF(Valeurs_saisies,IF(colonneA&lt;&gt;"",mensualite-G296,""),"")</f>
        <v/>
      </c>
      <c r="G296" s="175" t="str">
        <f>IF(Valeurs_saisies,IF(colonneA&lt;&gt;"",capital_restant_du*(taux_interet_annueld/nombre_versements_an),""),"")</f>
        <v/>
      </c>
      <c r="H296" s="175" t="str">
        <f>IF(Valeurs_saisies,IF(colonneA&lt;&gt;"",D296-F296,""),"")</f>
        <v/>
      </c>
      <c r="L296" s="172">
        <f t="shared" si="9"/>
        <v>23</v>
      </c>
    </row>
    <row r="297" spans="2:12" s="169" customFormat="1" ht="14.25" customHeight="1">
      <c r="B297" s="173" t="str">
        <f>IF(Valeurs_saisies,IF(duree_du_pret&gt;L297,B296+1,""),"")</f>
        <v/>
      </c>
      <c r="C297" s="174" t="str">
        <f>IF(Valeurs_saisies,IF(colonneA&lt;&gt;"",DATE(YEAR($D$9),MONTH($D$9)+(colonneA)*12/nombre_versements_an,DAY($D$9)),""),"")</f>
        <v/>
      </c>
      <c r="D297" s="175" t="str">
        <f>IF(Valeurs_saisies,IF(colonneA&lt;&gt;"",H296,""),"")</f>
        <v/>
      </c>
      <c r="E297" s="175" t="str">
        <f t="shared" si="8"/>
        <v/>
      </c>
      <c r="F297" s="175" t="str">
        <f>IF(Valeurs_saisies,IF(colonneA&lt;&gt;"",mensualite-G297,""),"")</f>
        <v/>
      </c>
      <c r="G297" s="175" t="str">
        <f>IF(Valeurs_saisies,IF(colonneA&lt;&gt;"",capital_restant_du*(taux_interet_annueld/nombre_versements_an),""),"")</f>
        <v/>
      </c>
      <c r="H297" s="175" t="str">
        <f>IF(Valeurs_saisies,IF(colonneA&lt;&gt;"",D297-F297,""),"")</f>
        <v/>
      </c>
      <c r="L297" s="172">
        <f t="shared" si="9"/>
        <v>23</v>
      </c>
    </row>
    <row r="298" spans="2:12" s="169" customFormat="1" ht="14.25" customHeight="1">
      <c r="B298" s="173" t="str">
        <f>IF(Valeurs_saisies,IF(duree_du_pret&gt;L298,B297+1,""),"")</f>
        <v/>
      </c>
      <c r="C298" s="174" t="str">
        <f>IF(Valeurs_saisies,IF(colonneA&lt;&gt;"",DATE(YEAR($D$9),MONTH($D$9)+(colonneA)*12/nombre_versements_an,DAY($D$9)),""),"")</f>
        <v/>
      </c>
      <c r="D298" s="175" t="str">
        <f>IF(Valeurs_saisies,IF(colonneA&lt;&gt;"",H297,""),"")</f>
        <v/>
      </c>
      <c r="E298" s="175" t="str">
        <f t="shared" si="8"/>
        <v/>
      </c>
      <c r="F298" s="175" t="str">
        <f>IF(Valeurs_saisies,IF(colonneA&lt;&gt;"",mensualite-G298,""),"")</f>
        <v/>
      </c>
      <c r="G298" s="175" t="str">
        <f>IF(Valeurs_saisies,IF(colonneA&lt;&gt;"",capital_restant_du*(taux_interet_annueld/nombre_versements_an),""),"")</f>
        <v/>
      </c>
      <c r="H298" s="175" t="str">
        <f>IF(Valeurs_saisies,IF(colonneA&lt;&gt;"",D298-F298,""),"")</f>
        <v/>
      </c>
      <c r="L298" s="172">
        <f t="shared" si="9"/>
        <v>23</v>
      </c>
    </row>
    <row r="299" spans="2:12" s="169" customFormat="1" ht="14.25" customHeight="1">
      <c r="B299" s="173" t="str">
        <f>IF(Valeurs_saisies,IF(duree_du_pret&gt;L299,B298+1,""),"")</f>
        <v/>
      </c>
      <c r="C299" s="174" t="str">
        <f>IF(Valeurs_saisies,IF(colonneA&lt;&gt;"",DATE(YEAR($D$9),MONTH($D$9)+(colonneA)*12/nombre_versements_an,DAY($D$9)),""),"")</f>
        <v/>
      </c>
      <c r="D299" s="175" t="str">
        <f>IF(Valeurs_saisies,IF(colonneA&lt;&gt;"",H298,""),"")</f>
        <v/>
      </c>
      <c r="E299" s="175" t="str">
        <f t="shared" si="8"/>
        <v/>
      </c>
      <c r="F299" s="175" t="str">
        <f>IF(Valeurs_saisies,IF(colonneA&lt;&gt;"",mensualite-G299,""),"")</f>
        <v/>
      </c>
      <c r="G299" s="175" t="str">
        <f>IF(Valeurs_saisies,IF(colonneA&lt;&gt;"",capital_restant_du*(taux_interet_annueld/nombre_versements_an),""),"")</f>
        <v/>
      </c>
      <c r="H299" s="175" t="str">
        <f>IF(Valeurs_saisies,IF(colonneA&lt;&gt;"",D299-F299,""),"")</f>
        <v/>
      </c>
      <c r="L299" s="172">
        <f t="shared" si="9"/>
        <v>23</v>
      </c>
    </row>
    <row r="300" spans="2:12" s="169" customFormat="1" ht="14.25" customHeight="1">
      <c r="B300" s="173" t="str">
        <f>IF(Valeurs_saisies,IF(duree_du_pret&gt;L300,B299+1,""),"")</f>
        <v/>
      </c>
      <c r="C300" s="174" t="str">
        <f>IF(Valeurs_saisies,IF(colonneA&lt;&gt;"",DATE(YEAR($D$9),MONTH($D$9)+(colonneA)*12/nombre_versements_an,DAY($D$9)),""),"")</f>
        <v/>
      </c>
      <c r="D300" s="175" t="str">
        <f>IF(Valeurs_saisies,IF(colonneA&lt;&gt;"",H299,""),"")</f>
        <v/>
      </c>
      <c r="E300" s="175" t="str">
        <f t="shared" si="8"/>
        <v/>
      </c>
      <c r="F300" s="175" t="str">
        <f>IF(Valeurs_saisies,IF(colonneA&lt;&gt;"",mensualite-G300,""),"")</f>
        <v/>
      </c>
      <c r="G300" s="175" t="str">
        <f>IF(Valeurs_saisies,IF(colonneA&lt;&gt;"",capital_restant_du*(taux_interet_annueld/nombre_versements_an),""),"")</f>
        <v/>
      </c>
      <c r="H300" s="175" t="str">
        <f>IF(Valeurs_saisies,IF(colonneA&lt;&gt;"",D300-F300,""),"")</f>
        <v/>
      </c>
      <c r="L300" s="172">
        <f t="shared" si="9"/>
        <v>24</v>
      </c>
    </row>
    <row r="301" spans="2:12" s="169" customFormat="1" ht="14.25" customHeight="1">
      <c r="B301" s="173" t="str">
        <f>IF(Valeurs_saisies,IF(duree_du_pret&gt;L301,B300+1,""),"")</f>
        <v/>
      </c>
      <c r="C301" s="174" t="str">
        <f>IF(Valeurs_saisies,IF(colonneA&lt;&gt;"",DATE(YEAR($D$9),MONTH($D$9)+(colonneA)*12/nombre_versements_an,DAY($D$9)),""),"")</f>
        <v/>
      </c>
      <c r="D301" s="175" t="str">
        <f>IF(Valeurs_saisies,IF(colonneA&lt;&gt;"",H300,""),"")</f>
        <v/>
      </c>
      <c r="E301" s="175" t="str">
        <f t="shared" si="8"/>
        <v/>
      </c>
      <c r="F301" s="175" t="str">
        <f>IF(Valeurs_saisies,IF(colonneA&lt;&gt;"",mensualite-G301,""),"")</f>
        <v/>
      </c>
      <c r="G301" s="175" t="str">
        <f>IF(Valeurs_saisies,IF(colonneA&lt;&gt;"",capital_restant_du*(taux_interet_annueld/nombre_versements_an),""),"")</f>
        <v/>
      </c>
      <c r="H301" s="175" t="str">
        <f>IF(Valeurs_saisies,IF(colonneA&lt;&gt;"",D301-F301,""),"")</f>
        <v/>
      </c>
      <c r="L301" s="172">
        <f t="shared" si="9"/>
        <v>24</v>
      </c>
    </row>
    <row r="302" spans="2:12" s="169" customFormat="1" ht="14.25" customHeight="1">
      <c r="B302" s="173" t="str">
        <f>IF(Valeurs_saisies,IF(duree_du_pret&gt;L302,B301+1,""),"")</f>
        <v/>
      </c>
      <c r="C302" s="174" t="str">
        <f>IF(Valeurs_saisies,IF(colonneA&lt;&gt;"",DATE(YEAR($D$9),MONTH($D$9)+(colonneA)*12/nombre_versements_an,DAY($D$9)),""),"")</f>
        <v/>
      </c>
      <c r="D302" s="175" t="str">
        <f>IF(Valeurs_saisies,IF(colonneA&lt;&gt;"",H301,""),"")</f>
        <v/>
      </c>
      <c r="E302" s="175" t="str">
        <f t="shared" si="8"/>
        <v/>
      </c>
      <c r="F302" s="175" t="str">
        <f>IF(Valeurs_saisies,IF(colonneA&lt;&gt;"",mensualite-G302,""),"")</f>
        <v/>
      </c>
      <c r="G302" s="175" t="str">
        <f>IF(Valeurs_saisies,IF(colonneA&lt;&gt;"",capital_restant_du*(taux_interet_annueld/nombre_versements_an),""),"")</f>
        <v/>
      </c>
      <c r="H302" s="175" t="str">
        <f>IF(Valeurs_saisies,IF(colonneA&lt;&gt;"",D302-F302,""),"")</f>
        <v/>
      </c>
      <c r="L302" s="172">
        <f t="shared" si="9"/>
        <v>24</v>
      </c>
    </row>
    <row r="303" spans="2:12" s="169" customFormat="1" ht="14.25" customHeight="1">
      <c r="B303" s="173" t="str">
        <f>IF(Valeurs_saisies,IF(duree_du_pret&gt;L303,B302+1,""),"")</f>
        <v/>
      </c>
      <c r="C303" s="174" t="str">
        <f>IF(Valeurs_saisies,IF(colonneA&lt;&gt;"",DATE(YEAR($D$9),MONTH($D$9)+(colonneA)*12/nombre_versements_an,DAY($D$9)),""),"")</f>
        <v/>
      </c>
      <c r="D303" s="175" t="str">
        <f>IF(Valeurs_saisies,IF(colonneA&lt;&gt;"",H302,""),"")</f>
        <v/>
      </c>
      <c r="E303" s="175" t="str">
        <f t="shared" si="8"/>
        <v/>
      </c>
      <c r="F303" s="175" t="str">
        <f>IF(Valeurs_saisies,IF(colonneA&lt;&gt;"",mensualite-G303,""),"")</f>
        <v/>
      </c>
      <c r="G303" s="175" t="str">
        <f>IF(Valeurs_saisies,IF(colonneA&lt;&gt;"",capital_restant_du*(taux_interet_annueld/nombre_versements_an),""),"")</f>
        <v/>
      </c>
      <c r="H303" s="175" t="str">
        <f>IF(Valeurs_saisies,IF(colonneA&lt;&gt;"",D303-F303,""),"")</f>
        <v/>
      </c>
      <c r="L303" s="172">
        <f t="shared" si="9"/>
        <v>24</v>
      </c>
    </row>
    <row r="304" spans="2:12" s="169" customFormat="1" ht="14.25" customHeight="1">
      <c r="B304" s="173" t="str">
        <f>IF(Valeurs_saisies,IF(duree_du_pret&gt;L304,B303+1,""),"")</f>
        <v/>
      </c>
      <c r="C304" s="174" t="str">
        <f>IF(Valeurs_saisies,IF(colonneA&lt;&gt;"",DATE(YEAR($D$9),MONTH($D$9)+(colonneA)*12/nombre_versements_an,DAY($D$9)),""),"")</f>
        <v/>
      </c>
      <c r="D304" s="175" t="str">
        <f>IF(Valeurs_saisies,IF(colonneA&lt;&gt;"",H303,""),"")</f>
        <v/>
      </c>
      <c r="E304" s="175" t="str">
        <f t="shared" si="8"/>
        <v/>
      </c>
      <c r="F304" s="175" t="str">
        <f>IF(Valeurs_saisies,IF(colonneA&lt;&gt;"",mensualite-G304,""),"")</f>
        <v/>
      </c>
      <c r="G304" s="175" t="str">
        <f>IF(Valeurs_saisies,IF(colonneA&lt;&gt;"",capital_restant_du*(taux_interet_annueld/nombre_versements_an),""),"")</f>
        <v/>
      </c>
      <c r="H304" s="175" t="str">
        <f>IF(Valeurs_saisies,IF(colonneA&lt;&gt;"",D304-F304,""),"")</f>
        <v/>
      </c>
      <c r="L304" s="172">
        <f t="shared" si="9"/>
        <v>24</v>
      </c>
    </row>
    <row r="305" spans="2:12" s="169" customFormat="1" ht="14.25" customHeight="1">
      <c r="B305" s="173" t="str">
        <f>IF(Valeurs_saisies,IF(duree_du_pret&gt;L305,B304+1,""),"")</f>
        <v/>
      </c>
      <c r="C305" s="174" t="str">
        <f>IF(Valeurs_saisies,IF(colonneA&lt;&gt;"",DATE(YEAR($D$9),MONTH($D$9)+(colonneA)*12/nombre_versements_an,DAY($D$9)),""),"")</f>
        <v/>
      </c>
      <c r="D305" s="175" t="str">
        <f>IF(Valeurs_saisies,IF(colonneA&lt;&gt;"",H304,""),"")</f>
        <v/>
      </c>
      <c r="E305" s="175" t="str">
        <f t="shared" si="8"/>
        <v/>
      </c>
      <c r="F305" s="175" t="str">
        <f>IF(Valeurs_saisies,IF(colonneA&lt;&gt;"",mensualite-G305,""),"")</f>
        <v/>
      </c>
      <c r="G305" s="175" t="str">
        <f>IF(Valeurs_saisies,IF(colonneA&lt;&gt;"",capital_restant_du*(taux_interet_annueld/nombre_versements_an),""),"")</f>
        <v/>
      </c>
      <c r="H305" s="175" t="str">
        <f>IF(Valeurs_saisies,IF(colonneA&lt;&gt;"",D305-F305,""),"")</f>
        <v/>
      </c>
      <c r="L305" s="172">
        <f t="shared" si="9"/>
        <v>24</v>
      </c>
    </row>
    <row r="306" spans="2:12" s="169" customFormat="1" ht="14.25" customHeight="1">
      <c r="B306" s="173" t="str">
        <f>IF(Valeurs_saisies,IF(duree_du_pret&gt;L306,B305+1,""),"")</f>
        <v/>
      </c>
      <c r="C306" s="174" t="str">
        <f>IF(Valeurs_saisies,IF(colonneA&lt;&gt;"",DATE(YEAR($D$9),MONTH($D$9)+(colonneA)*12/nombre_versements_an,DAY($D$9)),""),"")</f>
        <v/>
      </c>
      <c r="D306" s="175" t="str">
        <f>IF(Valeurs_saisies,IF(colonneA&lt;&gt;"",H305,""),"")</f>
        <v/>
      </c>
      <c r="E306" s="175" t="str">
        <f t="shared" si="8"/>
        <v/>
      </c>
      <c r="F306" s="175" t="str">
        <f>IF(Valeurs_saisies,IF(colonneA&lt;&gt;"",mensualite-G306,""),"")</f>
        <v/>
      </c>
      <c r="G306" s="175" t="str">
        <f>IF(Valeurs_saisies,IF(colonneA&lt;&gt;"",capital_restant_du*(taux_interet_annueld/nombre_versements_an),""),"")</f>
        <v/>
      </c>
      <c r="H306" s="175" t="str">
        <f>IF(Valeurs_saisies,IF(colonneA&lt;&gt;"",D306-F306,""),"")</f>
        <v/>
      </c>
      <c r="L306" s="172">
        <f t="shared" si="9"/>
        <v>24</v>
      </c>
    </row>
    <row r="307" spans="2:12" s="169" customFormat="1" ht="14.25" customHeight="1">
      <c r="B307" s="173" t="str">
        <f>IF(Valeurs_saisies,IF(duree_du_pret&gt;L307,B306+1,""),"")</f>
        <v/>
      </c>
      <c r="C307" s="174" t="str">
        <f>IF(Valeurs_saisies,IF(colonneA&lt;&gt;"",DATE(YEAR($D$9),MONTH($D$9)+(colonneA)*12/nombre_versements_an,DAY($D$9)),""),"")</f>
        <v/>
      </c>
      <c r="D307" s="175" t="str">
        <f>IF(Valeurs_saisies,IF(colonneA&lt;&gt;"",H306,""),"")</f>
        <v/>
      </c>
      <c r="E307" s="175" t="str">
        <f t="shared" si="8"/>
        <v/>
      </c>
      <c r="F307" s="175" t="str">
        <f>IF(Valeurs_saisies,IF(colonneA&lt;&gt;"",mensualite-G307,""),"")</f>
        <v/>
      </c>
      <c r="G307" s="175" t="str">
        <f>IF(Valeurs_saisies,IF(colonneA&lt;&gt;"",capital_restant_du*(taux_interet_annueld/nombre_versements_an),""),"")</f>
        <v/>
      </c>
      <c r="H307" s="175" t="str">
        <f>IF(Valeurs_saisies,IF(colonneA&lt;&gt;"",D307-F307,""),"")</f>
        <v/>
      </c>
      <c r="L307" s="172">
        <f t="shared" si="9"/>
        <v>24</v>
      </c>
    </row>
    <row r="308" spans="2:12" s="169" customFormat="1" ht="14.25" customHeight="1">
      <c r="B308" s="173" t="str">
        <f>IF(Valeurs_saisies,IF(duree_du_pret&gt;L308,B307+1,""),"")</f>
        <v/>
      </c>
      <c r="C308" s="174" t="str">
        <f>IF(Valeurs_saisies,IF(colonneA&lt;&gt;"",DATE(YEAR($D$9),MONTH($D$9)+(colonneA)*12/nombre_versements_an,DAY($D$9)),""),"")</f>
        <v/>
      </c>
      <c r="D308" s="175" t="str">
        <f>IF(Valeurs_saisies,IF(colonneA&lt;&gt;"",H307,""),"")</f>
        <v/>
      </c>
      <c r="E308" s="175" t="str">
        <f t="shared" si="8"/>
        <v/>
      </c>
      <c r="F308" s="175" t="str">
        <f>IF(Valeurs_saisies,IF(colonneA&lt;&gt;"",mensualite-G308,""),"")</f>
        <v/>
      </c>
      <c r="G308" s="175" t="str">
        <f>IF(Valeurs_saisies,IF(colonneA&lt;&gt;"",capital_restant_du*(taux_interet_annueld/nombre_versements_an),""),"")</f>
        <v/>
      </c>
      <c r="H308" s="175" t="str">
        <f>IF(Valeurs_saisies,IF(colonneA&lt;&gt;"",D308-F308,""),"")</f>
        <v/>
      </c>
      <c r="L308" s="172">
        <f t="shared" si="9"/>
        <v>24</v>
      </c>
    </row>
    <row r="309" spans="2:12" s="169" customFormat="1" ht="14.25" customHeight="1">
      <c r="B309" s="173" t="str">
        <f>IF(Valeurs_saisies,IF(duree_du_pret&gt;L309,B308+1,""),"")</f>
        <v/>
      </c>
      <c r="C309" s="174" t="str">
        <f>IF(Valeurs_saisies,IF(colonneA&lt;&gt;"",DATE(YEAR($D$9),MONTH($D$9)+(colonneA)*12/nombre_versements_an,DAY($D$9)),""),"")</f>
        <v/>
      </c>
      <c r="D309" s="175" t="str">
        <f>IF(Valeurs_saisies,IF(colonneA&lt;&gt;"",H308,""),"")</f>
        <v/>
      </c>
      <c r="E309" s="175" t="str">
        <f t="shared" si="8"/>
        <v/>
      </c>
      <c r="F309" s="175" t="str">
        <f>IF(Valeurs_saisies,IF(colonneA&lt;&gt;"",mensualite-G309,""),"")</f>
        <v/>
      </c>
      <c r="G309" s="175" t="str">
        <f>IF(Valeurs_saisies,IF(colonneA&lt;&gt;"",capital_restant_du*(taux_interet_annueld/nombre_versements_an),""),"")</f>
        <v/>
      </c>
      <c r="H309" s="175" t="str">
        <f>IF(Valeurs_saisies,IF(colonneA&lt;&gt;"",D309-F309,""),"")</f>
        <v/>
      </c>
      <c r="L309" s="172">
        <f t="shared" si="9"/>
        <v>24</v>
      </c>
    </row>
    <row r="310" spans="2:12" s="169" customFormat="1" ht="14.25" customHeight="1">
      <c r="B310" s="173" t="str">
        <f>IF(Valeurs_saisies,IF(duree_du_pret&gt;L310,B309+1,""),"")</f>
        <v/>
      </c>
      <c r="C310" s="174" t="str">
        <f>IF(Valeurs_saisies,IF(colonneA&lt;&gt;"",DATE(YEAR($D$9),MONTH($D$9)+(colonneA)*12/nombre_versements_an,DAY($D$9)),""),"")</f>
        <v/>
      </c>
      <c r="D310" s="175" t="str">
        <f>IF(Valeurs_saisies,IF(colonneA&lt;&gt;"",H309,""),"")</f>
        <v/>
      </c>
      <c r="E310" s="175" t="str">
        <f t="shared" si="8"/>
        <v/>
      </c>
      <c r="F310" s="175" t="str">
        <f>IF(Valeurs_saisies,IF(colonneA&lt;&gt;"",mensualite-G310,""),"")</f>
        <v/>
      </c>
      <c r="G310" s="175" t="str">
        <f>IF(Valeurs_saisies,IF(colonneA&lt;&gt;"",capital_restant_du*(taux_interet_annueld/nombre_versements_an),""),"")</f>
        <v/>
      </c>
      <c r="H310" s="175" t="str">
        <f>IF(Valeurs_saisies,IF(colonneA&lt;&gt;"",D310-F310,""),"")</f>
        <v/>
      </c>
      <c r="L310" s="172">
        <f t="shared" si="9"/>
        <v>24</v>
      </c>
    </row>
    <row r="311" spans="2:12" s="169" customFormat="1" ht="14.25" customHeight="1">
      <c r="B311" s="173" t="str">
        <f>IF(Valeurs_saisies,IF(duree_du_pret&gt;L311,B310+1,""),"")</f>
        <v/>
      </c>
      <c r="C311" s="174" t="str">
        <f>IF(Valeurs_saisies,IF(colonneA&lt;&gt;"",DATE(YEAR($D$9),MONTH($D$9)+(colonneA)*12/nombre_versements_an,DAY($D$9)),""),"")</f>
        <v/>
      </c>
      <c r="D311" s="175" t="str">
        <f>IF(Valeurs_saisies,IF(colonneA&lt;&gt;"",H310,""),"")</f>
        <v/>
      </c>
      <c r="E311" s="175" t="str">
        <f t="shared" si="8"/>
        <v/>
      </c>
      <c r="F311" s="175" t="str">
        <f>IF(Valeurs_saisies,IF(colonneA&lt;&gt;"",mensualite-G311,""),"")</f>
        <v/>
      </c>
      <c r="G311" s="175" t="str">
        <f>IF(Valeurs_saisies,IF(colonneA&lt;&gt;"",capital_restant_du*(taux_interet_annueld/nombre_versements_an),""),"")</f>
        <v/>
      </c>
      <c r="H311" s="175" t="str">
        <f>IF(Valeurs_saisies,IF(colonneA&lt;&gt;"",D311-F311,""),"")</f>
        <v/>
      </c>
      <c r="L311" s="172">
        <f t="shared" si="9"/>
        <v>24</v>
      </c>
    </row>
    <row r="312" spans="2:12" s="169" customFormat="1" ht="14.25" customHeight="1">
      <c r="B312" s="173" t="str">
        <f>IF(Valeurs_saisies,IF(duree_du_pret&gt;L312,B311+1,""),"")</f>
        <v/>
      </c>
      <c r="C312" s="174" t="str">
        <f>IF(Valeurs_saisies,IF(colonneA&lt;&gt;"",DATE(YEAR($D$9),MONTH($D$9)+(colonneA)*12/nombre_versements_an,DAY($D$9)),""),"")</f>
        <v/>
      </c>
      <c r="D312" s="175" t="str">
        <f>IF(Valeurs_saisies,IF(colonneA&lt;&gt;"",H311,""),"")</f>
        <v/>
      </c>
      <c r="E312" s="175" t="str">
        <f t="shared" si="8"/>
        <v/>
      </c>
      <c r="F312" s="175" t="str">
        <f>IF(Valeurs_saisies,IF(colonneA&lt;&gt;"",mensualite-G312,""),"")</f>
        <v/>
      </c>
      <c r="G312" s="175" t="str">
        <f>IF(Valeurs_saisies,IF(colonneA&lt;&gt;"",capital_restant_du*(taux_interet_annueld/nombre_versements_an),""),"")</f>
        <v/>
      </c>
      <c r="H312" s="175" t="str">
        <f>IF(Valeurs_saisies,IF(colonneA&lt;&gt;"",D312-F312,""),"")</f>
        <v/>
      </c>
      <c r="L312" s="172">
        <f t="shared" si="9"/>
        <v>25</v>
      </c>
    </row>
    <row r="313" spans="2:12" s="169" customFormat="1" ht="14.25" customHeight="1">
      <c r="B313" s="173" t="str">
        <f>IF(Valeurs_saisies,IF(duree_du_pret&gt;L313,B312+1,""),"")</f>
        <v/>
      </c>
      <c r="C313" s="174" t="str">
        <f>IF(Valeurs_saisies,IF(colonneA&lt;&gt;"",DATE(YEAR($D$9),MONTH($D$9)+(colonneA)*12/nombre_versements_an,DAY($D$9)),""),"")</f>
        <v/>
      </c>
      <c r="D313" s="175" t="str">
        <f>IF(Valeurs_saisies,IF(colonneA&lt;&gt;"",H312,""),"")</f>
        <v/>
      </c>
      <c r="E313" s="175" t="str">
        <f t="shared" si="8"/>
        <v/>
      </c>
      <c r="F313" s="175" t="str">
        <f>IF(Valeurs_saisies,IF(colonneA&lt;&gt;"",mensualite-G313,""),"")</f>
        <v/>
      </c>
      <c r="G313" s="175" t="str">
        <f>IF(Valeurs_saisies,IF(colonneA&lt;&gt;"",capital_restant_du*(taux_interet_annueld/nombre_versements_an),""),"")</f>
        <v/>
      </c>
      <c r="H313" s="175" t="str">
        <f>IF(Valeurs_saisies,IF(colonneA&lt;&gt;"",D313-F313,""),"")</f>
        <v/>
      </c>
      <c r="L313" s="172">
        <f t="shared" si="9"/>
        <v>25</v>
      </c>
    </row>
    <row r="314" spans="2:12" s="169" customFormat="1" ht="14.25" customHeight="1">
      <c r="B314" s="173" t="str">
        <f>IF(Valeurs_saisies,IF(duree_du_pret&gt;L314,B313+1,""),"")</f>
        <v/>
      </c>
      <c r="C314" s="174" t="str">
        <f>IF(Valeurs_saisies,IF(colonneA&lt;&gt;"",DATE(YEAR($D$9),MONTH($D$9)+(colonneA)*12/nombre_versements_an,DAY($D$9)),""),"")</f>
        <v/>
      </c>
      <c r="D314" s="175" t="str">
        <f>IF(Valeurs_saisies,IF(colonneA&lt;&gt;"",H313,""),"")</f>
        <v/>
      </c>
      <c r="E314" s="175" t="str">
        <f t="shared" si="8"/>
        <v/>
      </c>
      <c r="F314" s="175" t="str">
        <f>IF(Valeurs_saisies,IF(colonneA&lt;&gt;"",mensualite-G314,""),"")</f>
        <v/>
      </c>
      <c r="G314" s="175" t="str">
        <f>IF(Valeurs_saisies,IF(colonneA&lt;&gt;"",capital_restant_du*(taux_interet_annueld/nombre_versements_an),""),"")</f>
        <v/>
      </c>
      <c r="H314" s="175" t="str">
        <f>IF(Valeurs_saisies,IF(colonneA&lt;&gt;"",D314-F314,""),"")</f>
        <v/>
      </c>
      <c r="L314" s="172">
        <f t="shared" si="9"/>
        <v>25</v>
      </c>
    </row>
    <row r="315" spans="2:12" s="169" customFormat="1" ht="14.25" customHeight="1">
      <c r="B315" s="173" t="str">
        <f>IF(Valeurs_saisies,IF(duree_du_pret&gt;L315,B314+1,""),"")</f>
        <v/>
      </c>
      <c r="C315" s="174" t="str">
        <f>IF(Valeurs_saisies,IF(colonneA&lt;&gt;"",DATE(YEAR($D$9),MONTH($D$9)+(colonneA)*12/nombre_versements_an,DAY($D$9)),""),"")</f>
        <v/>
      </c>
      <c r="D315" s="175" t="str">
        <f>IF(Valeurs_saisies,IF(colonneA&lt;&gt;"",H314,""),"")</f>
        <v/>
      </c>
      <c r="E315" s="175" t="str">
        <f t="shared" si="8"/>
        <v/>
      </c>
      <c r="F315" s="175" t="str">
        <f>IF(Valeurs_saisies,IF(colonneA&lt;&gt;"",mensualite-G315,""),"")</f>
        <v/>
      </c>
      <c r="G315" s="175" t="str">
        <f>IF(Valeurs_saisies,IF(colonneA&lt;&gt;"",capital_restant_du*(taux_interet_annueld/nombre_versements_an),""),"")</f>
        <v/>
      </c>
      <c r="H315" s="175" t="str">
        <f>IF(Valeurs_saisies,IF(colonneA&lt;&gt;"",D315-F315,""),"")</f>
        <v/>
      </c>
      <c r="L315" s="172">
        <f t="shared" si="9"/>
        <v>25</v>
      </c>
    </row>
    <row r="316" spans="2:12" s="169" customFormat="1" ht="14.25" customHeight="1">
      <c r="B316" s="173" t="str">
        <f>IF(Valeurs_saisies,IF(duree_du_pret&gt;L316,B315+1,""),"")</f>
        <v/>
      </c>
      <c r="C316" s="174" t="str">
        <f>IF(Valeurs_saisies,IF(colonneA&lt;&gt;"",DATE(YEAR($D$9),MONTH($D$9)+(colonneA)*12/nombre_versements_an,DAY($D$9)),""),"")</f>
        <v/>
      </c>
      <c r="D316" s="175" t="str">
        <f>IF(Valeurs_saisies,IF(colonneA&lt;&gt;"",H315,""),"")</f>
        <v/>
      </c>
      <c r="E316" s="175" t="str">
        <f t="shared" si="8"/>
        <v/>
      </c>
      <c r="F316" s="175" t="str">
        <f>IF(Valeurs_saisies,IF(colonneA&lt;&gt;"",mensualite-G316,""),"")</f>
        <v/>
      </c>
      <c r="G316" s="175" t="str">
        <f>IF(Valeurs_saisies,IF(colonneA&lt;&gt;"",capital_restant_du*(taux_interet_annueld/nombre_versements_an),""),"")</f>
        <v/>
      </c>
      <c r="H316" s="175" t="str">
        <f>IF(Valeurs_saisies,IF(colonneA&lt;&gt;"",D316-F316,""),"")</f>
        <v/>
      </c>
      <c r="L316" s="172">
        <f t="shared" si="9"/>
        <v>25</v>
      </c>
    </row>
    <row r="317" spans="2:12" s="169" customFormat="1" ht="14.25" customHeight="1">
      <c r="B317" s="173" t="str">
        <f>IF(Valeurs_saisies,IF(duree_du_pret&gt;L317,B316+1,""),"")</f>
        <v/>
      </c>
      <c r="C317" s="174" t="str">
        <f>IF(Valeurs_saisies,IF(colonneA&lt;&gt;"",DATE(YEAR($D$9),MONTH($D$9)+(colonneA)*12/nombre_versements_an,DAY($D$9)),""),"")</f>
        <v/>
      </c>
      <c r="D317" s="175" t="str">
        <f>IF(Valeurs_saisies,IF(colonneA&lt;&gt;"",H316,""),"")</f>
        <v/>
      </c>
      <c r="E317" s="175" t="str">
        <f t="shared" si="8"/>
        <v/>
      </c>
      <c r="F317" s="175" t="str">
        <f>IF(Valeurs_saisies,IF(colonneA&lt;&gt;"",mensualite-G317,""),"")</f>
        <v/>
      </c>
      <c r="G317" s="175" t="str">
        <f>IF(Valeurs_saisies,IF(colonneA&lt;&gt;"",capital_restant_du*(taux_interet_annueld/nombre_versements_an),""),"")</f>
        <v/>
      </c>
      <c r="H317" s="175" t="str">
        <f>IF(Valeurs_saisies,IF(colonneA&lt;&gt;"",D317-F317,""),"")</f>
        <v/>
      </c>
      <c r="L317" s="172">
        <f t="shared" si="9"/>
        <v>25</v>
      </c>
    </row>
    <row r="318" spans="2:12" s="169" customFormat="1" ht="14.25" customHeight="1">
      <c r="B318" s="173" t="str">
        <f>IF(Valeurs_saisies,IF(duree_du_pret&gt;L318,B317+1,""),"")</f>
        <v/>
      </c>
      <c r="C318" s="174" t="str">
        <f>IF(Valeurs_saisies,IF(colonneA&lt;&gt;"",DATE(YEAR($D$9),MONTH($D$9)+(colonneA)*12/nombre_versements_an,DAY($D$9)),""),"")</f>
        <v/>
      </c>
      <c r="D318" s="175" t="str">
        <f>IF(Valeurs_saisies,IF(colonneA&lt;&gt;"",H317,""),"")</f>
        <v/>
      </c>
      <c r="E318" s="175" t="str">
        <f t="shared" si="8"/>
        <v/>
      </c>
      <c r="F318" s="175" t="str">
        <f>IF(Valeurs_saisies,IF(colonneA&lt;&gt;"",mensualite-G318,""),"")</f>
        <v/>
      </c>
      <c r="G318" s="175" t="str">
        <f>IF(Valeurs_saisies,IF(colonneA&lt;&gt;"",capital_restant_du*(taux_interet_annueld/nombre_versements_an),""),"")</f>
        <v/>
      </c>
      <c r="H318" s="175" t="str">
        <f>IF(Valeurs_saisies,IF(colonneA&lt;&gt;"",D318-F318,""),"")</f>
        <v/>
      </c>
      <c r="L318" s="172">
        <f t="shared" si="9"/>
        <v>25</v>
      </c>
    </row>
    <row r="319" spans="2:12" s="169" customFormat="1" ht="14.25" customHeight="1">
      <c r="B319" s="173" t="str">
        <f>IF(Valeurs_saisies,IF(duree_du_pret&gt;L319,B318+1,""),"")</f>
        <v/>
      </c>
      <c r="C319" s="174" t="str">
        <f>IF(Valeurs_saisies,IF(colonneA&lt;&gt;"",DATE(YEAR($D$9),MONTH($D$9)+(colonneA)*12/nombre_versements_an,DAY($D$9)),""),"")</f>
        <v/>
      </c>
      <c r="D319" s="175" t="str">
        <f>IF(Valeurs_saisies,IF(colonneA&lt;&gt;"",H318,""),"")</f>
        <v/>
      </c>
      <c r="E319" s="175" t="str">
        <f t="shared" si="8"/>
        <v/>
      </c>
      <c r="F319" s="175" t="str">
        <f>IF(Valeurs_saisies,IF(colonneA&lt;&gt;"",mensualite-G319,""),"")</f>
        <v/>
      </c>
      <c r="G319" s="175" t="str">
        <f>IF(Valeurs_saisies,IF(colonneA&lt;&gt;"",capital_restant_du*(taux_interet_annueld/nombre_versements_an),""),"")</f>
        <v/>
      </c>
      <c r="H319" s="175" t="str">
        <f>IF(Valeurs_saisies,IF(colonneA&lt;&gt;"",D319-F319,""),"")</f>
        <v/>
      </c>
      <c r="L319" s="172">
        <f t="shared" si="9"/>
        <v>25</v>
      </c>
    </row>
    <row r="320" spans="2:12" s="169" customFormat="1" ht="14.25" customHeight="1">
      <c r="B320" s="173" t="str">
        <f>IF(Valeurs_saisies,IF(duree_du_pret&gt;L320,B319+1,""),"")</f>
        <v/>
      </c>
      <c r="C320" s="174" t="str">
        <f>IF(Valeurs_saisies,IF(colonneA&lt;&gt;"",DATE(YEAR($D$9),MONTH($D$9)+(colonneA)*12/nombre_versements_an,DAY($D$9)),""),"")</f>
        <v/>
      </c>
      <c r="D320" s="175" t="str">
        <f>IF(Valeurs_saisies,IF(colonneA&lt;&gt;"",H319,""),"")</f>
        <v/>
      </c>
      <c r="E320" s="175" t="str">
        <f t="shared" si="8"/>
        <v/>
      </c>
      <c r="F320" s="175" t="str">
        <f>IF(Valeurs_saisies,IF(colonneA&lt;&gt;"",mensualite-G320,""),"")</f>
        <v/>
      </c>
      <c r="G320" s="175" t="str">
        <f>IF(Valeurs_saisies,IF(colonneA&lt;&gt;"",capital_restant_du*(taux_interet_annueld/nombre_versements_an),""),"")</f>
        <v/>
      </c>
      <c r="H320" s="175" t="str">
        <f>IF(Valeurs_saisies,IF(colonneA&lt;&gt;"",D320-F320,""),"")</f>
        <v/>
      </c>
      <c r="L320" s="172">
        <f t="shared" si="9"/>
        <v>25</v>
      </c>
    </row>
    <row r="321" spans="2:12" s="169" customFormat="1" ht="14.25" customHeight="1">
      <c r="B321" s="173" t="str">
        <f>IF(Valeurs_saisies,IF(duree_du_pret&gt;L321,B320+1,""),"")</f>
        <v/>
      </c>
      <c r="C321" s="174" t="str">
        <f>IF(Valeurs_saisies,IF(colonneA&lt;&gt;"",DATE(YEAR($D$9),MONTH($D$9)+(colonneA)*12/nombre_versements_an,DAY($D$9)),""),"")</f>
        <v/>
      </c>
      <c r="D321" s="175" t="str">
        <f>IF(Valeurs_saisies,IF(colonneA&lt;&gt;"",H320,""),"")</f>
        <v/>
      </c>
      <c r="E321" s="175" t="str">
        <f t="shared" si="8"/>
        <v/>
      </c>
      <c r="F321" s="175" t="str">
        <f>IF(Valeurs_saisies,IF(colonneA&lt;&gt;"",mensualite-G321,""),"")</f>
        <v/>
      </c>
      <c r="G321" s="175" t="str">
        <f>IF(Valeurs_saisies,IF(colonneA&lt;&gt;"",capital_restant_du*(taux_interet_annueld/nombre_versements_an),""),"")</f>
        <v/>
      </c>
      <c r="H321" s="175" t="str">
        <f>IF(Valeurs_saisies,IF(colonneA&lt;&gt;"",D321-F321,""),"")</f>
        <v/>
      </c>
      <c r="L321" s="172">
        <f t="shared" si="9"/>
        <v>25</v>
      </c>
    </row>
    <row r="322" spans="2:12" s="169" customFormat="1" ht="14.25" customHeight="1">
      <c r="B322" s="173" t="str">
        <f>IF(Valeurs_saisies,IF(duree_du_pret&gt;L322,B321+1,""),"")</f>
        <v/>
      </c>
      <c r="C322" s="174" t="str">
        <f>IF(Valeurs_saisies,IF(colonneA&lt;&gt;"",DATE(YEAR($D$9),MONTH($D$9)+(colonneA)*12/nombre_versements_an,DAY($D$9)),""),"")</f>
        <v/>
      </c>
      <c r="D322" s="175" t="str">
        <f>IF(Valeurs_saisies,IF(colonneA&lt;&gt;"",H321,""),"")</f>
        <v/>
      </c>
      <c r="E322" s="175" t="str">
        <f t="shared" si="8"/>
        <v/>
      </c>
      <c r="F322" s="175" t="str">
        <f>IF(Valeurs_saisies,IF(colonneA&lt;&gt;"",mensualite-G322,""),"")</f>
        <v/>
      </c>
      <c r="G322" s="175" t="str">
        <f>IF(Valeurs_saisies,IF(colonneA&lt;&gt;"",capital_restant_du*(taux_interet_annueld/nombre_versements_an),""),"")</f>
        <v/>
      </c>
      <c r="H322" s="175" t="str">
        <f>IF(Valeurs_saisies,IF(colonneA&lt;&gt;"",D322-F322,""),"")</f>
        <v/>
      </c>
      <c r="L322" s="172">
        <f t="shared" si="9"/>
        <v>25</v>
      </c>
    </row>
    <row r="323" spans="2:12" s="169" customFormat="1" ht="14.25" customHeight="1">
      <c r="B323" s="173" t="str">
        <f>IF(Valeurs_saisies,IF(duree_du_pret&gt;L323,B322+1,""),"")</f>
        <v/>
      </c>
      <c r="C323" s="174" t="str">
        <f>IF(Valeurs_saisies,IF(colonneA&lt;&gt;"",DATE(YEAR($D$9),MONTH($D$9)+(colonneA)*12/nombre_versements_an,DAY($D$9)),""),"")</f>
        <v/>
      </c>
      <c r="D323" s="175" t="str">
        <f>IF(Valeurs_saisies,IF(colonneA&lt;&gt;"",H322,""),"")</f>
        <v/>
      </c>
      <c r="E323" s="175" t="str">
        <f t="shared" si="8"/>
        <v/>
      </c>
      <c r="F323" s="175" t="str">
        <f>IF(Valeurs_saisies,IF(colonneA&lt;&gt;"",mensualite-G323,""),"")</f>
        <v/>
      </c>
      <c r="G323" s="175" t="str">
        <f>IF(Valeurs_saisies,IF(colonneA&lt;&gt;"",capital_restant_du*(taux_interet_annueld/nombre_versements_an),""),"")</f>
        <v/>
      </c>
      <c r="H323" s="175" t="str">
        <f>IF(Valeurs_saisies,IF(colonneA&lt;&gt;"",D323-F323,""),"")</f>
        <v/>
      </c>
      <c r="L323" s="172">
        <f t="shared" si="9"/>
        <v>25</v>
      </c>
    </row>
    <row r="324" spans="2:12" s="169" customFormat="1" ht="14.25" customHeight="1">
      <c r="B324" s="173" t="str">
        <f>IF(Valeurs_saisies,IF(duree_du_pret&gt;L324,B323+1,""),"")</f>
        <v/>
      </c>
      <c r="C324" s="174" t="str">
        <f>IF(Valeurs_saisies,IF(colonneA&lt;&gt;"",DATE(YEAR($D$9),MONTH($D$9)+(colonneA)*12/nombre_versements_an,DAY($D$9)),""),"")</f>
        <v/>
      </c>
      <c r="D324" s="175" t="str">
        <f>IF(Valeurs_saisies,IF(colonneA&lt;&gt;"",H323,""),"")</f>
        <v/>
      </c>
      <c r="E324" s="175" t="str">
        <f t="shared" si="8"/>
        <v/>
      </c>
      <c r="F324" s="175" t="str">
        <f>IF(Valeurs_saisies,IF(colonneA&lt;&gt;"",mensualite-G324,""),"")</f>
        <v/>
      </c>
      <c r="G324" s="175" t="str">
        <f>IF(Valeurs_saisies,IF(colonneA&lt;&gt;"",capital_restant_du*(taux_interet_annueld/nombre_versements_an),""),"")</f>
        <v/>
      </c>
      <c r="H324" s="175" t="str">
        <f>IF(Valeurs_saisies,IF(colonneA&lt;&gt;"",D324-F324,""),"")</f>
        <v/>
      </c>
      <c r="L324" s="172">
        <f t="shared" si="9"/>
        <v>26</v>
      </c>
    </row>
    <row r="325" spans="2:12" s="169" customFormat="1" ht="14.25" customHeight="1">
      <c r="B325" s="173" t="str">
        <f>IF(Valeurs_saisies,IF(duree_du_pret&gt;L325,B324+1,""),"")</f>
        <v/>
      </c>
      <c r="C325" s="174" t="str">
        <f>IF(Valeurs_saisies,IF(colonneA&lt;&gt;"",DATE(YEAR($D$9),MONTH($D$9)+(colonneA)*12/nombre_versements_an,DAY($D$9)),""),"")</f>
        <v/>
      </c>
      <c r="D325" s="175" t="str">
        <f>IF(Valeurs_saisies,IF(colonneA&lt;&gt;"",H324,""),"")</f>
        <v/>
      </c>
      <c r="E325" s="175" t="str">
        <f t="shared" si="8"/>
        <v/>
      </c>
      <c r="F325" s="175" t="str">
        <f>IF(Valeurs_saisies,IF(colonneA&lt;&gt;"",mensualite-G325,""),"")</f>
        <v/>
      </c>
      <c r="G325" s="175" t="str">
        <f>IF(Valeurs_saisies,IF(colonneA&lt;&gt;"",capital_restant_du*(taux_interet_annueld/nombre_versements_an),""),"")</f>
        <v/>
      </c>
      <c r="H325" s="175" t="str">
        <f>IF(Valeurs_saisies,IF(colonneA&lt;&gt;"",D325-F325,""),"")</f>
        <v/>
      </c>
      <c r="L325" s="172">
        <f t="shared" si="9"/>
        <v>26</v>
      </c>
    </row>
    <row r="326" spans="2:12" s="169" customFormat="1" ht="14.25" customHeight="1">
      <c r="B326" s="173" t="str">
        <f>IF(Valeurs_saisies,IF(duree_du_pret&gt;L326,B325+1,""),"")</f>
        <v/>
      </c>
      <c r="C326" s="174" t="str">
        <f>IF(Valeurs_saisies,IF(colonneA&lt;&gt;"",DATE(YEAR($D$9),MONTH($D$9)+(colonneA)*12/nombre_versements_an,DAY($D$9)),""),"")</f>
        <v/>
      </c>
      <c r="D326" s="175" t="str">
        <f>IF(Valeurs_saisies,IF(colonneA&lt;&gt;"",H325,""),"")</f>
        <v/>
      </c>
      <c r="E326" s="175" t="str">
        <f t="shared" si="8"/>
        <v/>
      </c>
      <c r="F326" s="175" t="str">
        <f>IF(Valeurs_saisies,IF(colonneA&lt;&gt;"",mensualite-G326,""),"")</f>
        <v/>
      </c>
      <c r="G326" s="175" t="str">
        <f>IF(Valeurs_saisies,IF(colonneA&lt;&gt;"",capital_restant_du*(taux_interet_annueld/nombre_versements_an),""),"")</f>
        <v/>
      </c>
      <c r="H326" s="175" t="str">
        <f>IF(Valeurs_saisies,IF(colonneA&lt;&gt;"",D326-F326,""),"")</f>
        <v/>
      </c>
      <c r="L326" s="172">
        <f t="shared" si="9"/>
        <v>26</v>
      </c>
    </row>
    <row r="327" spans="2:12" s="169" customFormat="1" ht="14.25" customHeight="1">
      <c r="B327" s="173" t="str">
        <f>IF(Valeurs_saisies,IF(duree_du_pret&gt;L327,B326+1,""),"")</f>
        <v/>
      </c>
      <c r="C327" s="174" t="str">
        <f>IF(Valeurs_saisies,IF(colonneA&lt;&gt;"",DATE(YEAR($D$9),MONTH($D$9)+(colonneA)*12/nombre_versements_an,DAY($D$9)),""),"")</f>
        <v/>
      </c>
      <c r="D327" s="175" t="str">
        <f>IF(Valeurs_saisies,IF(colonneA&lt;&gt;"",H326,""),"")</f>
        <v/>
      </c>
      <c r="E327" s="175" t="str">
        <f t="shared" si="8"/>
        <v/>
      </c>
      <c r="F327" s="175" t="str">
        <f>IF(Valeurs_saisies,IF(colonneA&lt;&gt;"",mensualite-G327,""),"")</f>
        <v/>
      </c>
      <c r="G327" s="175" t="str">
        <f>IF(Valeurs_saisies,IF(colonneA&lt;&gt;"",capital_restant_du*(taux_interet_annueld/nombre_versements_an),""),"")</f>
        <v/>
      </c>
      <c r="H327" s="175" t="str">
        <f>IF(Valeurs_saisies,IF(colonneA&lt;&gt;"",D327-F327,""),"")</f>
        <v/>
      </c>
      <c r="L327" s="172">
        <f t="shared" si="9"/>
        <v>26</v>
      </c>
    </row>
    <row r="328" spans="2:12" s="169" customFormat="1" ht="14.25" customHeight="1">
      <c r="B328" s="173" t="str">
        <f>IF(Valeurs_saisies,IF(duree_du_pret&gt;L328,B327+1,""),"")</f>
        <v/>
      </c>
      <c r="C328" s="174" t="str">
        <f>IF(Valeurs_saisies,IF(colonneA&lt;&gt;"",DATE(YEAR($D$9),MONTH($D$9)+(colonneA)*12/nombre_versements_an,DAY($D$9)),""),"")</f>
        <v/>
      </c>
      <c r="D328" s="175" t="str">
        <f>IF(Valeurs_saisies,IF(colonneA&lt;&gt;"",H327,""),"")</f>
        <v/>
      </c>
      <c r="E328" s="175" t="str">
        <f t="shared" si="8"/>
        <v/>
      </c>
      <c r="F328" s="175" t="str">
        <f>IF(Valeurs_saisies,IF(colonneA&lt;&gt;"",mensualite-G328,""),"")</f>
        <v/>
      </c>
      <c r="G328" s="175" t="str">
        <f>IF(Valeurs_saisies,IF(colonneA&lt;&gt;"",capital_restant_du*(taux_interet_annueld/nombre_versements_an),""),"")</f>
        <v/>
      </c>
      <c r="H328" s="175" t="str">
        <f>IF(Valeurs_saisies,IF(colonneA&lt;&gt;"",D328-F328,""),"")</f>
        <v/>
      </c>
      <c r="L328" s="172">
        <f t="shared" si="9"/>
        <v>26</v>
      </c>
    </row>
    <row r="329" spans="2:12" s="169" customFormat="1" ht="14.25" customHeight="1">
      <c r="B329" s="173" t="str">
        <f>IF(Valeurs_saisies,IF(duree_du_pret&gt;L329,B328+1,""),"")</f>
        <v/>
      </c>
      <c r="C329" s="174" t="str">
        <f>IF(Valeurs_saisies,IF(colonneA&lt;&gt;"",DATE(YEAR($D$9),MONTH($D$9)+(colonneA)*12/nombre_versements_an,DAY($D$9)),""),"")</f>
        <v/>
      </c>
      <c r="D329" s="175" t="str">
        <f>IF(Valeurs_saisies,IF(colonneA&lt;&gt;"",H328,""),"")</f>
        <v/>
      </c>
      <c r="E329" s="175" t="str">
        <f t="shared" si="8"/>
        <v/>
      </c>
      <c r="F329" s="175" t="str">
        <f>IF(Valeurs_saisies,IF(colonneA&lt;&gt;"",mensualite-G329,""),"")</f>
        <v/>
      </c>
      <c r="G329" s="175" t="str">
        <f>IF(Valeurs_saisies,IF(colonneA&lt;&gt;"",capital_restant_du*(taux_interet_annueld/nombre_versements_an),""),"")</f>
        <v/>
      </c>
      <c r="H329" s="175" t="str">
        <f>IF(Valeurs_saisies,IF(colonneA&lt;&gt;"",D329-F329,""),"")</f>
        <v/>
      </c>
      <c r="L329" s="172">
        <f t="shared" si="9"/>
        <v>26</v>
      </c>
    </row>
    <row r="330" spans="2:12" s="169" customFormat="1" ht="14.25" customHeight="1">
      <c r="B330" s="173" t="str">
        <f>IF(Valeurs_saisies,IF(duree_du_pret&gt;L330,B329+1,""),"")</f>
        <v/>
      </c>
      <c r="C330" s="174" t="str">
        <f>IF(Valeurs_saisies,IF(colonneA&lt;&gt;"",DATE(YEAR($D$9),MONTH($D$9)+(colonneA)*12/nombre_versements_an,DAY($D$9)),""),"")</f>
        <v/>
      </c>
      <c r="D330" s="175" t="str">
        <f>IF(Valeurs_saisies,IF(colonneA&lt;&gt;"",H329,""),"")</f>
        <v/>
      </c>
      <c r="E330" s="175" t="str">
        <f t="shared" si="8"/>
        <v/>
      </c>
      <c r="F330" s="175" t="str">
        <f>IF(Valeurs_saisies,IF(colonneA&lt;&gt;"",mensualite-G330,""),"")</f>
        <v/>
      </c>
      <c r="G330" s="175" t="str">
        <f>IF(Valeurs_saisies,IF(colonneA&lt;&gt;"",capital_restant_du*(taux_interet_annueld/nombre_versements_an),""),"")</f>
        <v/>
      </c>
      <c r="H330" s="175" t="str">
        <f>IF(Valeurs_saisies,IF(colonneA&lt;&gt;"",D330-F330,""),"")</f>
        <v/>
      </c>
      <c r="L330" s="172">
        <f t="shared" si="9"/>
        <v>26</v>
      </c>
    </row>
    <row r="331" spans="2:12" s="169" customFormat="1" ht="14.25" customHeight="1">
      <c r="B331" s="173" t="str">
        <f>IF(Valeurs_saisies,IF(duree_du_pret&gt;L331,B330+1,""),"")</f>
        <v/>
      </c>
      <c r="C331" s="174" t="str">
        <f>IF(Valeurs_saisies,IF(colonneA&lt;&gt;"",DATE(YEAR($D$9),MONTH($D$9)+(colonneA)*12/nombre_versements_an,DAY($D$9)),""),"")</f>
        <v/>
      </c>
      <c r="D331" s="175" t="str">
        <f>IF(Valeurs_saisies,IF(colonneA&lt;&gt;"",H330,""),"")</f>
        <v/>
      </c>
      <c r="E331" s="175" t="str">
        <f t="shared" si="8"/>
        <v/>
      </c>
      <c r="F331" s="175" t="str">
        <f>IF(Valeurs_saisies,IF(colonneA&lt;&gt;"",mensualite-G331,""),"")</f>
        <v/>
      </c>
      <c r="G331" s="175" t="str">
        <f>IF(Valeurs_saisies,IF(colonneA&lt;&gt;"",capital_restant_du*(taux_interet_annueld/nombre_versements_an),""),"")</f>
        <v/>
      </c>
      <c r="H331" s="175" t="str">
        <f>IF(Valeurs_saisies,IF(colonneA&lt;&gt;"",D331-F331,""),"")</f>
        <v/>
      </c>
      <c r="L331" s="172">
        <f t="shared" si="9"/>
        <v>26</v>
      </c>
    </row>
    <row r="332" spans="2:12" s="169" customFormat="1" ht="14.25" customHeight="1">
      <c r="B332" s="173" t="str">
        <f>IF(Valeurs_saisies,IF(duree_du_pret&gt;L332,B331+1,""),"")</f>
        <v/>
      </c>
      <c r="C332" s="174" t="str">
        <f>IF(Valeurs_saisies,IF(colonneA&lt;&gt;"",DATE(YEAR($D$9),MONTH($D$9)+(colonneA)*12/nombre_versements_an,DAY($D$9)),""),"")</f>
        <v/>
      </c>
      <c r="D332" s="175" t="str">
        <f>IF(Valeurs_saisies,IF(colonneA&lt;&gt;"",H331,""),"")</f>
        <v/>
      </c>
      <c r="E332" s="175" t="str">
        <f t="shared" ref="E332:E371" si="10">IF(colonneA&lt;&gt;"",$H$5,"")</f>
        <v/>
      </c>
      <c r="F332" s="175" t="str">
        <f>IF(Valeurs_saisies,IF(colonneA&lt;&gt;"",mensualite-G332,""),"")</f>
        <v/>
      </c>
      <c r="G332" s="175" t="str">
        <f>IF(Valeurs_saisies,IF(colonneA&lt;&gt;"",capital_restant_du*(taux_interet_annueld/nombre_versements_an),""),"")</f>
        <v/>
      </c>
      <c r="H332" s="175" t="str">
        <f>IF(Valeurs_saisies,IF(colonneA&lt;&gt;"",D332-F332,""),"")</f>
        <v/>
      </c>
      <c r="L332" s="172">
        <f t="shared" si="9"/>
        <v>26</v>
      </c>
    </row>
    <row r="333" spans="2:12" s="169" customFormat="1" ht="14.25" customHeight="1">
      <c r="B333" s="173" t="str">
        <f>IF(Valeurs_saisies,IF(duree_du_pret&gt;L333,B332+1,""),"")</f>
        <v/>
      </c>
      <c r="C333" s="174" t="str">
        <f>IF(Valeurs_saisies,IF(colonneA&lt;&gt;"",DATE(YEAR($D$9),MONTH($D$9)+(colonneA)*12/nombre_versements_an,DAY($D$9)),""),"")</f>
        <v/>
      </c>
      <c r="D333" s="175" t="str">
        <f>IF(Valeurs_saisies,IF(colonneA&lt;&gt;"",H332,""),"")</f>
        <v/>
      </c>
      <c r="E333" s="175" t="str">
        <f t="shared" si="10"/>
        <v/>
      </c>
      <c r="F333" s="175" t="str">
        <f>IF(Valeurs_saisies,IF(colonneA&lt;&gt;"",mensualite-G333,""),"")</f>
        <v/>
      </c>
      <c r="G333" s="175" t="str">
        <f>IF(Valeurs_saisies,IF(colonneA&lt;&gt;"",capital_restant_du*(taux_interet_annueld/nombre_versements_an),""),"")</f>
        <v/>
      </c>
      <c r="H333" s="175" t="str">
        <f>IF(Valeurs_saisies,IF(colonneA&lt;&gt;"",D333-F333,""),"")</f>
        <v/>
      </c>
      <c r="L333" s="172">
        <f t="shared" si="9"/>
        <v>26</v>
      </c>
    </row>
    <row r="334" spans="2:12" s="169" customFormat="1" ht="14.25" customHeight="1">
      <c r="B334" s="173" t="str">
        <f>IF(Valeurs_saisies,IF(duree_du_pret&gt;L334,B333+1,""),"")</f>
        <v/>
      </c>
      <c r="C334" s="174" t="str">
        <f>IF(Valeurs_saisies,IF(colonneA&lt;&gt;"",DATE(YEAR($D$9),MONTH($D$9)+(colonneA)*12/nombre_versements_an,DAY($D$9)),""),"")</f>
        <v/>
      </c>
      <c r="D334" s="175" t="str">
        <f>IF(Valeurs_saisies,IF(colonneA&lt;&gt;"",H333,""),"")</f>
        <v/>
      </c>
      <c r="E334" s="175" t="str">
        <f t="shared" si="10"/>
        <v/>
      </c>
      <c r="F334" s="175" t="str">
        <f>IF(Valeurs_saisies,IF(colonneA&lt;&gt;"",mensualite-G334,""),"")</f>
        <v/>
      </c>
      <c r="G334" s="175" t="str">
        <f>IF(Valeurs_saisies,IF(colonneA&lt;&gt;"",capital_restant_du*(taux_interet_annueld/nombre_versements_an),""),"")</f>
        <v/>
      </c>
      <c r="H334" s="175" t="str">
        <f>IF(Valeurs_saisies,IF(colonneA&lt;&gt;"",D334-F334,""),"")</f>
        <v/>
      </c>
      <c r="L334" s="172">
        <f t="shared" si="9"/>
        <v>26</v>
      </c>
    </row>
    <row r="335" spans="2:12" s="169" customFormat="1" ht="14.25" customHeight="1">
      <c r="B335" s="173" t="str">
        <f>IF(Valeurs_saisies,IF(duree_du_pret&gt;L335,B334+1,""),"")</f>
        <v/>
      </c>
      <c r="C335" s="174" t="str">
        <f>IF(Valeurs_saisies,IF(colonneA&lt;&gt;"",DATE(YEAR($D$9),MONTH($D$9)+(colonneA)*12/nombre_versements_an,DAY($D$9)),""),"")</f>
        <v/>
      </c>
      <c r="D335" s="175" t="str">
        <f>IF(Valeurs_saisies,IF(colonneA&lt;&gt;"",H334,""),"")</f>
        <v/>
      </c>
      <c r="E335" s="175" t="str">
        <f t="shared" si="10"/>
        <v/>
      </c>
      <c r="F335" s="175" t="str">
        <f>IF(Valeurs_saisies,IF(colonneA&lt;&gt;"",mensualite-G335,""),"")</f>
        <v/>
      </c>
      <c r="G335" s="175" t="str">
        <f>IF(Valeurs_saisies,IF(colonneA&lt;&gt;"",capital_restant_du*(taux_interet_annueld/nombre_versements_an),""),"")</f>
        <v/>
      </c>
      <c r="H335" s="175" t="str">
        <f>IF(Valeurs_saisies,IF(colonneA&lt;&gt;"",D335-F335,""),"")</f>
        <v/>
      </c>
      <c r="L335" s="172">
        <f t="shared" si="9"/>
        <v>26</v>
      </c>
    </row>
    <row r="336" spans="2:12" s="169" customFormat="1" ht="14.25" customHeight="1">
      <c r="B336" s="173" t="str">
        <f>IF(Valeurs_saisies,IF(duree_du_pret&gt;L336,B335+1,""),"")</f>
        <v/>
      </c>
      <c r="C336" s="174" t="str">
        <f>IF(Valeurs_saisies,IF(colonneA&lt;&gt;"",DATE(YEAR($D$9),MONTH($D$9)+(colonneA)*12/nombre_versements_an,DAY($D$9)),""),"")</f>
        <v/>
      </c>
      <c r="D336" s="175" t="str">
        <f>IF(Valeurs_saisies,IF(colonneA&lt;&gt;"",H335,""),"")</f>
        <v/>
      </c>
      <c r="E336" s="175" t="str">
        <f t="shared" si="10"/>
        <v/>
      </c>
      <c r="F336" s="175" t="str">
        <f>IF(Valeurs_saisies,IF(colonneA&lt;&gt;"",mensualite-G336,""),"")</f>
        <v/>
      </c>
      <c r="G336" s="175" t="str">
        <f>IF(Valeurs_saisies,IF(colonneA&lt;&gt;"",capital_restant_du*(taux_interet_annueld/nombre_versements_an),""),"")</f>
        <v/>
      </c>
      <c r="H336" s="175" t="str">
        <f>IF(Valeurs_saisies,IF(colonneA&lt;&gt;"",D336-F336,""),"")</f>
        <v/>
      </c>
      <c r="L336" s="172">
        <f t="shared" si="9"/>
        <v>27</v>
      </c>
    </row>
    <row r="337" spans="2:12" s="169" customFormat="1" ht="14.25" customHeight="1">
      <c r="B337" s="173" t="str">
        <f>IF(Valeurs_saisies,IF(duree_du_pret&gt;L337,B336+1,""),"")</f>
        <v/>
      </c>
      <c r="C337" s="174" t="str">
        <f>IF(Valeurs_saisies,IF(colonneA&lt;&gt;"",DATE(YEAR($D$9),MONTH($D$9)+(colonneA)*12/nombre_versements_an,DAY($D$9)),""),"")</f>
        <v/>
      </c>
      <c r="D337" s="175" t="str">
        <f>IF(Valeurs_saisies,IF(colonneA&lt;&gt;"",H336,""),"")</f>
        <v/>
      </c>
      <c r="E337" s="175" t="str">
        <f t="shared" si="10"/>
        <v/>
      </c>
      <c r="F337" s="175" t="str">
        <f>IF(Valeurs_saisies,IF(colonneA&lt;&gt;"",mensualite-G337,""),"")</f>
        <v/>
      </c>
      <c r="G337" s="175" t="str">
        <f>IF(Valeurs_saisies,IF(colonneA&lt;&gt;"",capital_restant_du*(taux_interet_annueld/nombre_versements_an),""),"")</f>
        <v/>
      </c>
      <c r="H337" s="175" t="str">
        <f>IF(Valeurs_saisies,IF(colonneA&lt;&gt;"",D337-F337,""),"")</f>
        <v/>
      </c>
      <c r="L337" s="172">
        <f t="shared" si="9"/>
        <v>27</v>
      </c>
    </row>
    <row r="338" spans="2:12" s="169" customFormat="1" ht="14.25" customHeight="1">
      <c r="B338" s="173" t="str">
        <f>IF(Valeurs_saisies,IF(duree_du_pret&gt;L338,B337+1,""),"")</f>
        <v/>
      </c>
      <c r="C338" s="174" t="str">
        <f>IF(Valeurs_saisies,IF(colonneA&lt;&gt;"",DATE(YEAR($D$9),MONTH($D$9)+(colonneA)*12/nombre_versements_an,DAY($D$9)),""),"")</f>
        <v/>
      </c>
      <c r="D338" s="175" t="str">
        <f>IF(Valeurs_saisies,IF(colonneA&lt;&gt;"",H337,""),"")</f>
        <v/>
      </c>
      <c r="E338" s="175" t="str">
        <f t="shared" si="10"/>
        <v/>
      </c>
      <c r="F338" s="175" t="str">
        <f>IF(Valeurs_saisies,IF(colonneA&lt;&gt;"",mensualite-G338,""),"")</f>
        <v/>
      </c>
      <c r="G338" s="175" t="str">
        <f>IF(Valeurs_saisies,IF(colonneA&lt;&gt;"",capital_restant_du*(taux_interet_annueld/nombre_versements_an),""),"")</f>
        <v/>
      </c>
      <c r="H338" s="175" t="str">
        <f>IF(Valeurs_saisies,IF(colonneA&lt;&gt;"",D338-F338,""),"")</f>
        <v/>
      </c>
      <c r="L338" s="172">
        <f t="shared" si="9"/>
        <v>27</v>
      </c>
    </row>
    <row r="339" spans="2:12" s="169" customFormat="1" ht="14.25" customHeight="1">
      <c r="B339" s="173" t="str">
        <f>IF(Valeurs_saisies,IF(duree_du_pret&gt;L339,B338+1,""),"")</f>
        <v/>
      </c>
      <c r="C339" s="174" t="str">
        <f>IF(Valeurs_saisies,IF(colonneA&lt;&gt;"",DATE(YEAR($D$9),MONTH($D$9)+(colonneA)*12/nombre_versements_an,DAY($D$9)),""),"")</f>
        <v/>
      </c>
      <c r="D339" s="175" t="str">
        <f>IF(Valeurs_saisies,IF(colonneA&lt;&gt;"",H338,""),"")</f>
        <v/>
      </c>
      <c r="E339" s="175" t="str">
        <f t="shared" si="10"/>
        <v/>
      </c>
      <c r="F339" s="175" t="str">
        <f>IF(Valeurs_saisies,IF(colonneA&lt;&gt;"",mensualite-G339,""),"")</f>
        <v/>
      </c>
      <c r="G339" s="175" t="str">
        <f>IF(Valeurs_saisies,IF(colonneA&lt;&gt;"",capital_restant_du*(taux_interet_annueld/nombre_versements_an),""),"")</f>
        <v/>
      </c>
      <c r="H339" s="175" t="str">
        <f>IF(Valeurs_saisies,IF(colonneA&lt;&gt;"",D339-F339,""),"")</f>
        <v/>
      </c>
      <c r="L339" s="172">
        <f t="shared" si="9"/>
        <v>27</v>
      </c>
    </row>
    <row r="340" spans="2:12" s="169" customFormat="1" ht="14.25" customHeight="1">
      <c r="B340" s="173" t="str">
        <f>IF(Valeurs_saisies,IF(duree_du_pret&gt;L340,B339+1,""),"")</f>
        <v/>
      </c>
      <c r="C340" s="174" t="str">
        <f>IF(Valeurs_saisies,IF(colonneA&lt;&gt;"",DATE(YEAR($D$9),MONTH($D$9)+(colonneA)*12/nombre_versements_an,DAY($D$9)),""),"")</f>
        <v/>
      </c>
      <c r="D340" s="175" t="str">
        <f>IF(Valeurs_saisies,IF(colonneA&lt;&gt;"",H339,""),"")</f>
        <v/>
      </c>
      <c r="E340" s="175" t="str">
        <f t="shared" si="10"/>
        <v/>
      </c>
      <c r="F340" s="175" t="str">
        <f>IF(Valeurs_saisies,IF(colonneA&lt;&gt;"",mensualite-G340,""),"")</f>
        <v/>
      </c>
      <c r="G340" s="175" t="str">
        <f>IF(Valeurs_saisies,IF(colonneA&lt;&gt;"",capital_restant_du*(taux_interet_annueld/nombre_versements_an),""),"")</f>
        <v/>
      </c>
      <c r="H340" s="175" t="str">
        <f>IF(Valeurs_saisies,IF(colonneA&lt;&gt;"",D340-F340,""),"")</f>
        <v/>
      </c>
      <c r="L340" s="172">
        <f t="shared" si="9"/>
        <v>27</v>
      </c>
    </row>
    <row r="341" spans="2:12" s="169" customFormat="1" ht="14.25" customHeight="1">
      <c r="B341" s="173" t="str">
        <f>IF(Valeurs_saisies,IF(duree_du_pret&gt;L341,B340+1,""),"")</f>
        <v/>
      </c>
      <c r="C341" s="174" t="str">
        <f>IF(Valeurs_saisies,IF(colonneA&lt;&gt;"",DATE(YEAR($D$9),MONTH($D$9)+(colonneA)*12/nombre_versements_an,DAY($D$9)),""),"")</f>
        <v/>
      </c>
      <c r="D341" s="175" t="str">
        <f>IF(Valeurs_saisies,IF(colonneA&lt;&gt;"",H340,""),"")</f>
        <v/>
      </c>
      <c r="E341" s="175" t="str">
        <f t="shared" si="10"/>
        <v/>
      </c>
      <c r="F341" s="175" t="str">
        <f>IF(Valeurs_saisies,IF(colonneA&lt;&gt;"",mensualite-G341,""),"")</f>
        <v/>
      </c>
      <c r="G341" s="175" t="str">
        <f>IF(Valeurs_saisies,IF(colonneA&lt;&gt;"",capital_restant_du*(taux_interet_annueld/nombre_versements_an),""),"")</f>
        <v/>
      </c>
      <c r="H341" s="175" t="str">
        <f>IF(Valeurs_saisies,IF(colonneA&lt;&gt;"",D341-F341,""),"")</f>
        <v/>
      </c>
      <c r="L341" s="172">
        <f t="shared" si="9"/>
        <v>27</v>
      </c>
    </row>
    <row r="342" spans="2:12" s="169" customFormat="1" ht="14.25" customHeight="1">
      <c r="B342" s="173" t="str">
        <f>IF(Valeurs_saisies,IF(duree_du_pret&gt;L342,B341+1,""),"")</f>
        <v/>
      </c>
      <c r="C342" s="174" t="str">
        <f>IF(Valeurs_saisies,IF(colonneA&lt;&gt;"",DATE(YEAR($D$9),MONTH($D$9)+(colonneA)*12/nombre_versements_an,DAY($D$9)),""),"")</f>
        <v/>
      </c>
      <c r="D342" s="175" t="str">
        <f>IF(Valeurs_saisies,IF(colonneA&lt;&gt;"",H341,""),"")</f>
        <v/>
      </c>
      <c r="E342" s="175" t="str">
        <f t="shared" si="10"/>
        <v/>
      </c>
      <c r="F342" s="175" t="str">
        <f>IF(Valeurs_saisies,IF(colonneA&lt;&gt;"",mensualite-G342,""),"")</f>
        <v/>
      </c>
      <c r="G342" s="175" t="str">
        <f>IF(Valeurs_saisies,IF(colonneA&lt;&gt;"",capital_restant_du*(taux_interet_annueld/nombre_versements_an),""),"")</f>
        <v/>
      </c>
      <c r="H342" s="175" t="str">
        <f>IF(Valeurs_saisies,IF(colonneA&lt;&gt;"",D342-F342,""),"")</f>
        <v/>
      </c>
      <c r="L342" s="172">
        <f t="shared" si="9"/>
        <v>27</v>
      </c>
    </row>
    <row r="343" spans="2:12" s="169" customFormat="1" ht="14.25" customHeight="1">
      <c r="B343" s="173" t="str">
        <f>IF(Valeurs_saisies,IF(duree_du_pret&gt;L343,B342+1,""),"")</f>
        <v/>
      </c>
      <c r="C343" s="174" t="str">
        <f>IF(Valeurs_saisies,IF(colonneA&lt;&gt;"",DATE(YEAR($D$9),MONTH($D$9)+(colonneA)*12/nombre_versements_an,DAY($D$9)),""),"")</f>
        <v/>
      </c>
      <c r="D343" s="175" t="str">
        <f>IF(Valeurs_saisies,IF(colonneA&lt;&gt;"",H342,""),"")</f>
        <v/>
      </c>
      <c r="E343" s="175" t="str">
        <f t="shared" si="10"/>
        <v/>
      </c>
      <c r="F343" s="175" t="str">
        <f>IF(Valeurs_saisies,IF(colonneA&lt;&gt;"",mensualite-G343,""),"")</f>
        <v/>
      </c>
      <c r="G343" s="175" t="str">
        <f>IF(Valeurs_saisies,IF(colonneA&lt;&gt;"",capital_restant_du*(taux_interet_annueld/nombre_versements_an),""),"")</f>
        <v/>
      </c>
      <c r="H343" s="175" t="str">
        <f>IF(Valeurs_saisies,IF(colonneA&lt;&gt;"",D343-F343,""),"")</f>
        <v/>
      </c>
      <c r="L343" s="172">
        <f t="shared" si="9"/>
        <v>27</v>
      </c>
    </row>
    <row r="344" spans="2:12" s="169" customFormat="1" ht="14.25" customHeight="1">
      <c r="B344" s="173" t="str">
        <f>IF(Valeurs_saisies,IF(duree_du_pret&gt;L344,B343+1,""),"")</f>
        <v/>
      </c>
      <c r="C344" s="174" t="str">
        <f>IF(Valeurs_saisies,IF(colonneA&lt;&gt;"",DATE(YEAR($D$9),MONTH($D$9)+(colonneA)*12/nombre_versements_an,DAY($D$9)),""),"")</f>
        <v/>
      </c>
      <c r="D344" s="175" t="str">
        <f>IF(Valeurs_saisies,IF(colonneA&lt;&gt;"",H343,""),"")</f>
        <v/>
      </c>
      <c r="E344" s="175" t="str">
        <f t="shared" si="10"/>
        <v/>
      </c>
      <c r="F344" s="175" t="str">
        <f>IF(Valeurs_saisies,IF(colonneA&lt;&gt;"",mensualite-G344,""),"")</f>
        <v/>
      </c>
      <c r="G344" s="175" t="str">
        <f>IF(Valeurs_saisies,IF(colonneA&lt;&gt;"",capital_restant_du*(taux_interet_annueld/nombre_versements_an),""),"")</f>
        <v/>
      </c>
      <c r="H344" s="175" t="str">
        <f>IF(Valeurs_saisies,IF(colonneA&lt;&gt;"",D344-F344,""),"")</f>
        <v/>
      </c>
      <c r="L344" s="172">
        <f t="shared" si="9"/>
        <v>27</v>
      </c>
    </row>
    <row r="345" spans="2:12" s="169" customFormat="1" ht="14.25" customHeight="1">
      <c r="B345" s="173" t="str">
        <f>IF(Valeurs_saisies,IF(duree_du_pret&gt;L345,B344+1,""),"")</f>
        <v/>
      </c>
      <c r="C345" s="174" t="str">
        <f>IF(Valeurs_saisies,IF(colonneA&lt;&gt;"",DATE(YEAR($D$9),MONTH($D$9)+(colonneA)*12/nombre_versements_an,DAY($D$9)),""),"")</f>
        <v/>
      </c>
      <c r="D345" s="175" t="str">
        <f>IF(Valeurs_saisies,IF(colonneA&lt;&gt;"",H344,""),"")</f>
        <v/>
      </c>
      <c r="E345" s="175" t="str">
        <f t="shared" si="10"/>
        <v/>
      </c>
      <c r="F345" s="175" t="str">
        <f>IF(Valeurs_saisies,IF(colonneA&lt;&gt;"",mensualite-G345,""),"")</f>
        <v/>
      </c>
      <c r="G345" s="175" t="str">
        <f>IF(Valeurs_saisies,IF(colonneA&lt;&gt;"",capital_restant_du*(taux_interet_annueld/nombre_versements_an),""),"")</f>
        <v/>
      </c>
      <c r="H345" s="175" t="str">
        <f>IF(Valeurs_saisies,IF(colonneA&lt;&gt;"",D345-F345,""),"")</f>
        <v/>
      </c>
      <c r="L345" s="172">
        <f t="shared" ref="L345:L371" si="11">L333+1</f>
        <v>27</v>
      </c>
    </row>
    <row r="346" spans="2:12" s="169" customFormat="1" ht="14.25" customHeight="1">
      <c r="B346" s="173" t="str">
        <f>IF(Valeurs_saisies,IF(duree_du_pret&gt;L346,B345+1,""),"")</f>
        <v/>
      </c>
      <c r="C346" s="174" t="str">
        <f>IF(Valeurs_saisies,IF(colonneA&lt;&gt;"",DATE(YEAR($D$9),MONTH($D$9)+(colonneA)*12/nombre_versements_an,DAY($D$9)),""),"")</f>
        <v/>
      </c>
      <c r="D346" s="175" t="str">
        <f>IF(Valeurs_saisies,IF(colonneA&lt;&gt;"",H345,""),"")</f>
        <v/>
      </c>
      <c r="E346" s="175" t="str">
        <f t="shared" si="10"/>
        <v/>
      </c>
      <c r="F346" s="175" t="str">
        <f>IF(Valeurs_saisies,IF(colonneA&lt;&gt;"",mensualite-G346,""),"")</f>
        <v/>
      </c>
      <c r="G346" s="175" t="str">
        <f>IF(Valeurs_saisies,IF(colonneA&lt;&gt;"",capital_restant_du*(taux_interet_annueld/nombre_versements_an),""),"")</f>
        <v/>
      </c>
      <c r="H346" s="175" t="str">
        <f>IF(Valeurs_saisies,IF(colonneA&lt;&gt;"",D346-F346,""),"")</f>
        <v/>
      </c>
      <c r="L346" s="172">
        <f t="shared" si="11"/>
        <v>27</v>
      </c>
    </row>
    <row r="347" spans="2:12" s="169" customFormat="1" ht="14.25" customHeight="1">
      <c r="B347" s="173" t="str">
        <f>IF(Valeurs_saisies,IF(duree_du_pret&gt;L347,B346+1,""),"")</f>
        <v/>
      </c>
      <c r="C347" s="174" t="str">
        <f>IF(Valeurs_saisies,IF(colonneA&lt;&gt;"",DATE(YEAR($D$9),MONTH($D$9)+(colonneA)*12/nombre_versements_an,DAY($D$9)),""),"")</f>
        <v/>
      </c>
      <c r="D347" s="175" t="str">
        <f>IF(Valeurs_saisies,IF(colonneA&lt;&gt;"",H346,""),"")</f>
        <v/>
      </c>
      <c r="E347" s="175" t="str">
        <f t="shared" si="10"/>
        <v/>
      </c>
      <c r="F347" s="175" t="str">
        <f>IF(Valeurs_saisies,IF(colonneA&lt;&gt;"",mensualite-G347,""),"")</f>
        <v/>
      </c>
      <c r="G347" s="175" t="str">
        <f>IF(Valeurs_saisies,IF(colonneA&lt;&gt;"",capital_restant_du*(taux_interet_annueld/nombre_versements_an),""),"")</f>
        <v/>
      </c>
      <c r="H347" s="175" t="str">
        <f>IF(Valeurs_saisies,IF(colonneA&lt;&gt;"",D347-F347,""),"")</f>
        <v/>
      </c>
      <c r="L347" s="172">
        <f t="shared" si="11"/>
        <v>27</v>
      </c>
    </row>
    <row r="348" spans="2:12" s="169" customFormat="1" ht="14.25" customHeight="1">
      <c r="B348" s="173" t="str">
        <f>IF(Valeurs_saisies,IF(duree_du_pret&gt;L348,B347+1,""),"")</f>
        <v/>
      </c>
      <c r="C348" s="174" t="str">
        <f>IF(Valeurs_saisies,IF(colonneA&lt;&gt;"",DATE(YEAR($D$9),MONTH($D$9)+(colonneA)*12/nombre_versements_an,DAY($D$9)),""),"")</f>
        <v/>
      </c>
      <c r="D348" s="175" t="str">
        <f>IF(Valeurs_saisies,IF(colonneA&lt;&gt;"",H347,""),"")</f>
        <v/>
      </c>
      <c r="E348" s="175" t="str">
        <f t="shared" si="10"/>
        <v/>
      </c>
      <c r="F348" s="175" t="str">
        <f>IF(Valeurs_saisies,IF(colonneA&lt;&gt;"",mensualite-G348,""),"")</f>
        <v/>
      </c>
      <c r="G348" s="175" t="str">
        <f>IF(Valeurs_saisies,IF(colonneA&lt;&gt;"",capital_restant_du*(taux_interet_annueld/nombre_versements_an),""),"")</f>
        <v/>
      </c>
      <c r="H348" s="175" t="str">
        <f>IF(Valeurs_saisies,IF(colonneA&lt;&gt;"",D348-F348,""),"")</f>
        <v/>
      </c>
      <c r="L348" s="172">
        <f t="shared" si="11"/>
        <v>28</v>
      </c>
    </row>
    <row r="349" spans="2:12" s="169" customFormat="1" ht="14.25" customHeight="1">
      <c r="B349" s="173" t="str">
        <f>IF(Valeurs_saisies,IF(duree_du_pret&gt;L349,B348+1,""),"")</f>
        <v/>
      </c>
      <c r="C349" s="174" t="str">
        <f>IF(Valeurs_saisies,IF(colonneA&lt;&gt;"",DATE(YEAR($D$9),MONTH($D$9)+(colonneA)*12/nombre_versements_an,DAY($D$9)),""),"")</f>
        <v/>
      </c>
      <c r="D349" s="175" t="str">
        <f>IF(Valeurs_saisies,IF(colonneA&lt;&gt;"",H348,""),"")</f>
        <v/>
      </c>
      <c r="E349" s="175" t="str">
        <f t="shared" si="10"/>
        <v/>
      </c>
      <c r="F349" s="175" t="str">
        <f>IF(Valeurs_saisies,IF(colonneA&lt;&gt;"",mensualite-G349,""),"")</f>
        <v/>
      </c>
      <c r="G349" s="175" t="str">
        <f>IF(Valeurs_saisies,IF(colonneA&lt;&gt;"",capital_restant_du*(taux_interet_annueld/nombre_versements_an),""),"")</f>
        <v/>
      </c>
      <c r="H349" s="175" t="str">
        <f>IF(Valeurs_saisies,IF(colonneA&lt;&gt;"",D349-F349,""),"")</f>
        <v/>
      </c>
      <c r="L349" s="172">
        <f t="shared" si="11"/>
        <v>28</v>
      </c>
    </row>
    <row r="350" spans="2:12" s="169" customFormat="1" ht="14.25" customHeight="1">
      <c r="B350" s="173" t="str">
        <f>IF(Valeurs_saisies,IF(duree_du_pret&gt;L350,B349+1,""),"")</f>
        <v/>
      </c>
      <c r="C350" s="174" t="str">
        <f>IF(Valeurs_saisies,IF(colonneA&lt;&gt;"",DATE(YEAR($D$9),MONTH($D$9)+(colonneA)*12/nombre_versements_an,DAY($D$9)),""),"")</f>
        <v/>
      </c>
      <c r="D350" s="175" t="str">
        <f>IF(Valeurs_saisies,IF(colonneA&lt;&gt;"",H349,""),"")</f>
        <v/>
      </c>
      <c r="E350" s="175" t="str">
        <f t="shared" si="10"/>
        <v/>
      </c>
      <c r="F350" s="175" t="str">
        <f>IF(Valeurs_saisies,IF(colonneA&lt;&gt;"",mensualite-G350,""),"")</f>
        <v/>
      </c>
      <c r="G350" s="175" t="str">
        <f>IF(Valeurs_saisies,IF(colonneA&lt;&gt;"",capital_restant_du*(taux_interet_annueld/nombre_versements_an),""),"")</f>
        <v/>
      </c>
      <c r="H350" s="175" t="str">
        <f>IF(Valeurs_saisies,IF(colonneA&lt;&gt;"",D350-F350,""),"")</f>
        <v/>
      </c>
      <c r="L350" s="172">
        <f t="shared" si="11"/>
        <v>28</v>
      </c>
    </row>
    <row r="351" spans="2:12" s="169" customFormat="1" ht="14.25" customHeight="1">
      <c r="B351" s="173" t="str">
        <f>IF(Valeurs_saisies,IF(duree_du_pret&gt;L351,B350+1,""),"")</f>
        <v/>
      </c>
      <c r="C351" s="174" t="str">
        <f>IF(Valeurs_saisies,IF(colonneA&lt;&gt;"",DATE(YEAR($D$9),MONTH($D$9)+(colonneA)*12/nombre_versements_an,DAY($D$9)),""),"")</f>
        <v/>
      </c>
      <c r="D351" s="175" t="str">
        <f>IF(Valeurs_saisies,IF(colonneA&lt;&gt;"",H350,""),"")</f>
        <v/>
      </c>
      <c r="E351" s="175" t="str">
        <f t="shared" si="10"/>
        <v/>
      </c>
      <c r="F351" s="175" t="str">
        <f>IF(Valeurs_saisies,IF(colonneA&lt;&gt;"",mensualite-G351,""),"")</f>
        <v/>
      </c>
      <c r="G351" s="175" t="str">
        <f>IF(Valeurs_saisies,IF(colonneA&lt;&gt;"",capital_restant_du*(taux_interet_annueld/nombre_versements_an),""),"")</f>
        <v/>
      </c>
      <c r="H351" s="175" t="str">
        <f>IF(Valeurs_saisies,IF(colonneA&lt;&gt;"",D351-F351,""),"")</f>
        <v/>
      </c>
      <c r="L351" s="172">
        <f t="shared" si="11"/>
        <v>28</v>
      </c>
    </row>
    <row r="352" spans="2:12" s="169" customFormat="1" ht="14.25" customHeight="1">
      <c r="B352" s="173" t="str">
        <f>IF(Valeurs_saisies,IF(duree_du_pret&gt;L352,B351+1,""),"")</f>
        <v/>
      </c>
      <c r="C352" s="174" t="str">
        <f>IF(Valeurs_saisies,IF(colonneA&lt;&gt;"",DATE(YEAR($D$9),MONTH($D$9)+(colonneA)*12/nombre_versements_an,DAY($D$9)),""),"")</f>
        <v/>
      </c>
      <c r="D352" s="175" t="str">
        <f>IF(Valeurs_saisies,IF(colonneA&lt;&gt;"",H351,""),"")</f>
        <v/>
      </c>
      <c r="E352" s="175" t="str">
        <f t="shared" si="10"/>
        <v/>
      </c>
      <c r="F352" s="175" t="str">
        <f>IF(Valeurs_saisies,IF(colonneA&lt;&gt;"",mensualite-G352,""),"")</f>
        <v/>
      </c>
      <c r="G352" s="175" t="str">
        <f>IF(Valeurs_saisies,IF(colonneA&lt;&gt;"",capital_restant_du*(taux_interet_annueld/nombre_versements_an),""),"")</f>
        <v/>
      </c>
      <c r="H352" s="175" t="str">
        <f>IF(Valeurs_saisies,IF(colonneA&lt;&gt;"",D352-F352,""),"")</f>
        <v/>
      </c>
      <c r="L352" s="172">
        <f t="shared" si="11"/>
        <v>28</v>
      </c>
    </row>
    <row r="353" spans="2:12" s="169" customFormat="1" ht="14.25" customHeight="1">
      <c r="B353" s="173" t="str">
        <f>IF(Valeurs_saisies,IF(duree_du_pret&gt;L353,B352+1,""),"")</f>
        <v/>
      </c>
      <c r="C353" s="174" t="str">
        <f>IF(Valeurs_saisies,IF(colonneA&lt;&gt;"",DATE(YEAR($D$9),MONTH($D$9)+(colonneA)*12/nombre_versements_an,DAY($D$9)),""),"")</f>
        <v/>
      </c>
      <c r="D353" s="175" t="str">
        <f>IF(Valeurs_saisies,IF(colonneA&lt;&gt;"",H352,""),"")</f>
        <v/>
      </c>
      <c r="E353" s="175" t="str">
        <f t="shared" si="10"/>
        <v/>
      </c>
      <c r="F353" s="175" t="str">
        <f>IF(Valeurs_saisies,IF(colonneA&lt;&gt;"",mensualite-G353,""),"")</f>
        <v/>
      </c>
      <c r="G353" s="175" t="str">
        <f>IF(Valeurs_saisies,IF(colonneA&lt;&gt;"",capital_restant_du*(taux_interet_annueld/nombre_versements_an),""),"")</f>
        <v/>
      </c>
      <c r="H353" s="175" t="str">
        <f>IF(Valeurs_saisies,IF(colonneA&lt;&gt;"",D353-F353,""),"")</f>
        <v/>
      </c>
      <c r="L353" s="172">
        <f t="shared" si="11"/>
        <v>28</v>
      </c>
    </row>
    <row r="354" spans="2:12" s="169" customFormat="1" ht="14.25" customHeight="1">
      <c r="B354" s="173" t="str">
        <f>IF(Valeurs_saisies,IF(duree_du_pret&gt;L354,B353+1,""),"")</f>
        <v/>
      </c>
      <c r="C354" s="174" t="str">
        <f>IF(Valeurs_saisies,IF(colonneA&lt;&gt;"",DATE(YEAR($D$9),MONTH($D$9)+(colonneA)*12/nombre_versements_an,DAY($D$9)),""),"")</f>
        <v/>
      </c>
      <c r="D354" s="175" t="str">
        <f>IF(Valeurs_saisies,IF(colonneA&lt;&gt;"",H353,""),"")</f>
        <v/>
      </c>
      <c r="E354" s="175" t="str">
        <f t="shared" si="10"/>
        <v/>
      </c>
      <c r="F354" s="175" t="str">
        <f>IF(Valeurs_saisies,IF(colonneA&lt;&gt;"",mensualite-G354,""),"")</f>
        <v/>
      </c>
      <c r="G354" s="175" t="str">
        <f>IF(Valeurs_saisies,IF(colonneA&lt;&gt;"",capital_restant_du*(taux_interet_annueld/nombre_versements_an),""),"")</f>
        <v/>
      </c>
      <c r="H354" s="175" t="str">
        <f>IF(Valeurs_saisies,IF(colonneA&lt;&gt;"",D354-F354,""),"")</f>
        <v/>
      </c>
      <c r="L354" s="172">
        <f t="shared" si="11"/>
        <v>28</v>
      </c>
    </row>
    <row r="355" spans="2:12" s="169" customFormat="1" ht="14.25" customHeight="1">
      <c r="B355" s="173" t="str">
        <f>IF(Valeurs_saisies,IF(duree_du_pret&gt;L355,B354+1,""),"")</f>
        <v/>
      </c>
      <c r="C355" s="174" t="str">
        <f>IF(Valeurs_saisies,IF(colonneA&lt;&gt;"",DATE(YEAR($D$9),MONTH($D$9)+(colonneA)*12/nombre_versements_an,DAY($D$9)),""),"")</f>
        <v/>
      </c>
      <c r="D355" s="175" t="str">
        <f>IF(Valeurs_saisies,IF(colonneA&lt;&gt;"",H354,""),"")</f>
        <v/>
      </c>
      <c r="E355" s="175" t="str">
        <f t="shared" si="10"/>
        <v/>
      </c>
      <c r="F355" s="175" t="str">
        <f>IF(Valeurs_saisies,IF(colonneA&lt;&gt;"",mensualite-G355,""),"")</f>
        <v/>
      </c>
      <c r="G355" s="175" t="str">
        <f>IF(Valeurs_saisies,IF(colonneA&lt;&gt;"",capital_restant_du*(taux_interet_annueld/nombre_versements_an),""),"")</f>
        <v/>
      </c>
      <c r="H355" s="175" t="str">
        <f>IF(Valeurs_saisies,IF(colonneA&lt;&gt;"",D355-F355,""),"")</f>
        <v/>
      </c>
      <c r="L355" s="172">
        <f t="shared" si="11"/>
        <v>28</v>
      </c>
    </row>
    <row r="356" spans="2:12" s="169" customFormat="1" ht="14.25" customHeight="1">
      <c r="B356" s="173" t="str">
        <f>IF(Valeurs_saisies,IF(duree_du_pret&gt;L356,B355+1,""),"")</f>
        <v/>
      </c>
      <c r="C356" s="174" t="str">
        <f>IF(Valeurs_saisies,IF(colonneA&lt;&gt;"",DATE(YEAR($D$9),MONTH($D$9)+(colonneA)*12/nombre_versements_an,DAY($D$9)),""),"")</f>
        <v/>
      </c>
      <c r="D356" s="175" t="str">
        <f>IF(Valeurs_saisies,IF(colonneA&lt;&gt;"",H355,""),"")</f>
        <v/>
      </c>
      <c r="E356" s="175" t="str">
        <f t="shared" si="10"/>
        <v/>
      </c>
      <c r="F356" s="175" t="str">
        <f>IF(Valeurs_saisies,IF(colonneA&lt;&gt;"",mensualite-G356,""),"")</f>
        <v/>
      </c>
      <c r="G356" s="175" t="str">
        <f>IF(Valeurs_saisies,IF(colonneA&lt;&gt;"",capital_restant_du*(taux_interet_annueld/nombre_versements_an),""),"")</f>
        <v/>
      </c>
      <c r="H356" s="175" t="str">
        <f>IF(Valeurs_saisies,IF(colonneA&lt;&gt;"",D356-F356,""),"")</f>
        <v/>
      </c>
      <c r="L356" s="172">
        <f t="shared" si="11"/>
        <v>28</v>
      </c>
    </row>
    <row r="357" spans="2:12" s="169" customFormat="1" ht="14.25" customHeight="1">
      <c r="B357" s="173" t="str">
        <f>IF(Valeurs_saisies,IF(duree_du_pret&gt;L357,B356+1,""),"")</f>
        <v/>
      </c>
      <c r="C357" s="174" t="str">
        <f>IF(Valeurs_saisies,IF(colonneA&lt;&gt;"",DATE(YEAR($D$9),MONTH($D$9)+(colonneA)*12/nombre_versements_an,DAY($D$9)),""),"")</f>
        <v/>
      </c>
      <c r="D357" s="175" t="str">
        <f>IF(Valeurs_saisies,IF(colonneA&lt;&gt;"",H356,""),"")</f>
        <v/>
      </c>
      <c r="E357" s="175" t="str">
        <f t="shared" si="10"/>
        <v/>
      </c>
      <c r="F357" s="175" t="str">
        <f>IF(Valeurs_saisies,IF(colonneA&lt;&gt;"",mensualite-G357,""),"")</f>
        <v/>
      </c>
      <c r="G357" s="175" t="str">
        <f>IF(Valeurs_saisies,IF(colonneA&lt;&gt;"",capital_restant_du*(taux_interet_annueld/nombre_versements_an),""),"")</f>
        <v/>
      </c>
      <c r="H357" s="175" t="str">
        <f>IF(Valeurs_saisies,IF(colonneA&lt;&gt;"",D357-F357,""),"")</f>
        <v/>
      </c>
      <c r="L357" s="172">
        <f t="shared" si="11"/>
        <v>28</v>
      </c>
    </row>
    <row r="358" spans="2:12" s="169" customFormat="1" ht="14.25" customHeight="1">
      <c r="B358" s="173" t="str">
        <f>IF(Valeurs_saisies,IF(duree_du_pret&gt;L358,B357+1,""),"")</f>
        <v/>
      </c>
      <c r="C358" s="174" t="str">
        <f>IF(Valeurs_saisies,IF(colonneA&lt;&gt;"",DATE(YEAR($D$9),MONTH($D$9)+(colonneA)*12/nombre_versements_an,DAY($D$9)),""),"")</f>
        <v/>
      </c>
      <c r="D358" s="175" t="str">
        <f>IF(Valeurs_saisies,IF(colonneA&lt;&gt;"",H357,""),"")</f>
        <v/>
      </c>
      <c r="E358" s="175" t="str">
        <f t="shared" si="10"/>
        <v/>
      </c>
      <c r="F358" s="175" t="str">
        <f>IF(Valeurs_saisies,IF(colonneA&lt;&gt;"",mensualite-G358,""),"")</f>
        <v/>
      </c>
      <c r="G358" s="175" t="str">
        <f>IF(Valeurs_saisies,IF(colonneA&lt;&gt;"",capital_restant_du*(taux_interet_annueld/nombre_versements_an),""),"")</f>
        <v/>
      </c>
      <c r="H358" s="175" t="str">
        <f>IF(Valeurs_saisies,IF(colonneA&lt;&gt;"",D358-F358,""),"")</f>
        <v/>
      </c>
      <c r="L358" s="172">
        <f t="shared" si="11"/>
        <v>28</v>
      </c>
    </row>
    <row r="359" spans="2:12" s="169" customFormat="1" ht="14.25" customHeight="1">
      <c r="B359" s="173" t="str">
        <f>IF(Valeurs_saisies,IF(duree_du_pret&gt;L359,B358+1,""),"")</f>
        <v/>
      </c>
      <c r="C359" s="174" t="str">
        <f>IF(Valeurs_saisies,IF(colonneA&lt;&gt;"",DATE(YEAR($D$9),MONTH($D$9)+(colonneA)*12/nombre_versements_an,DAY($D$9)),""),"")</f>
        <v/>
      </c>
      <c r="D359" s="175" t="str">
        <f>IF(Valeurs_saisies,IF(colonneA&lt;&gt;"",H358,""),"")</f>
        <v/>
      </c>
      <c r="E359" s="175" t="str">
        <f t="shared" si="10"/>
        <v/>
      </c>
      <c r="F359" s="175" t="str">
        <f>IF(Valeurs_saisies,IF(colonneA&lt;&gt;"",mensualite-G359,""),"")</f>
        <v/>
      </c>
      <c r="G359" s="175" t="str">
        <f>IF(Valeurs_saisies,IF(colonneA&lt;&gt;"",capital_restant_du*(taux_interet_annueld/nombre_versements_an),""),"")</f>
        <v/>
      </c>
      <c r="H359" s="175" t="str">
        <f>IF(Valeurs_saisies,IF(colonneA&lt;&gt;"",D359-F359,""),"")</f>
        <v/>
      </c>
      <c r="L359" s="172">
        <f t="shared" si="11"/>
        <v>28</v>
      </c>
    </row>
    <row r="360" spans="2:12" s="169" customFormat="1" ht="14.25" customHeight="1">
      <c r="B360" s="173" t="str">
        <f>IF(Valeurs_saisies,IF(duree_du_pret&gt;L360,B359+1,""),"")</f>
        <v/>
      </c>
      <c r="C360" s="174" t="str">
        <f>IF(Valeurs_saisies,IF(colonneA&lt;&gt;"",DATE(YEAR($D$9),MONTH($D$9)+(colonneA)*12/nombre_versements_an,DAY($D$9)),""),"")</f>
        <v/>
      </c>
      <c r="D360" s="175" t="str">
        <f>IF(Valeurs_saisies,IF(colonneA&lt;&gt;"",H359,""),"")</f>
        <v/>
      </c>
      <c r="E360" s="175" t="str">
        <f t="shared" si="10"/>
        <v/>
      </c>
      <c r="F360" s="175" t="str">
        <f>IF(Valeurs_saisies,IF(colonneA&lt;&gt;"",mensualite-G360,""),"")</f>
        <v/>
      </c>
      <c r="G360" s="175" t="str">
        <f>IF(Valeurs_saisies,IF(colonneA&lt;&gt;"",capital_restant_du*(taux_interet_annueld/nombre_versements_an),""),"")</f>
        <v/>
      </c>
      <c r="H360" s="175" t="str">
        <f>IF(Valeurs_saisies,IF(colonneA&lt;&gt;"",D360-F360,""),"")</f>
        <v/>
      </c>
      <c r="L360" s="172">
        <f t="shared" si="11"/>
        <v>29</v>
      </c>
    </row>
    <row r="361" spans="2:12" s="169" customFormat="1" ht="14.25" customHeight="1">
      <c r="B361" s="173" t="str">
        <f>IF(Valeurs_saisies,IF(duree_du_pret&gt;L361,B360+1,""),"")</f>
        <v/>
      </c>
      <c r="C361" s="174" t="str">
        <f>IF(Valeurs_saisies,IF(colonneA&lt;&gt;"",DATE(YEAR($D$9),MONTH($D$9)+(colonneA)*12/nombre_versements_an,DAY($D$9)),""),"")</f>
        <v/>
      </c>
      <c r="D361" s="175" t="str">
        <f>IF(Valeurs_saisies,IF(colonneA&lt;&gt;"",H360,""),"")</f>
        <v/>
      </c>
      <c r="E361" s="175" t="str">
        <f t="shared" si="10"/>
        <v/>
      </c>
      <c r="F361" s="175" t="str">
        <f>IF(Valeurs_saisies,IF(colonneA&lt;&gt;"",mensualite-G361,""),"")</f>
        <v/>
      </c>
      <c r="G361" s="175" t="str">
        <f>IF(Valeurs_saisies,IF(colonneA&lt;&gt;"",capital_restant_du*(taux_interet_annueld/nombre_versements_an),""),"")</f>
        <v/>
      </c>
      <c r="H361" s="175" t="str">
        <f>IF(Valeurs_saisies,IF(colonneA&lt;&gt;"",D361-F361,""),"")</f>
        <v/>
      </c>
      <c r="L361" s="172">
        <f t="shared" si="11"/>
        <v>29</v>
      </c>
    </row>
    <row r="362" spans="2:12" s="169" customFormat="1" ht="14.25" customHeight="1">
      <c r="B362" s="173" t="str">
        <f>IF(Valeurs_saisies,IF(duree_du_pret&gt;L362,B361+1,""),"")</f>
        <v/>
      </c>
      <c r="C362" s="174" t="str">
        <f>IF(Valeurs_saisies,IF(colonneA&lt;&gt;"",DATE(YEAR($D$9),MONTH($D$9)+(colonneA)*12/nombre_versements_an,DAY($D$9)),""),"")</f>
        <v/>
      </c>
      <c r="D362" s="175" t="str">
        <f>IF(Valeurs_saisies,IF(colonneA&lt;&gt;"",H361,""),"")</f>
        <v/>
      </c>
      <c r="E362" s="175" t="str">
        <f t="shared" si="10"/>
        <v/>
      </c>
      <c r="F362" s="175" t="str">
        <f>IF(Valeurs_saisies,IF(colonneA&lt;&gt;"",mensualite-G362,""),"")</f>
        <v/>
      </c>
      <c r="G362" s="175" t="str">
        <f>IF(Valeurs_saisies,IF(colonneA&lt;&gt;"",capital_restant_du*(taux_interet_annueld/nombre_versements_an),""),"")</f>
        <v/>
      </c>
      <c r="H362" s="175" t="str">
        <f>IF(Valeurs_saisies,IF(colonneA&lt;&gt;"",D362-F362,""),"")</f>
        <v/>
      </c>
      <c r="L362" s="172">
        <f t="shared" si="11"/>
        <v>29</v>
      </c>
    </row>
    <row r="363" spans="2:12" s="169" customFormat="1" ht="14.25" customHeight="1">
      <c r="B363" s="173" t="str">
        <f>IF(Valeurs_saisies,IF(duree_du_pret&gt;L363,B362+1,""),"")</f>
        <v/>
      </c>
      <c r="C363" s="174" t="str">
        <f>IF(Valeurs_saisies,IF(colonneA&lt;&gt;"",DATE(YEAR($D$9),MONTH($D$9)+(colonneA)*12/nombre_versements_an,DAY($D$9)),""),"")</f>
        <v/>
      </c>
      <c r="D363" s="175" t="str">
        <f>IF(Valeurs_saisies,IF(colonneA&lt;&gt;"",H362,""),"")</f>
        <v/>
      </c>
      <c r="E363" s="175" t="str">
        <f t="shared" si="10"/>
        <v/>
      </c>
      <c r="F363" s="175" t="str">
        <f>IF(Valeurs_saisies,IF(colonneA&lt;&gt;"",mensualite-G363,""),"")</f>
        <v/>
      </c>
      <c r="G363" s="175" t="str">
        <f>IF(Valeurs_saisies,IF(colonneA&lt;&gt;"",capital_restant_du*(taux_interet_annueld/nombre_versements_an),""),"")</f>
        <v/>
      </c>
      <c r="H363" s="175" t="str">
        <f>IF(Valeurs_saisies,IF(colonneA&lt;&gt;"",D363-F363,""),"")</f>
        <v/>
      </c>
      <c r="L363" s="172">
        <f t="shared" si="11"/>
        <v>29</v>
      </c>
    </row>
    <row r="364" spans="2:12" s="169" customFormat="1" ht="14.25" customHeight="1">
      <c r="B364" s="173" t="str">
        <f>IF(Valeurs_saisies,IF(duree_du_pret&gt;L364,B363+1,""),"")</f>
        <v/>
      </c>
      <c r="C364" s="174" t="str">
        <f>IF(Valeurs_saisies,IF(colonneA&lt;&gt;"",DATE(YEAR($D$9),MONTH($D$9)+(colonneA)*12/nombre_versements_an,DAY($D$9)),""),"")</f>
        <v/>
      </c>
      <c r="D364" s="175" t="str">
        <f>IF(Valeurs_saisies,IF(colonneA&lt;&gt;"",H363,""),"")</f>
        <v/>
      </c>
      <c r="E364" s="175" t="str">
        <f t="shared" si="10"/>
        <v/>
      </c>
      <c r="F364" s="175" t="str">
        <f>IF(Valeurs_saisies,IF(colonneA&lt;&gt;"",mensualite-G364,""),"")</f>
        <v/>
      </c>
      <c r="G364" s="175" t="str">
        <f>IF(Valeurs_saisies,IF(colonneA&lt;&gt;"",capital_restant_du*(taux_interet_annueld/nombre_versements_an),""),"")</f>
        <v/>
      </c>
      <c r="H364" s="175" t="str">
        <f>IF(Valeurs_saisies,IF(colonneA&lt;&gt;"",D364-F364,""),"")</f>
        <v/>
      </c>
      <c r="L364" s="172">
        <f t="shared" si="11"/>
        <v>29</v>
      </c>
    </row>
    <row r="365" spans="2:12" s="169" customFormat="1" ht="14.25" customHeight="1">
      <c r="B365" s="173" t="str">
        <f>IF(Valeurs_saisies,IF(duree_du_pret&gt;L365,B364+1,""),"")</f>
        <v/>
      </c>
      <c r="C365" s="174" t="str">
        <f>IF(Valeurs_saisies,IF(colonneA&lt;&gt;"",DATE(YEAR($D$9),MONTH($D$9)+(colonneA)*12/nombre_versements_an,DAY($D$9)),""),"")</f>
        <v/>
      </c>
      <c r="D365" s="175" t="str">
        <f>IF(Valeurs_saisies,IF(colonneA&lt;&gt;"",H364,""),"")</f>
        <v/>
      </c>
      <c r="E365" s="175" t="str">
        <f t="shared" si="10"/>
        <v/>
      </c>
      <c r="F365" s="175" t="str">
        <f>IF(Valeurs_saisies,IF(colonneA&lt;&gt;"",mensualite-G365,""),"")</f>
        <v/>
      </c>
      <c r="G365" s="175" t="str">
        <f>IF(Valeurs_saisies,IF(colonneA&lt;&gt;"",capital_restant_du*(taux_interet_annueld/nombre_versements_an),""),"")</f>
        <v/>
      </c>
      <c r="H365" s="175" t="str">
        <f>IF(Valeurs_saisies,IF(colonneA&lt;&gt;"",D365-F365,""),"")</f>
        <v/>
      </c>
      <c r="L365" s="172">
        <f t="shared" si="11"/>
        <v>29</v>
      </c>
    </row>
    <row r="366" spans="2:12" s="169" customFormat="1" ht="14.25" customHeight="1">
      <c r="B366" s="173" t="str">
        <f>IF(Valeurs_saisies,IF(duree_du_pret&gt;L366,B365+1,""),"")</f>
        <v/>
      </c>
      <c r="C366" s="174" t="str">
        <f>IF(Valeurs_saisies,IF(colonneA&lt;&gt;"",DATE(YEAR($D$9),MONTH($D$9)+(colonneA)*12/nombre_versements_an,DAY($D$9)),""),"")</f>
        <v/>
      </c>
      <c r="D366" s="175" t="str">
        <f>IF(Valeurs_saisies,IF(colonneA&lt;&gt;"",H365,""),"")</f>
        <v/>
      </c>
      <c r="E366" s="175" t="str">
        <f t="shared" si="10"/>
        <v/>
      </c>
      <c r="F366" s="175" t="str">
        <f>IF(Valeurs_saisies,IF(colonneA&lt;&gt;"",mensualite-G366,""),"")</f>
        <v/>
      </c>
      <c r="G366" s="175" t="str">
        <f>IF(Valeurs_saisies,IF(colonneA&lt;&gt;"",capital_restant_du*(taux_interet_annueld/nombre_versements_an),""),"")</f>
        <v/>
      </c>
      <c r="H366" s="175" t="str">
        <f>IF(Valeurs_saisies,IF(colonneA&lt;&gt;"",D366-F366,""),"")</f>
        <v/>
      </c>
      <c r="L366" s="172">
        <f t="shared" si="11"/>
        <v>29</v>
      </c>
    </row>
    <row r="367" spans="2:12" s="169" customFormat="1" ht="14.25" customHeight="1">
      <c r="B367" s="173" t="str">
        <f>IF(Valeurs_saisies,IF(duree_du_pret&gt;L367,B366+1,""),"")</f>
        <v/>
      </c>
      <c r="C367" s="174" t="str">
        <f>IF(Valeurs_saisies,IF(colonneA&lt;&gt;"",DATE(YEAR($D$9),MONTH($D$9)+(colonneA)*12/nombre_versements_an,DAY($D$9)),""),"")</f>
        <v/>
      </c>
      <c r="D367" s="175" t="str">
        <f>IF(Valeurs_saisies,IF(colonneA&lt;&gt;"",H366,""),"")</f>
        <v/>
      </c>
      <c r="E367" s="175" t="str">
        <f t="shared" si="10"/>
        <v/>
      </c>
      <c r="F367" s="175" t="str">
        <f>IF(Valeurs_saisies,IF(colonneA&lt;&gt;"",mensualite-G367,""),"")</f>
        <v/>
      </c>
      <c r="G367" s="175" t="str">
        <f>IF(Valeurs_saisies,IF(colonneA&lt;&gt;"",capital_restant_du*(taux_interet_annueld/nombre_versements_an),""),"")</f>
        <v/>
      </c>
      <c r="H367" s="175" t="str">
        <f>IF(Valeurs_saisies,IF(colonneA&lt;&gt;"",D367-F367,""),"")</f>
        <v/>
      </c>
      <c r="L367" s="172">
        <f t="shared" si="11"/>
        <v>29</v>
      </c>
    </row>
    <row r="368" spans="2:12" s="169" customFormat="1" ht="14.25" customHeight="1">
      <c r="B368" s="173" t="str">
        <f>IF(Valeurs_saisies,IF(duree_du_pret&gt;L368,B367+1,""),"")</f>
        <v/>
      </c>
      <c r="C368" s="174" t="str">
        <f>IF(Valeurs_saisies,IF(colonneA&lt;&gt;"",DATE(YEAR($D$9),MONTH($D$9)+(colonneA)*12/nombre_versements_an,DAY($D$9)),""),"")</f>
        <v/>
      </c>
      <c r="D368" s="175" t="str">
        <f>IF(Valeurs_saisies,IF(colonneA&lt;&gt;"",H367,""),"")</f>
        <v/>
      </c>
      <c r="E368" s="175" t="str">
        <f t="shared" si="10"/>
        <v/>
      </c>
      <c r="F368" s="175" t="str">
        <f>IF(Valeurs_saisies,IF(colonneA&lt;&gt;"",mensualite-G368,""),"")</f>
        <v/>
      </c>
      <c r="G368" s="175" t="str">
        <f>IF(Valeurs_saisies,IF(colonneA&lt;&gt;"",capital_restant_du*(taux_interet_annueld/nombre_versements_an),""),"")</f>
        <v/>
      </c>
      <c r="H368" s="175" t="str">
        <f>IF(Valeurs_saisies,IF(colonneA&lt;&gt;"",D368-F368,""),"")</f>
        <v/>
      </c>
      <c r="L368" s="172">
        <f t="shared" si="11"/>
        <v>29</v>
      </c>
    </row>
    <row r="369" spans="2:12" s="169" customFormat="1" ht="14.25" customHeight="1">
      <c r="B369" s="173" t="str">
        <f>IF(Valeurs_saisies,IF(duree_du_pret&gt;L369,B368+1,""),"")</f>
        <v/>
      </c>
      <c r="C369" s="174" t="str">
        <f>IF(Valeurs_saisies,IF(colonneA&lt;&gt;"",DATE(YEAR($D$9),MONTH($D$9)+(colonneA)*12/nombre_versements_an,DAY($D$9)),""),"")</f>
        <v/>
      </c>
      <c r="D369" s="175" t="str">
        <f>IF(Valeurs_saisies,IF(colonneA&lt;&gt;"",H368,""),"")</f>
        <v/>
      </c>
      <c r="E369" s="175" t="str">
        <f t="shared" si="10"/>
        <v/>
      </c>
      <c r="F369" s="175" t="str">
        <f>IF(Valeurs_saisies,IF(colonneA&lt;&gt;"",mensualite-G369,""),"")</f>
        <v/>
      </c>
      <c r="G369" s="175" t="str">
        <f>IF(Valeurs_saisies,IF(colonneA&lt;&gt;"",capital_restant_du*(taux_interet_annueld/nombre_versements_an),""),"")</f>
        <v/>
      </c>
      <c r="H369" s="175" t="str">
        <f>IF(Valeurs_saisies,IF(colonneA&lt;&gt;"",D369-F369,""),"")</f>
        <v/>
      </c>
      <c r="L369" s="172">
        <f t="shared" si="11"/>
        <v>29</v>
      </c>
    </row>
    <row r="370" spans="2:12" s="169" customFormat="1" ht="14.25" customHeight="1">
      <c r="B370" s="173" t="str">
        <f>IF(Valeurs_saisies,IF(duree_du_pret&gt;L370,B369+1,""),"")</f>
        <v/>
      </c>
      <c r="C370" s="174" t="str">
        <f>IF(Valeurs_saisies,IF(colonneA&lt;&gt;"",DATE(YEAR($D$9),MONTH($D$9)+(colonneA)*12/nombre_versements_an,DAY($D$9)),""),"")</f>
        <v/>
      </c>
      <c r="D370" s="175" t="str">
        <f>IF(Valeurs_saisies,IF(colonneA&lt;&gt;"",H369,""),"")</f>
        <v/>
      </c>
      <c r="E370" s="175" t="str">
        <f t="shared" si="10"/>
        <v/>
      </c>
      <c r="F370" s="175" t="str">
        <f>IF(Valeurs_saisies,IF(colonneA&lt;&gt;"",mensualite-G370,""),"")</f>
        <v/>
      </c>
      <c r="G370" s="175" t="str">
        <f>IF(Valeurs_saisies,IF(colonneA&lt;&gt;"",capital_restant_du*(taux_interet_annueld/nombre_versements_an),""),"")</f>
        <v/>
      </c>
      <c r="H370" s="175" t="str">
        <f>IF(Valeurs_saisies,IF(colonneA&lt;&gt;"",D370-F370,""),"")</f>
        <v/>
      </c>
      <c r="L370" s="172">
        <f t="shared" si="11"/>
        <v>29</v>
      </c>
    </row>
    <row r="371" spans="2:12" s="169" customFormat="1" ht="14.25" customHeight="1">
      <c r="B371" s="173" t="str">
        <f>IF(Valeurs_saisies,IF(duree_du_pret&gt;L371,B370+1,""),"")</f>
        <v/>
      </c>
      <c r="C371" s="174" t="str">
        <f>IF(Valeurs_saisies,IF(colonneA&lt;&gt;"",DATE(YEAR($D$9),MONTH($D$9)+(colonneA)*12/nombre_versements_an,DAY($D$9)),""),"")</f>
        <v/>
      </c>
      <c r="D371" s="175" t="str">
        <f>IF(Valeurs_saisies,IF(colonneA&lt;&gt;"",H370,""),"")</f>
        <v/>
      </c>
      <c r="E371" s="175" t="str">
        <f t="shared" si="10"/>
        <v/>
      </c>
      <c r="F371" s="175" t="str">
        <f>IF(Valeurs_saisies,IF(colonneA&lt;&gt;"",mensualite-G371,""),"")</f>
        <v/>
      </c>
      <c r="G371" s="175" t="str">
        <f>IF(Valeurs_saisies,IF(colonneA&lt;&gt;"",capital_restant_du*(taux_interet_annueld/nombre_versements_an),""),"")</f>
        <v/>
      </c>
      <c r="H371" s="175" t="str">
        <f>IF(Valeurs_saisies,IF(colonneA&lt;&gt;"",D371-F371,""),"")</f>
        <v/>
      </c>
      <c r="L371" s="172">
        <f t="shared" si="11"/>
        <v>29</v>
      </c>
    </row>
    <row r="372" spans="2:12" s="169" customFormat="1" ht="14.25" customHeight="1">
      <c r="B372" s="173"/>
      <c r="C372" s="174"/>
      <c r="D372" s="176"/>
      <c r="E372" s="176"/>
      <c r="F372" s="176"/>
      <c r="G372" s="176"/>
      <c r="H372" s="176"/>
      <c r="L372" s="172"/>
    </row>
    <row r="373" spans="2:12" s="169" customFormat="1" ht="14.25" customHeight="1">
      <c r="B373" s="173"/>
      <c r="C373" s="174"/>
      <c r="D373" s="176"/>
      <c r="E373" s="176"/>
      <c r="F373" s="176"/>
      <c r="G373" s="176"/>
      <c r="H373" s="176"/>
      <c r="L373" s="172"/>
    </row>
    <row r="374" spans="2:12" s="169" customFormat="1" ht="14.25" customHeight="1">
      <c r="B374" s="173"/>
      <c r="C374" s="174"/>
      <c r="D374" s="176"/>
      <c r="E374" s="176"/>
      <c r="F374" s="176"/>
      <c r="G374" s="176"/>
      <c r="H374" s="176"/>
      <c r="L374" s="172"/>
    </row>
    <row r="375" spans="2:12" s="169" customFormat="1" ht="14.25" customHeight="1">
      <c r="B375" s="173"/>
      <c r="C375" s="174"/>
      <c r="D375" s="176"/>
      <c r="E375" s="176"/>
      <c r="F375" s="176"/>
      <c r="G375" s="176"/>
      <c r="H375" s="176"/>
      <c r="L375" s="172"/>
    </row>
    <row r="376" spans="2:12" s="169" customFormat="1" ht="14.25" customHeight="1">
      <c r="B376" s="173"/>
      <c r="C376" s="174"/>
      <c r="D376" s="176"/>
      <c r="E376" s="176"/>
      <c r="F376" s="176"/>
      <c r="G376" s="176"/>
      <c r="H376" s="176"/>
      <c r="L376" s="172"/>
    </row>
    <row r="377" spans="2:12" s="177" customFormat="1">
      <c r="B377" s="178"/>
      <c r="C377" s="179"/>
      <c r="D377" s="180"/>
      <c r="E377" s="180"/>
      <c r="F377" s="180"/>
      <c r="G377" s="180"/>
      <c r="H377" s="180"/>
      <c r="L377" s="181"/>
    </row>
    <row r="378" spans="2:12" s="177" customFormat="1">
      <c r="B378" s="182"/>
      <c r="C378" s="183"/>
      <c r="D378" s="184"/>
      <c r="E378" s="184"/>
      <c r="F378" s="184"/>
      <c r="G378" s="184"/>
      <c r="H378" s="184"/>
      <c r="L378" s="181"/>
    </row>
    <row r="379" spans="2:12" s="177" customFormat="1">
      <c r="B379" s="182"/>
      <c r="C379" s="183"/>
      <c r="D379" s="184"/>
      <c r="E379" s="184"/>
      <c r="F379" s="184"/>
      <c r="G379" s="184"/>
      <c r="H379" s="184"/>
      <c r="L379" s="181"/>
    </row>
    <row r="380" spans="2:12" s="177" customFormat="1">
      <c r="B380" s="182"/>
      <c r="C380" s="183"/>
      <c r="D380" s="184"/>
      <c r="E380" s="184"/>
      <c r="F380" s="184"/>
      <c r="G380" s="184"/>
      <c r="H380" s="184"/>
      <c r="L380" s="181"/>
    </row>
    <row r="381" spans="2:12" s="185" customFormat="1">
      <c r="B381" s="182"/>
      <c r="C381" s="183"/>
      <c r="D381" s="184"/>
      <c r="E381" s="184"/>
      <c r="F381" s="184"/>
      <c r="G381" s="184"/>
      <c r="H381" s="184"/>
      <c r="I381" s="177"/>
      <c r="L381" s="146"/>
    </row>
    <row r="382" spans="2:12" s="142" customFormat="1">
      <c r="B382" s="186"/>
      <c r="C382" s="187"/>
      <c r="D382" s="188"/>
      <c r="E382" s="188"/>
      <c r="F382" s="188"/>
      <c r="G382" s="188"/>
      <c r="H382" s="188"/>
      <c r="I382" s="189"/>
      <c r="L382" s="146"/>
    </row>
    <row r="383" spans="2:12" s="142" customFormat="1">
      <c r="B383" s="186"/>
      <c r="C383" s="187"/>
      <c r="D383" s="188"/>
      <c r="E383" s="188"/>
      <c r="F383" s="188"/>
      <c r="G383" s="188"/>
      <c r="H383" s="188"/>
      <c r="I383" s="189"/>
      <c r="L383" s="146"/>
    </row>
    <row r="384" spans="2:12" s="142" customFormat="1">
      <c r="B384" s="186"/>
      <c r="C384" s="187"/>
      <c r="D384" s="188"/>
      <c r="E384" s="188"/>
      <c r="F384" s="188"/>
      <c r="G384" s="188"/>
      <c r="H384" s="188"/>
      <c r="I384" s="189"/>
      <c r="L384" s="146"/>
    </row>
    <row r="385" spans="2:12" s="142" customFormat="1">
      <c r="B385" s="186"/>
      <c r="C385" s="187"/>
      <c r="D385" s="188"/>
      <c r="E385" s="188"/>
      <c r="F385" s="188"/>
      <c r="G385" s="188"/>
      <c r="H385" s="188"/>
      <c r="I385" s="189"/>
      <c r="L385" s="146"/>
    </row>
    <row r="386" spans="2:12" s="142" customFormat="1">
      <c r="B386" s="186"/>
      <c r="C386" s="187"/>
      <c r="D386" s="188"/>
      <c r="E386" s="188"/>
      <c r="F386" s="188"/>
      <c r="G386" s="188"/>
      <c r="H386" s="188"/>
      <c r="I386" s="189"/>
      <c r="L386" s="146"/>
    </row>
    <row r="387" spans="2:12" s="142" customFormat="1">
      <c r="B387" s="186"/>
      <c r="C387" s="187"/>
      <c r="D387" s="188"/>
      <c r="E387" s="188"/>
      <c r="F387" s="188"/>
      <c r="G387" s="188"/>
      <c r="H387" s="188"/>
      <c r="I387" s="189"/>
      <c r="L387" s="146"/>
    </row>
    <row r="388" spans="2:12" s="142" customFormat="1">
      <c r="B388" s="186"/>
      <c r="C388" s="187"/>
      <c r="D388" s="188"/>
      <c r="E388" s="188"/>
      <c r="F388" s="188"/>
      <c r="G388" s="188"/>
      <c r="H388" s="188"/>
      <c r="I388" s="189"/>
      <c r="L388" s="146"/>
    </row>
    <row r="389" spans="2:12" s="142" customFormat="1">
      <c r="B389" s="186"/>
      <c r="C389" s="187"/>
      <c r="D389" s="188"/>
      <c r="E389" s="188"/>
      <c r="F389" s="188"/>
      <c r="G389" s="188"/>
      <c r="H389" s="188"/>
      <c r="I389" s="189"/>
      <c r="L389" s="146"/>
    </row>
    <row r="390" spans="2:12" s="142" customFormat="1">
      <c r="B390" s="186"/>
      <c r="C390" s="187"/>
      <c r="D390" s="188"/>
      <c r="E390" s="188"/>
      <c r="F390" s="188"/>
      <c r="G390" s="188"/>
      <c r="H390" s="188"/>
      <c r="I390" s="189"/>
      <c r="L390" s="146"/>
    </row>
    <row r="391" spans="2:12" s="142" customFormat="1">
      <c r="B391" s="186"/>
      <c r="C391" s="187"/>
      <c r="D391" s="188"/>
      <c r="E391" s="188"/>
      <c r="F391" s="188"/>
      <c r="G391" s="188"/>
      <c r="H391" s="188"/>
      <c r="I391" s="189"/>
      <c r="L391" s="146"/>
    </row>
    <row r="392" spans="2:12" s="142" customFormat="1">
      <c r="B392" s="186"/>
      <c r="C392" s="187"/>
      <c r="D392" s="188"/>
      <c r="E392" s="188"/>
      <c r="F392" s="188"/>
      <c r="G392" s="188"/>
      <c r="H392" s="188"/>
      <c r="I392" s="189"/>
      <c r="L392" s="146"/>
    </row>
    <row r="393" spans="2:12" s="142" customFormat="1">
      <c r="B393" s="186"/>
      <c r="C393" s="187"/>
      <c r="D393" s="188"/>
      <c r="E393" s="188"/>
      <c r="F393" s="188"/>
      <c r="G393" s="188"/>
      <c r="H393" s="188"/>
      <c r="I393" s="189"/>
      <c r="L393" s="146"/>
    </row>
    <row r="394" spans="2:12" s="142" customFormat="1">
      <c r="B394" s="190"/>
      <c r="C394" s="191"/>
      <c r="D394" s="192"/>
      <c r="E394" s="192"/>
      <c r="F394" s="192"/>
      <c r="G394" s="192"/>
      <c r="H394" s="192"/>
      <c r="L394" s="146"/>
    </row>
    <row r="395" spans="2:12">
      <c r="B395" s="190"/>
      <c r="C395" s="191"/>
      <c r="D395" s="192"/>
      <c r="E395" s="192"/>
      <c r="F395" s="192"/>
      <c r="G395" s="192"/>
      <c r="H395" s="192"/>
      <c r="K395" s="142"/>
      <c r="L395" s="146"/>
    </row>
    <row r="396" spans="2:12">
      <c r="B396" s="190"/>
      <c r="C396" s="191"/>
      <c r="D396" s="192"/>
      <c r="E396" s="192"/>
      <c r="F396" s="192"/>
      <c r="G396" s="192"/>
      <c r="H396" s="192"/>
      <c r="K396" s="142"/>
      <c r="L396" s="146"/>
    </row>
    <row r="397" spans="2:12">
      <c r="B397" s="190"/>
      <c r="C397" s="191"/>
      <c r="D397" s="192"/>
      <c r="E397" s="192"/>
      <c r="F397" s="192"/>
      <c r="G397" s="192"/>
      <c r="H397" s="192"/>
      <c r="K397" s="142"/>
      <c r="L397" s="146"/>
    </row>
    <row r="398" spans="2:12">
      <c r="B398" s="190"/>
      <c r="C398" s="191"/>
      <c r="K398" s="142"/>
      <c r="L398" s="146"/>
    </row>
    <row r="399" spans="2:12">
      <c r="K399" s="142"/>
      <c r="L399" s="146"/>
    </row>
    <row r="400" spans="2:12">
      <c r="K400" s="142"/>
      <c r="L400" s="146"/>
    </row>
    <row r="401" spans="11:12">
      <c r="K401" s="142"/>
      <c r="L401" s="146"/>
    </row>
  </sheetData>
  <sheetProtection sheet="1"/>
  <mergeCells count="9">
    <mergeCell ref="B8:C8"/>
    <mergeCell ref="B9:C9"/>
    <mergeCell ref="F6:G6"/>
    <mergeCell ref="B2:H2"/>
    <mergeCell ref="F5:G5"/>
    <mergeCell ref="F7:G7"/>
    <mergeCell ref="B5:C5"/>
    <mergeCell ref="B6:C6"/>
    <mergeCell ref="B7:C7"/>
  </mergeCells>
  <conditionalFormatting sqref="B11:H371">
    <cfRule type="notContainsBlanks" dxfId="0" priority="1" stopIfTrue="1">
      <formula>LEN(TRIM(B11))&gt;0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46"/>
  <sheetViews>
    <sheetView zoomScale="55" zoomScaleNormal="55" workbookViewId="0">
      <selection activeCell="I43" sqref="I43"/>
    </sheetView>
  </sheetViews>
  <sheetFormatPr baseColWidth="10" defaultColWidth="11.44140625" defaultRowHeight="15"/>
  <cols>
    <col min="1" max="1" width="11.44140625" style="235"/>
    <col min="2" max="2" width="39.5546875" style="235" customWidth="1"/>
    <col min="3" max="3" width="14.6640625" style="236" customWidth="1"/>
    <col min="4" max="4" width="14.6640625" style="237" customWidth="1"/>
    <col min="5" max="5" width="39.5546875" style="235" customWidth="1"/>
    <col min="6" max="6" width="14.6640625" style="236" customWidth="1"/>
    <col min="7" max="7" width="11.6640625" style="235" customWidth="1"/>
    <col min="8" max="8" width="18" style="235" bestFit="1" customWidth="1"/>
    <col min="9" max="9" width="19.5546875" style="235" customWidth="1"/>
    <col min="10" max="16384" width="11.44140625" style="235"/>
  </cols>
  <sheetData>
    <row r="1" spans="2:11" ht="15.6" thickBot="1"/>
    <row r="2" spans="2:11" s="293" customFormat="1" ht="22.2" thickTop="1" thickBot="1">
      <c r="B2" s="277" t="s">
        <v>84</v>
      </c>
      <c r="C2" s="296"/>
      <c r="D2" s="295"/>
      <c r="E2" s="294"/>
      <c r="F2" s="276"/>
      <c r="G2" s="276"/>
      <c r="H2" s="276"/>
      <c r="I2" s="276"/>
    </row>
    <row r="3" spans="2:11" ht="15.6" thickTop="1"/>
    <row r="4" spans="2:11" ht="15.6" thickBot="1"/>
    <row r="5" spans="2:11" ht="16.2" thickTop="1" thickBot="1">
      <c r="B5" s="275" t="s">
        <v>85</v>
      </c>
      <c r="C5" s="274"/>
      <c r="D5" s="292"/>
      <c r="E5" s="291" t="s">
        <v>86</v>
      </c>
      <c r="F5" s="274"/>
      <c r="H5" s="388" t="s">
        <v>225</v>
      </c>
      <c r="I5" s="389"/>
    </row>
    <row r="6" spans="2:11" ht="15.6" thickTop="1">
      <c r="B6" s="290"/>
      <c r="C6" s="272"/>
      <c r="D6" s="289"/>
      <c r="E6" s="288"/>
      <c r="F6" s="272"/>
    </row>
    <row r="7" spans="2:11">
      <c r="B7" s="284" t="s">
        <v>87</v>
      </c>
      <c r="C7" s="254">
        <f>SUM(C8:C9)</f>
        <v>63491.999999999993</v>
      </c>
      <c r="D7" s="287"/>
      <c r="E7" s="286" t="s">
        <v>88</v>
      </c>
      <c r="F7" s="254">
        <f>SUM(F8)</f>
        <v>96200</v>
      </c>
      <c r="H7" s="280">
        <v>0.34</v>
      </c>
      <c r="I7" s="236">
        <f>F7-C7</f>
        <v>32708.000000000007</v>
      </c>
    </row>
    <row r="8" spans="2:11">
      <c r="B8" s="285" t="s">
        <v>96</v>
      </c>
      <c r="C8" s="247">
        <f>F7*(1-H7)</f>
        <v>63491.999999999993</v>
      </c>
      <c r="D8" s="244"/>
      <c r="E8" s="248" t="s">
        <v>102</v>
      </c>
      <c r="F8" s="247">
        <f>I16</f>
        <v>96200</v>
      </c>
      <c r="G8" s="278"/>
    </row>
    <row r="9" spans="2:11">
      <c r="B9" s="285" t="s">
        <v>97</v>
      </c>
      <c r="C9" s="247">
        <v>0</v>
      </c>
      <c r="D9" s="244"/>
      <c r="E9" s="248"/>
      <c r="F9" s="247" t="s">
        <v>50</v>
      </c>
    </row>
    <row r="10" spans="2:11">
      <c r="B10" s="284"/>
      <c r="C10" s="259"/>
      <c r="D10" s="258"/>
      <c r="E10" s="255" t="s">
        <v>104</v>
      </c>
      <c r="F10" s="254">
        <v>0</v>
      </c>
      <c r="H10" s="390" t="s">
        <v>284</v>
      </c>
      <c r="I10" s="390"/>
    </row>
    <row r="11" spans="2:11">
      <c r="B11" s="284" t="s">
        <v>89</v>
      </c>
      <c r="C11" s="254">
        <f>SUM(C12:C23)</f>
        <v>11296.8</v>
      </c>
      <c r="D11" s="253"/>
      <c r="E11" s="248"/>
      <c r="F11" s="247"/>
      <c r="H11" s="235" t="s">
        <v>282</v>
      </c>
      <c r="I11" s="281">
        <f>200*I15*(0.014*I14+0.25)</f>
        <v>1996.8</v>
      </c>
    </row>
    <row r="12" spans="2:11">
      <c r="B12" s="262" t="s">
        <v>231</v>
      </c>
      <c r="C12" s="247">
        <v>500</v>
      </c>
      <c r="D12" s="244"/>
      <c r="E12" s="248" t="s">
        <v>50</v>
      </c>
      <c r="F12" s="247"/>
      <c r="I12" s="281"/>
    </row>
    <row r="13" spans="2:11">
      <c r="B13" s="262" t="s">
        <v>232</v>
      </c>
      <c r="C13" s="247">
        <v>500</v>
      </c>
      <c r="D13" s="244"/>
      <c r="E13" s="248"/>
      <c r="F13" s="247"/>
      <c r="H13" s="389" t="s">
        <v>226</v>
      </c>
      <c r="I13" s="389"/>
      <c r="J13" s="389"/>
      <c r="K13" s="389"/>
    </row>
    <row r="14" spans="2:11">
      <c r="B14" s="262" t="s">
        <v>233</v>
      </c>
      <c r="C14" s="247">
        <v>300</v>
      </c>
      <c r="D14" s="244"/>
      <c r="E14" s="248"/>
      <c r="F14" s="247"/>
      <c r="H14" s="282" t="s">
        <v>229</v>
      </c>
      <c r="I14" s="283">
        <v>37</v>
      </c>
    </row>
    <row r="15" spans="2:11">
      <c r="B15" s="262" t="s">
        <v>52</v>
      </c>
      <c r="C15" s="247">
        <v>1200</v>
      </c>
      <c r="D15" s="244"/>
      <c r="E15" s="248"/>
      <c r="F15" s="247"/>
      <c r="H15" s="282" t="s">
        <v>227</v>
      </c>
      <c r="I15" s="279">
        <v>13</v>
      </c>
    </row>
    <row r="16" spans="2:11">
      <c r="B16" s="262" t="s">
        <v>234</v>
      </c>
      <c r="C16" s="247">
        <v>1200</v>
      </c>
      <c r="D16" s="244"/>
      <c r="E16" s="248"/>
      <c r="F16" s="247"/>
      <c r="H16" s="279" t="s">
        <v>230</v>
      </c>
      <c r="I16" s="281">
        <f>I14*I17</f>
        <v>96200</v>
      </c>
    </row>
    <row r="17" spans="2:11">
      <c r="B17" s="262" t="s">
        <v>235</v>
      </c>
      <c r="C17" s="247">
        <v>2000</v>
      </c>
      <c r="D17" s="244"/>
      <c r="E17" s="248"/>
      <c r="F17" s="247"/>
      <c r="H17" s="282" t="s">
        <v>228</v>
      </c>
      <c r="I17" s="279">
        <f>I15*20*10</f>
        <v>2600</v>
      </c>
    </row>
    <row r="18" spans="2:11">
      <c r="B18" s="262" t="s">
        <v>66</v>
      </c>
      <c r="C18" s="247">
        <v>0</v>
      </c>
      <c r="D18" s="244"/>
      <c r="E18" s="248"/>
      <c r="F18" s="247"/>
      <c r="H18" s="279"/>
      <c r="I18" s="279"/>
      <c r="J18" s="279"/>
    </row>
    <row r="19" spans="2:11">
      <c r="B19" s="262" t="s">
        <v>53</v>
      </c>
      <c r="C19" s="247">
        <v>2000</v>
      </c>
      <c r="D19" s="244"/>
      <c r="E19" s="248"/>
      <c r="F19" s="247"/>
      <c r="H19" s="389"/>
      <c r="I19" s="389"/>
      <c r="J19" s="389"/>
      <c r="K19" s="389"/>
    </row>
    <row r="20" spans="2:11">
      <c r="B20" s="262" t="s">
        <v>236</v>
      </c>
      <c r="C20" s="247">
        <v>500</v>
      </c>
      <c r="D20" s="244"/>
      <c r="E20" s="248"/>
      <c r="F20" s="247"/>
      <c r="H20" s="279"/>
      <c r="J20" s="279"/>
    </row>
    <row r="21" spans="2:11">
      <c r="B21" s="262" t="s">
        <v>237</v>
      </c>
      <c r="C21" s="247">
        <f>I11</f>
        <v>1996.8</v>
      </c>
      <c r="D21" s="244"/>
      <c r="E21" s="248"/>
      <c r="F21" s="247"/>
      <c r="H21" s="279"/>
      <c r="I21" s="280"/>
      <c r="J21" s="279"/>
    </row>
    <row r="22" spans="2:11" ht="15.6" thickBot="1">
      <c r="B22" s="262" t="s">
        <v>238</v>
      </c>
      <c r="C22" s="247">
        <v>600</v>
      </c>
      <c r="D22" s="244"/>
      <c r="E22" s="248"/>
      <c r="F22" s="247"/>
      <c r="H22" s="279"/>
      <c r="I22" s="280"/>
      <c r="J22" s="279"/>
    </row>
    <row r="23" spans="2:11" ht="22.2" thickTop="1" thickBot="1">
      <c r="B23" s="262" t="s">
        <v>67</v>
      </c>
      <c r="C23" s="247">
        <v>500</v>
      </c>
      <c r="D23" s="244"/>
      <c r="E23" s="248"/>
      <c r="F23" s="247"/>
      <c r="G23" s="278"/>
      <c r="H23" s="277" t="s">
        <v>180</v>
      </c>
      <c r="I23" s="276"/>
    </row>
    <row r="24" spans="2:11" ht="15.6" thickTop="1">
      <c r="B24" s="262"/>
      <c r="C24" s="269"/>
      <c r="D24" s="268"/>
      <c r="E24" s="248"/>
      <c r="F24" s="247"/>
      <c r="I24" s="236"/>
    </row>
    <row r="25" spans="2:11" ht="15.6" thickBot="1">
      <c r="B25" s="255" t="s">
        <v>241</v>
      </c>
      <c r="C25" s="254">
        <v>0</v>
      </c>
      <c r="D25" s="253"/>
      <c r="E25" s="248"/>
      <c r="F25" s="247"/>
      <c r="I25" s="236"/>
    </row>
    <row r="26" spans="2:11" ht="16.2" thickTop="1" thickBot="1">
      <c r="B26" s="249"/>
      <c r="C26" s="247"/>
      <c r="D26" s="244"/>
      <c r="E26" s="248"/>
      <c r="F26" s="247"/>
      <c r="H26" s="275" t="s">
        <v>148</v>
      </c>
      <c r="I26" s="274" t="s">
        <v>42</v>
      </c>
    </row>
    <row r="27" spans="2:11" ht="15.6" thickTop="1">
      <c r="B27" s="255" t="s">
        <v>90</v>
      </c>
      <c r="C27" s="254">
        <f>SUM(C28:C31)</f>
        <v>7808</v>
      </c>
      <c r="D27" s="253"/>
      <c r="E27" s="248"/>
      <c r="F27" s="247"/>
      <c r="H27" s="273"/>
      <c r="I27" s="272"/>
    </row>
    <row r="28" spans="2:11">
      <c r="B28" s="262" t="s">
        <v>100</v>
      </c>
      <c r="C28" s="37">
        <v>6400</v>
      </c>
      <c r="D28" s="244"/>
      <c r="E28" s="248"/>
      <c r="F28" s="247"/>
      <c r="H28" s="271" t="s">
        <v>88</v>
      </c>
      <c r="I28" s="270">
        <f>F7</f>
        <v>96200</v>
      </c>
    </row>
    <row r="29" spans="2:11">
      <c r="B29" s="262" t="s">
        <v>101</v>
      </c>
      <c r="C29" s="247">
        <f>C28*0.22</f>
        <v>1408</v>
      </c>
      <c r="D29" s="244"/>
      <c r="E29" s="248"/>
      <c r="F29" s="247"/>
      <c r="H29" s="271" t="s">
        <v>181</v>
      </c>
      <c r="I29" s="270">
        <f>C7</f>
        <v>63491.999999999993</v>
      </c>
    </row>
    <row r="30" spans="2:11">
      <c r="B30" s="41" t="s">
        <v>270</v>
      </c>
      <c r="C30" s="37">
        <v>0</v>
      </c>
      <c r="D30" s="244"/>
      <c r="E30" s="248"/>
      <c r="F30" s="247"/>
      <c r="H30" s="257" t="s">
        <v>182</v>
      </c>
      <c r="I30" s="256">
        <f>I28-I29</f>
        <v>32708.000000000007</v>
      </c>
    </row>
    <row r="31" spans="2:11">
      <c r="B31" s="41" t="s">
        <v>271</v>
      </c>
      <c r="C31" s="37">
        <f>+C30*45%</f>
        <v>0</v>
      </c>
      <c r="D31" s="244"/>
      <c r="E31" s="248"/>
      <c r="F31" s="247"/>
      <c r="H31" s="265"/>
      <c r="I31" s="264"/>
    </row>
    <row r="32" spans="2:11">
      <c r="B32" s="262"/>
      <c r="C32" s="269"/>
      <c r="D32" s="268"/>
      <c r="E32" s="248"/>
      <c r="F32" s="247"/>
      <c r="H32" s="261" t="s">
        <v>183</v>
      </c>
      <c r="I32" s="267">
        <f>I30</f>
        <v>32708.000000000007</v>
      </c>
    </row>
    <row r="33" spans="2:9">
      <c r="B33" s="255" t="s">
        <v>98</v>
      </c>
      <c r="C33" s="254">
        <f>SUM(C34:C37)</f>
        <v>4700</v>
      </c>
      <c r="D33" s="253"/>
      <c r="E33" s="248"/>
      <c r="F33" s="247"/>
      <c r="H33" s="261" t="s">
        <v>184</v>
      </c>
      <c r="I33" s="267">
        <f>I28</f>
        <v>96200</v>
      </c>
    </row>
    <row r="34" spans="2:9">
      <c r="B34" s="262" t="s">
        <v>242</v>
      </c>
      <c r="C34" s="254">
        <v>1000</v>
      </c>
      <c r="D34" s="253"/>
      <c r="E34" s="248"/>
      <c r="F34" s="247"/>
      <c r="H34" s="257" t="s">
        <v>188</v>
      </c>
      <c r="I34" s="266">
        <f>IF(I28&gt;0,I32/I33,"NC")</f>
        <v>0.34000000000000008</v>
      </c>
    </row>
    <row r="35" spans="2:9">
      <c r="B35" s="262" t="s">
        <v>243</v>
      </c>
      <c r="C35" s="254">
        <v>1000</v>
      </c>
      <c r="D35" s="253"/>
      <c r="E35" s="248"/>
      <c r="F35" s="247"/>
      <c r="H35" s="265"/>
      <c r="I35" s="264"/>
    </row>
    <row r="36" spans="2:9">
      <c r="B36" s="262" t="s">
        <v>244</v>
      </c>
      <c r="C36" s="254">
        <v>1000</v>
      </c>
      <c r="D36" s="253"/>
      <c r="E36" s="248"/>
      <c r="F36" s="247"/>
      <c r="H36" s="261" t="s">
        <v>185</v>
      </c>
      <c r="I36" s="263">
        <f>C42-I29</f>
        <v>23960.971693901294</v>
      </c>
    </row>
    <row r="37" spans="2:9">
      <c r="B37" s="262" t="s">
        <v>245</v>
      </c>
      <c r="C37" s="254">
        <v>1700</v>
      </c>
      <c r="D37" s="253"/>
      <c r="E37" s="248"/>
      <c r="F37" s="247"/>
      <c r="H37" s="261" t="s">
        <v>186</v>
      </c>
      <c r="I37" s="260">
        <f>I34</f>
        <v>0.34000000000000008</v>
      </c>
    </row>
    <row r="38" spans="2:9">
      <c r="B38" s="255"/>
      <c r="C38" s="259"/>
      <c r="D38" s="258"/>
      <c r="E38" s="255" t="s">
        <v>99</v>
      </c>
      <c r="F38" s="254">
        <v>0</v>
      </c>
      <c r="H38" s="257" t="s">
        <v>187</v>
      </c>
      <c r="I38" s="256">
        <f>IF(I36&gt;0,IF(I37="NC","NC",I36/I37),"NC")</f>
        <v>70473.446158533203</v>
      </c>
    </row>
    <row r="39" spans="2:9" ht="15.6" thickBot="1">
      <c r="B39" s="255" t="s">
        <v>91</v>
      </c>
      <c r="C39" s="254">
        <v>156.17169390129789</v>
      </c>
      <c r="D39" s="253"/>
      <c r="E39" s="252"/>
      <c r="F39" s="250"/>
      <c r="H39" s="251"/>
      <c r="I39" s="250"/>
    </row>
    <row r="40" spans="2:9" ht="16.2" thickTop="1" thickBot="1">
      <c r="B40" s="249"/>
      <c r="C40" s="247"/>
      <c r="D40" s="244"/>
      <c r="E40" s="248"/>
      <c r="F40" s="247"/>
    </row>
    <row r="41" spans="2:9" ht="16.2" thickTop="1" thickBot="1">
      <c r="B41" s="246"/>
      <c r="C41" s="245"/>
      <c r="D41" s="244"/>
      <c r="E41" s="243" t="s">
        <v>93</v>
      </c>
      <c r="F41" s="239">
        <f>F38+F10+F7</f>
        <v>96200</v>
      </c>
      <c r="H41" s="390" t="s">
        <v>280</v>
      </c>
      <c r="I41" s="390"/>
    </row>
    <row r="42" spans="2:9" ht="16.2" thickTop="1" thickBot="1">
      <c r="B42" s="243" t="s">
        <v>92</v>
      </c>
      <c r="C42" s="239">
        <f>C39+C33+C27+C25+C11+C7</f>
        <v>87452.971693901287</v>
      </c>
      <c r="D42" s="238"/>
      <c r="E42" s="240"/>
      <c r="F42" s="241"/>
    </row>
    <row r="43" spans="2:9" ht="16.2" thickTop="1" thickBot="1">
      <c r="B43" s="240" t="s">
        <v>94</v>
      </c>
      <c r="C43" s="239">
        <f>F41-C42</f>
        <v>8747.0283060987131</v>
      </c>
      <c r="D43" s="238"/>
      <c r="E43" s="243"/>
      <c r="F43" s="241"/>
      <c r="H43" s="236">
        <f>I38</f>
        <v>70473.446158533203</v>
      </c>
      <c r="I43" s="235" t="s">
        <v>289</v>
      </c>
    </row>
    <row r="44" spans="2:9" ht="16.2" thickTop="1" thickBot="1">
      <c r="B44" s="243" t="s">
        <v>239</v>
      </c>
      <c r="C44" s="241">
        <f>C43*0.15</f>
        <v>1312.0542459148069</v>
      </c>
      <c r="D44" s="242"/>
      <c r="E44" s="240"/>
      <c r="F44" s="241"/>
    </row>
    <row r="45" spans="2:9" ht="16.2" thickTop="1" thickBot="1">
      <c r="B45" s="240" t="s">
        <v>95</v>
      </c>
      <c r="C45" s="239">
        <f>C43-C44</f>
        <v>7434.9740601839057</v>
      </c>
      <c r="D45" s="238"/>
      <c r="E45" s="235" t="s">
        <v>281</v>
      </c>
      <c r="F45" s="236">
        <f>C45+C33-348*12</f>
        <v>7958.9740601839057</v>
      </c>
    </row>
    <row r="46" spans="2:9" ht="15.6" thickTop="1"/>
  </sheetData>
  <mergeCells count="5">
    <mergeCell ref="H5:I5"/>
    <mergeCell ref="H13:K13"/>
    <mergeCell ref="H19:K19"/>
    <mergeCell ref="H41:I41"/>
    <mergeCell ref="H10:I10"/>
  </mergeCells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K46"/>
  <sheetViews>
    <sheetView topLeftCell="A13" zoomScale="70" zoomScaleNormal="70" workbookViewId="0">
      <selection activeCell="I44" sqref="I44"/>
    </sheetView>
  </sheetViews>
  <sheetFormatPr baseColWidth="10" defaultColWidth="11.44140625" defaultRowHeight="15"/>
  <cols>
    <col min="1" max="1" width="11.44140625" style="20"/>
    <col min="2" max="2" width="39.5546875" style="20" customWidth="1"/>
    <col min="3" max="3" width="14.6640625" style="22" customWidth="1"/>
    <col min="4" max="4" width="14.6640625" style="218" customWidth="1"/>
    <col min="5" max="5" width="39.5546875" style="20" customWidth="1"/>
    <col min="6" max="6" width="14.6640625" style="22" customWidth="1"/>
    <col min="7" max="7" width="11.6640625" style="20" customWidth="1"/>
    <col min="8" max="8" width="18" style="20" bestFit="1" customWidth="1"/>
    <col min="9" max="9" width="18" style="20" customWidth="1"/>
    <col min="10" max="16384" width="11.44140625" style="20"/>
  </cols>
  <sheetData>
    <row r="1" spans="2:11" ht="15.6" thickBot="1"/>
    <row r="2" spans="2:11" s="26" customFormat="1" ht="22.2" thickTop="1" thickBot="1">
      <c r="B2" s="21" t="s">
        <v>286</v>
      </c>
      <c r="C2" s="23"/>
      <c r="D2" s="219"/>
      <c r="E2" s="24"/>
      <c r="F2" s="25"/>
      <c r="G2" s="25"/>
      <c r="H2" s="25"/>
      <c r="I2" s="25"/>
    </row>
    <row r="3" spans="2:11" ht="15.6" thickTop="1"/>
    <row r="4" spans="2:11" ht="15.6" thickBot="1"/>
    <row r="5" spans="2:11" ht="16.2" thickTop="1" thickBot="1">
      <c r="B5" s="27" t="s">
        <v>85</v>
      </c>
      <c r="C5" s="28"/>
      <c r="D5" s="220"/>
      <c r="E5" s="29" t="s">
        <v>86</v>
      </c>
      <c r="F5" s="28"/>
      <c r="H5" s="392" t="s">
        <v>225</v>
      </c>
      <c r="I5" s="393"/>
    </row>
    <row r="6" spans="2:11" ht="15.6" thickTop="1">
      <c r="B6" s="30"/>
      <c r="C6" s="31"/>
      <c r="D6" s="221"/>
      <c r="E6" s="32"/>
      <c r="F6" s="31"/>
    </row>
    <row r="7" spans="2:11">
      <c r="B7" s="33" t="s">
        <v>87</v>
      </c>
      <c r="C7" s="51">
        <f>SUM(C8:C9)</f>
        <v>73259.999999999985</v>
      </c>
      <c r="D7" s="222">
        <f>SUM(D8:D9)</f>
        <v>0</v>
      </c>
      <c r="E7" s="35" t="s">
        <v>88</v>
      </c>
      <c r="F7" s="51">
        <f>SUM(F8)</f>
        <v>111000</v>
      </c>
      <c r="H7" s="232">
        <v>0.34</v>
      </c>
      <c r="I7" s="22">
        <f>F7-C7</f>
        <v>37740.000000000015</v>
      </c>
    </row>
    <row r="8" spans="2:11">
      <c r="B8" s="36" t="s">
        <v>96</v>
      </c>
      <c r="C8" s="37">
        <f>F7*(1-H7)</f>
        <v>73259.999999999985</v>
      </c>
      <c r="D8" s="223"/>
      <c r="E8" s="38" t="s">
        <v>102</v>
      </c>
      <c r="F8" s="234">
        <f>I16</f>
        <v>111000</v>
      </c>
      <c r="G8" s="39"/>
    </row>
    <row r="9" spans="2:11">
      <c r="B9" s="36" t="s">
        <v>97</v>
      </c>
      <c r="C9" s="37">
        <v>0</v>
      </c>
      <c r="D9" s="223"/>
      <c r="E9" s="38"/>
      <c r="F9" s="37" t="s">
        <v>50</v>
      </c>
      <c r="H9" s="390" t="s">
        <v>284</v>
      </c>
      <c r="I9" s="390"/>
    </row>
    <row r="10" spans="2:11">
      <c r="B10" s="33"/>
      <c r="C10" s="34"/>
      <c r="D10" s="224"/>
      <c r="E10" s="40" t="s">
        <v>104</v>
      </c>
      <c r="F10" s="51">
        <v>0</v>
      </c>
      <c r="H10" s="235" t="s">
        <v>282</v>
      </c>
      <c r="I10" s="281">
        <f>200*I14*(0.014*I15+0.25)</f>
        <v>2304</v>
      </c>
    </row>
    <row r="11" spans="2:11">
      <c r="B11" s="33" t="s">
        <v>89</v>
      </c>
      <c r="C11" s="51">
        <f>SUM(C12:C23)</f>
        <v>14604</v>
      </c>
      <c r="D11" s="225"/>
      <c r="E11" s="38"/>
      <c r="F11" s="37"/>
    </row>
    <row r="12" spans="2:11">
      <c r="B12" s="41" t="s">
        <v>231</v>
      </c>
      <c r="C12" s="37">
        <v>500</v>
      </c>
      <c r="D12" s="223"/>
      <c r="E12" s="38" t="s">
        <v>50</v>
      </c>
      <c r="F12" s="37"/>
      <c r="H12" s="391" t="s">
        <v>226</v>
      </c>
      <c r="I12" s="391"/>
      <c r="J12" s="362"/>
      <c r="K12" s="362"/>
    </row>
    <row r="13" spans="2:11">
      <c r="B13" s="41" t="s">
        <v>232</v>
      </c>
      <c r="C13" s="37">
        <v>500</v>
      </c>
      <c r="D13" s="223"/>
      <c r="E13" s="38"/>
      <c r="F13" s="37"/>
    </row>
    <row r="14" spans="2:11">
      <c r="B14" s="41" t="s">
        <v>233</v>
      </c>
      <c r="C14" s="37">
        <v>300</v>
      </c>
      <c r="D14" s="223"/>
      <c r="E14" s="38"/>
      <c r="F14" s="37"/>
      <c r="H14" s="102" t="s">
        <v>227</v>
      </c>
      <c r="I14" s="229">
        <v>15</v>
      </c>
    </row>
    <row r="15" spans="2:11">
      <c r="B15" s="41" t="s">
        <v>52</v>
      </c>
      <c r="C15" s="37">
        <v>1200</v>
      </c>
      <c r="D15" s="223"/>
      <c r="E15" s="38"/>
      <c r="F15" s="37"/>
      <c r="H15" s="102" t="s">
        <v>229</v>
      </c>
      <c r="I15" s="231">
        <v>37</v>
      </c>
    </row>
    <row r="16" spans="2:11">
      <c r="B16" s="41" t="s">
        <v>234</v>
      </c>
      <c r="C16" s="37">
        <v>1200</v>
      </c>
      <c r="D16" s="223"/>
      <c r="E16" s="38"/>
      <c r="F16" s="37"/>
      <c r="H16" s="229" t="s">
        <v>230</v>
      </c>
      <c r="I16" s="230">
        <f>I15*I17</f>
        <v>111000</v>
      </c>
    </row>
    <row r="17" spans="2:11">
      <c r="B17" s="41" t="s">
        <v>235</v>
      </c>
      <c r="C17" s="37">
        <v>2000</v>
      </c>
      <c r="D17" s="223"/>
      <c r="E17" s="38"/>
      <c r="F17" s="37"/>
      <c r="H17" s="102" t="s">
        <v>228</v>
      </c>
      <c r="I17" s="229">
        <f>I14*20*10</f>
        <v>3000</v>
      </c>
    </row>
    <row r="18" spans="2:11">
      <c r="B18" s="41" t="s">
        <v>66</v>
      </c>
      <c r="C18" s="37">
        <v>3000</v>
      </c>
      <c r="D18" s="223"/>
      <c r="E18" s="38"/>
      <c r="F18" s="37"/>
      <c r="H18" s="229"/>
      <c r="I18" s="229"/>
      <c r="J18" s="229"/>
    </row>
    <row r="19" spans="2:11">
      <c r="B19" s="41" t="s">
        <v>53</v>
      </c>
      <c r="C19" s="37">
        <v>2000</v>
      </c>
      <c r="D19" s="223"/>
      <c r="E19" s="38"/>
      <c r="F19" s="37"/>
      <c r="H19" s="391"/>
      <c r="I19" s="391"/>
      <c r="J19" s="391"/>
      <c r="K19" s="391"/>
    </row>
    <row r="20" spans="2:11">
      <c r="B20" s="41" t="s">
        <v>236</v>
      </c>
      <c r="C20" s="37">
        <v>500</v>
      </c>
      <c r="D20" s="223"/>
      <c r="E20" s="38"/>
      <c r="F20" s="37"/>
      <c r="H20" s="229"/>
      <c r="J20" s="229"/>
    </row>
    <row r="21" spans="2:11">
      <c r="B21" s="41" t="s">
        <v>237</v>
      </c>
      <c r="C21" s="37">
        <f>I10</f>
        <v>2304</v>
      </c>
      <c r="D21" s="223"/>
      <c r="E21" s="38"/>
      <c r="F21" s="37"/>
      <c r="H21" s="229"/>
      <c r="I21" s="232"/>
      <c r="J21" s="229"/>
    </row>
    <row r="22" spans="2:11" ht="15.6" thickBot="1">
      <c r="B22" s="41" t="s">
        <v>238</v>
      </c>
      <c r="C22" s="37">
        <v>600</v>
      </c>
      <c r="D22" s="223"/>
      <c r="E22" s="38"/>
      <c r="F22" s="37"/>
      <c r="H22" s="229"/>
      <c r="I22" s="232"/>
      <c r="J22" s="229"/>
    </row>
    <row r="23" spans="2:11" ht="22.2" thickTop="1" thickBot="1">
      <c r="B23" s="41" t="s">
        <v>67</v>
      </c>
      <c r="C23" s="37">
        <v>500</v>
      </c>
      <c r="D23" s="223"/>
      <c r="E23" s="38"/>
      <c r="F23" s="37"/>
      <c r="G23" s="39"/>
      <c r="H23" s="21" t="s">
        <v>180</v>
      </c>
      <c r="I23" s="25"/>
    </row>
    <row r="24" spans="2:11" ht="15.6" thickTop="1">
      <c r="B24" s="41"/>
      <c r="C24" s="42"/>
      <c r="D24" s="226"/>
      <c r="E24" s="38"/>
      <c r="F24" s="37"/>
      <c r="I24" s="22"/>
    </row>
    <row r="25" spans="2:11" ht="15.6" thickBot="1">
      <c r="B25" s="40" t="s">
        <v>240</v>
      </c>
      <c r="C25" s="51">
        <v>400</v>
      </c>
      <c r="D25" s="225" t="s">
        <v>246</v>
      </c>
      <c r="E25" s="38"/>
      <c r="F25" s="37"/>
      <c r="I25" s="22"/>
    </row>
    <row r="26" spans="2:11" ht="16.2" thickTop="1" thickBot="1">
      <c r="B26" s="43"/>
      <c r="C26" s="37"/>
      <c r="D26" s="223"/>
      <c r="E26" s="38"/>
      <c r="F26" s="37"/>
      <c r="H26" s="27" t="s">
        <v>148</v>
      </c>
      <c r="I26" s="28" t="s">
        <v>42</v>
      </c>
    </row>
    <row r="27" spans="2:11" ht="15.6" thickTop="1">
      <c r="B27" s="40" t="s">
        <v>90</v>
      </c>
      <c r="C27" s="51">
        <f>SUM(C28:C31)</f>
        <v>17456</v>
      </c>
      <c r="D27" s="225"/>
      <c r="E27" s="38"/>
      <c r="F27" s="37"/>
      <c r="H27" s="194"/>
      <c r="I27" s="31"/>
    </row>
    <row r="28" spans="2:11">
      <c r="B28" s="41" t="s">
        <v>100</v>
      </c>
      <c r="C28" s="37">
        <v>4800</v>
      </c>
      <c r="D28" s="223"/>
      <c r="E28" s="38"/>
      <c r="F28" s="37"/>
      <c r="H28" s="195" t="s">
        <v>88</v>
      </c>
      <c r="I28" s="196">
        <f>F7</f>
        <v>111000</v>
      </c>
    </row>
    <row r="29" spans="2:11">
      <c r="B29" s="41" t="s">
        <v>101</v>
      </c>
      <c r="C29" s="37">
        <f>0.22*C28</f>
        <v>1056</v>
      </c>
      <c r="D29" s="223"/>
      <c r="E29" s="38"/>
      <c r="F29" s="37"/>
      <c r="H29" s="195" t="s">
        <v>181</v>
      </c>
      <c r="I29" s="196">
        <f>C7</f>
        <v>73259.999999999985</v>
      </c>
    </row>
    <row r="30" spans="2:11">
      <c r="B30" s="41" t="s">
        <v>270</v>
      </c>
      <c r="C30" s="37">
        <v>8000</v>
      </c>
      <c r="D30" s="223"/>
      <c r="E30" s="38"/>
      <c r="F30" s="37"/>
      <c r="H30" s="197" t="s">
        <v>182</v>
      </c>
      <c r="I30" s="9">
        <f>I28-I29</f>
        <v>37740.000000000015</v>
      </c>
    </row>
    <row r="31" spans="2:11">
      <c r="B31" s="41" t="s">
        <v>271</v>
      </c>
      <c r="C31" s="37">
        <f>+C30*45%</f>
        <v>3600</v>
      </c>
      <c r="D31" s="223"/>
      <c r="E31" s="38"/>
      <c r="F31" s="37"/>
      <c r="H31" s="198"/>
      <c r="I31" s="199"/>
    </row>
    <row r="32" spans="2:11">
      <c r="B32" s="41"/>
      <c r="C32" s="42"/>
      <c r="D32" s="226"/>
      <c r="E32" s="38"/>
      <c r="F32" s="37"/>
      <c r="H32" s="200" t="s">
        <v>183</v>
      </c>
      <c r="I32" s="203">
        <f>I30</f>
        <v>37740.000000000015</v>
      </c>
    </row>
    <row r="33" spans="2:9">
      <c r="B33" s="40" t="s">
        <v>98</v>
      </c>
      <c r="C33" s="51">
        <f>SUM(C34:C37)</f>
        <v>3000</v>
      </c>
      <c r="D33" s="225"/>
      <c r="E33" s="38"/>
      <c r="F33" s="37"/>
      <c r="H33" s="200" t="s">
        <v>184</v>
      </c>
      <c r="I33" s="203">
        <f>I28</f>
        <v>111000</v>
      </c>
    </row>
    <row r="34" spans="2:9">
      <c r="B34" s="41" t="s">
        <v>247</v>
      </c>
      <c r="C34" s="51">
        <v>1000</v>
      </c>
      <c r="D34" s="225"/>
      <c r="E34" s="38"/>
      <c r="F34" s="37"/>
      <c r="H34" s="197" t="s">
        <v>188</v>
      </c>
      <c r="I34" s="204">
        <f>IF(I28&gt;0,I32/I33,"NC")</f>
        <v>0.34000000000000014</v>
      </c>
    </row>
    <row r="35" spans="2:9">
      <c r="B35" s="41" t="s">
        <v>248</v>
      </c>
      <c r="C35" s="51">
        <v>1000</v>
      </c>
      <c r="D35" s="225"/>
      <c r="E35" s="38"/>
      <c r="F35" s="37"/>
      <c r="H35" s="198"/>
      <c r="I35" s="199"/>
    </row>
    <row r="36" spans="2:9">
      <c r="B36" s="41" t="s">
        <v>249</v>
      </c>
      <c r="C36" s="51">
        <v>1000</v>
      </c>
      <c r="D36" s="225"/>
      <c r="E36" s="38"/>
      <c r="F36" s="37"/>
      <c r="H36" s="200" t="s">
        <v>185</v>
      </c>
      <c r="I36" s="201">
        <f>C42-I29</f>
        <v>35555</v>
      </c>
    </row>
    <row r="37" spans="2:9">
      <c r="B37" s="41" t="s">
        <v>245</v>
      </c>
      <c r="C37" s="51">
        <v>0</v>
      </c>
      <c r="D37" s="225"/>
      <c r="E37" s="38"/>
      <c r="F37" s="37"/>
      <c r="H37" s="200" t="s">
        <v>186</v>
      </c>
      <c r="I37" s="205">
        <f>I34</f>
        <v>0.34000000000000014</v>
      </c>
    </row>
    <row r="38" spans="2:9">
      <c r="B38" s="40"/>
      <c r="C38" s="34"/>
      <c r="D38" s="224"/>
      <c r="E38" s="40" t="s">
        <v>99</v>
      </c>
      <c r="F38" s="51">
        <v>0</v>
      </c>
      <c r="H38" s="197" t="s">
        <v>187</v>
      </c>
      <c r="I38" s="9">
        <f>IF(I36&gt;0,IF(I37="NC","NC",I36/I37),"NC")</f>
        <v>104573.52941176467</v>
      </c>
    </row>
    <row r="39" spans="2:9" ht="15.6" thickBot="1">
      <c r="B39" s="40" t="s">
        <v>91</v>
      </c>
      <c r="C39" s="51">
        <v>95</v>
      </c>
      <c r="D39" s="225"/>
      <c r="E39" s="44"/>
      <c r="F39" s="45"/>
      <c r="H39" s="202"/>
      <c r="I39" s="45"/>
    </row>
    <row r="40" spans="2:9" ht="16.2" thickTop="1" thickBot="1">
      <c r="B40" s="43"/>
      <c r="C40" s="37"/>
      <c r="D40" s="223"/>
      <c r="E40" s="38"/>
      <c r="F40" s="37"/>
    </row>
    <row r="41" spans="2:9" ht="16.2" thickTop="1" thickBot="1">
      <c r="B41" s="46"/>
      <c r="C41" s="47"/>
      <c r="D41" s="223"/>
      <c r="E41" s="48" t="s">
        <v>93</v>
      </c>
      <c r="F41" s="52">
        <f>F38+F10+F7</f>
        <v>111000</v>
      </c>
      <c r="H41" s="390" t="s">
        <v>280</v>
      </c>
      <c r="I41" s="390"/>
    </row>
    <row r="42" spans="2:9" ht="16.2" thickTop="1" thickBot="1">
      <c r="B42" s="48" t="s">
        <v>92</v>
      </c>
      <c r="C42" s="52">
        <f>C39+C33+C27+C25+C11+C7</f>
        <v>108814.99999999999</v>
      </c>
      <c r="D42" s="227"/>
      <c r="E42" s="50"/>
      <c r="F42" s="49"/>
      <c r="H42" s="235"/>
      <c r="I42" s="235"/>
    </row>
    <row r="43" spans="2:9" ht="16.2" thickTop="1" thickBot="1">
      <c r="B43" s="50" t="s">
        <v>94</v>
      </c>
      <c r="C43" s="52">
        <f>F41-C42</f>
        <v>2185.0000000000146</v>
      </c>
      <c r="D43" s="227"/>
      <c r="E43" s="48"/>
      <c r="F43" s="49"/>
      <c r="H43" s="236">
        <f>I38</f>
        <v>104573.52941176467</v>
      </c>
      <c r="I43" s="235" t="s">
        <v>290</v>
      </c>
    </row>
    <row r="44" spans="2:9" ht="16.2" thickTop="1" thickBot="1">
      <c r="B44" s="48" t="s">
        <v>239</v>
      </c>
      <c r="C44" s="49">
        <f>C43*0.15</f>
        <v>327.75000000000216</v>
      </c>
      <c r="D44" s="228"/>
      <c r="E44" s="50"/>
      <c r="F44" s="49"/>
    </row>
    <row r="45" spans="2:9" ht="16.2" thickTop="1" thickBot="1">
      <c r="B45" s="50" t="s">
        <v>95</v>
      </c>
      <c r="C45" s="52">
        <f>C43-C44</f>
        <v>1857.2500000000123</v>
      </c>
      <c r="D45" s="227"/>
      <c r="E45" s="20" t="s">
        <v>281</v>
      </c>
      <c r="F45" s="236">
        <f>C45+C33-348*12</f>
        <v>681.25000000001273</v>
      </c>
    </row>
    <row r="46" spans="2:9" ht="15.6" thickTop="1"/>
  </sheetData>
  <mergeCells count="5">
    <mergeCell ref="H19:K19"/>
    <mergeCell ref="H41:I41"/>
    <mergeCell ref="H9:I9"/>
    <mergeCell ref="H5:I5"/>
    <mergeCell ref="H12:I12"/>
  </mergeCells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E35"/>
  <sheetViews>
    <sheetView workbookViewId="0">
      <selection activeCell="D40" sqref="D40"/>
    </sheetView>
  </sheetViews>
  <sheetFormatPr baseColWidth="10" defaultRowHeight="13.2"/>
  <cols>
    <col min="2" max="2" width="30.44140625" customWidth="1"/>
    <col min="3" max="3" width="13.109375" customWidth="1"/>
    <col min="4" max="4" width="30.33203125" customWidth="1"/>
    <col min="5" max="5" width="13.109375" customWidth="1"/>
    <col min="6" max="6" width="3.6640625" customWidth="1"/>
    <col min="7" max="7" width="16.44140625" customWidth="1"/>
  </cols>
  <sheetData>
    <row r="1" spans="2:5" ht="13.8" thickBot="1"/>
    <row r="2" spans="2:5" ht="24" thickTop="1" thickBot="1">
      <c r="B2" s="394" t="s">
        <v>103</v>
      </c>
      <c r="C2" s="395"/>
      <c r="D2" s="395"/>
      <c r="E2" s="396"/>
    </row>
    <row r="3" spans="2:5" ht="13.8" thickTop="1"/>
    <row r="4" spans="2:5" ht="22.8">
      <c r="B4" s="397" t="s">
        <v>1</v>
      </c>
      <c r="C4" s="397"/>
      <c r="D4" s="397" t="s">
        <v>2</v>
      </c>
      <c r="E4" s="397"/>
    </row>
    <row r="5" spans="2:5">
      <c r="B5" s="1" t="s">
        <v>3</v>
      </c>
      <c r="C5" s="5">
        <f>C6+C6+C7+C8+C9</f>
        <v>0</v>
      </c>
      <c r="D5" s="1" t="s">
        <v>25</v>
      </c>
      <c r="E5" s="5">
        <f>E6+E7</f>
        <v>0</v>
      </c>
    </row>
    <row r="6" spans="2:5">
      <c r="B6" s="2" t="s">
        <v>4</v>
      </c>
      <c r="C6" s="6">
        <v>0</v>
      </c>
      <c r="D6" s="2" t="s">
        <v>37</v>
      </c>
      <c r="E6" s="6">
        <v>0</v>
      </c>
    </row>
    <row r="7" spans="2:5">
      <c r="B7" s="2" t="s">
        <v>5</v>
      </c>
      <c r="C7" s="6">
        <v>0</v>
      </c>
      <c r="D7" s="2" t="s">
        <v>26</v>
      </c>
      <c r="E7" s="6">
        <v>0</v>
      </c>
    </row>
    <row r="8" spans="2:5">
      <c r="B8" s="2" t="s">
        <v>6</v>
      </c>
      <c r="C8" s="6">
        <v>0</v>
      </c>
      <c r="D8" s="2"/>
      <c r="E8" s="6"/>
    </row>
    <row r="9" spans="2:5">
      <c r="B9" s="2" t="s">
        <v>7</v>
      </c>
      <c r="C9" s="6">
        <v>0</v>
      </c>
      <c r="D9" s="1" t="s">
        <v>27</v>
      </c>
      <c r="E9" s="5">
        <v>0</v>
      </c>
    </row>
    <row r="10" spans="2:5">
      <c r="B10" s="2"/>
      <c r="C10" s="6"/>
      <c r="D10" s="2"/>
      <c r="E10" s="6"/>
    </row>
    <row r="11" spans="2:5">
      <c r="B11" s="1" t="s">
        <v>8</v>
      </c>
      <c r="C11" s="5">
        <f>SUM(C12:C18)</f>
        <v>0</v>
      </c>
      <c r="D11" s="1" t="s">
        <v>28</v>
      </c>
      <c r="E11" s="5">
        <v>0</v>
      </c>
    </row>
    <row r="12" spans="2:5">
      <c r="B12" s="2" t="s">
        <v>9</v>
      </c>
      <c r="C12" s="6">
        <v>0</v>
      </c>
      <c r="D12" s="2"/>
      <c r="E12" s="6"/>
    </row>
    <row r="13" spans="2:5">
      <c r="B13" s="2" t="s">
        <v>38</v>
      </c>
      <c r="C13" s="6">
        <v>0</v>
      </c>
      <c r="D13" s="1" t="s">
        <v>29</v>
      </c>
      <c r="E13" s="5">
        <v>0</v>
      </c>
    </row>
    <row r="14" spans="2:5">
      <c r="B14" s="2" t="s">
        <v>10</v>
      </c>
      <c r="C14" s="6">
        <v>0</v>
      </c>
      <c r="D14" s="2"/>
      <c r="E14" s="6"/>
    </row>
    <row r="15" spans="2:5">
      <c r="B15" s="2" t="s">
        <v>11</v>
      </c>
      <c r="C15" s="6">
        <v>0</v>
      </c>
      <c r="D15" s="1" t="s">
        <v>30</v>
      </c>
      <c r="E15" s="5">
        <v>0</v>
      </c>
    </row>
    <row r="16" spans="2:5">
      <c r="B16" s="2" t="s">
        <v>12</v>
      </c>
      <c r="C16" s="6">
        <v>0</v>
      </c>
      <c r="D16" s="2"/>
      <c r="E16" s="6"/>
    </row>
    <row r="17" spans="2:5">
      <c r="B17" s="2" t="s">
        <v>13</v>
      </c>
      <c r="C17" s="6">
        <v>0</v>
      </c>
      <c r="D17" s="2"/>
      <c r="E17" s="6"/>
    </row>
    <row r="18" spans="2:5">
      <c r="B18" s="2" t="s">
        <v>14</v>
      </c>
      <c r="C18" s="6">
        <v>0</v>
      </c>
      <c r="D18" s="2"/>
      <c r="E18" s="6"/>
    </row>
    <row r="19" spans="2:5">
      <c r="B19" s="2"/>
      <c r="C19" s="6"/>
      <c r="D19" s="2"/>
      <c r="E19" s="6"/>
    </row>
    <row r="20" spans="2:5">
      <c r="B20" s="1" t="s">
        <v>15</v>
      </c>
      <c r="C20" s="5">
        <f>C21</f>
        <v>0</v>
      </c>
      <c r="D20" s="2"/>
      <c r="E20" s="6"/>
    </row>
    <row r="21" spans="2:5">
      <c r="B21" s="2" t="s">
        <v>16</v>
      </c>
      <c r="C21" s="6">
        <v>0</v>
      </c>
      <c r="D21" s="2"/>
      <c r="E21" s="6"/>
    </row>
    <row r="22" spans="2:5">
      <c r="B22" s="3"/>
      <c r="C22" s="7"/>
      <c r="D22" s="3"/>
      <c r="E22" s="7"/>
    </row>
    <row r="23" spans="2:5">
      <c r="B23" s="4" t="s">
        <v>17</v>
      </c>
      <c r="C23" s="8">
        <f>C20+C11+C5</f>
        <v>0</v>
      </c>
      <c r="D23" s="4" t="s">
        <v>31</v>
      </c>
      <c r="E23" s="8">
        <f>E15+E13+E11+E9+E5</f>
        <v>0</v>
      </c>
    </row>
    <row r="24" spans="2:5">
      <c r="B24" s="1"/>
      <c r="C24" s="5"/>
      <c r="D24" s="1"/>
      <c r="E24" s="5"/>
    </row>
    <row r="25" spans="2:5">
      <c r="B25" s="1" t="s">
        <v>18</v>
      </c>
      <c r="C25" s="5">
        <f>C26+C27</f>
        <v>0</v>
      </c>
      <c r="D25" s="1" t="s">
        <v>39</v>
      </c>
      <c r="E25" s="5">
        <v>0</v>
      </c>
    </row>
    <row r="26" spans="2:5">
      <c r="B26" s="2" t="s">
        <v>19</v>
      </c>
      <c r="C26" s="6">
        <v>0</v>
      </c>
      <c r="D26" s="2"/>
      <c r="E26" s="6"/>
    </row>
    <row r="27" spans="2:5">
      <c r="B27" s="2" t="s">
        <v>20</v>
      </c>
      <c r="C27" s="6">
        <v>0</v>
      </c>
      <c r="D27" s="1" t="s">
        <v>32</v>
      </c>
      <c r="E27" s="5">
        <v>0</v>
      </c>
    </row>
    <row r="28" spans="2:5">
      <c r="B28" s="2"/>
      <c r="C28" s="6"/>
      <c r="D28" s="2"/>
      <c r="E28" s="6"/>
    </row>
    <row r="29" spans="2:5">
      <c r="B29" s="1" t="s">
        <v>21</v>
      </c>
      <c r="C29" s="5">
        <v>0</v>
      </c>
      <c r="D29" s="1" t="s">
        <v>33</v>
      </c>
      <c r="E29" s="5">
        <v>0</v>
      </c>
    </row>
    <row r="30" spans="2:5">
      <c r="B30" s="2"/>
      <c r="C30" s="6"/>
      <c r="D30" s="2"/>
      <c r="E30" s="6"/>
    </row>
    <row r="31" spans="2:5">
      <c r="B31" s="1" t="s">
        <v>22</v>
      </c>
      <c r="C31" s="5">
        <v>0</v>
      </c>
      <c r="D31" s="1" t="s">
        <v>34</v>
      </c>
      <c r="E31" s="5">
        <v>0</v>
      </c>
    </row>
    <row r="32" spans="2:5">
      <c r="B32" s="3"/>
      <c r="C32" s="7"/>
      <c r="D32" s="3"/>
      <c r="E32" s="7"/>
    </row>
    <row r="33" spans="2:5">
      <c r="B33" s="4" t="s">
        <v>23</v>
      </c>
      <c r="C33" s="8">
        <f>C31+C29+C25</f>
        <v>0</v>
      </c>
      <c r="D33" s="4" t="s">
        <v>35</v>
      </c>
      <c r="E33" s="8">
        <f>E31+E29+E27+E25</f>
        <v>0</v>
      </c>
    </row>
    <row r="34" spans="2:5">
      <c r="B34" s="4"/>
      <c r="C34" s="8"/>
      <c r="D34" s="4"/>
      <c r="E34" s="8"/>
    </row>
    <row r="35" spans="2:5">
      <c r="B35" s="4" t="s">
        <v>24</v>
      </c>
      <c r="C35" s="8">
        <f>C33+C23</f>
        <v>0</v>
      </c>
      <c r="D35" s="4" t="s">
        <v>36</v>
      </c>
      <c r="E35" s="8">
        <f>E33+E23</f>
        <v>0</v>
      </c>
    </row>
  </sheetData>
  <sheetProtection sheet="1"/>
  <mergeCells count="3">
    <mergeCell ref="B2:E2"/>
    <mergeCell ref="B4:C4"/>
    <mergeCell ref="D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E35"/>
  <sheetViews>
    <sheetView workbookViewId="0">
      <selection activeCell="D17" sqref="D17"/>
    </sheetView>
  </sheetViews>
  <sheetFormatPr baseColWidth="10" defaultColWidth="11.44140625" defaultRowHeight="13.2"/>
  <cols>
    <col min="1" max="1" width="11.44140625" style="10"/>
    <col min="2" max="2" width="30.44140625" style="10" customWidth="1"/>
    <col min="3" max="3" width="13.109375" style="10" customWidth="1"/>
    <col min="4" max="4" width="30.33203125" style="10" customWidth="1"/>
    <col min="5" max="5" width="13.109375" style="10" customWidth="1"/>
    <col min="6" max="6" width="3.6640625" style="10" customWidth="1"/>
    <col min="7" max="7" width="16.44140625" style="10" customWidth="1"/>
    <col min="8" max="16384" width="11.44140625" style="10"/>
  </cols>
  <sheetData>
    <row r="1" spans="2:5" ht="13.8" thickBot="1"/>
    <row r="2" spans="2:5" ht="24" thickTop="1" thickBot="1">
      <c r="B2" s="398" t="s">
        <v>0</v>
      </c>
      <c r="C2" s="399"/>
      <c r="D2" s="399"/>
      <c r="E2" s="400"/>
    </row>
    <row r="3" spans="2:5" ht="13.8" thickTop="1"/>
    <row r="4" spans="2:5" ht="22.8">
      <c r="B4" s="401" t="s">
        <v>1</v>
      </c>
      <c r="C4" s="401"/>
      <c r="D4" s="401" t="s">
        <v>2</v>
      </c>
      <c r="E4" s="401"/>
    </row>
    <row r="5" spans="2:5">
      <c r="B5" s="11" t="s">
        <v>3</v>
      </c>
      <c r="C5" s="18">
        <f>C6+C7+C8+C9</f>
        <v>0</v>
      </c>
      <c r="D5" s="11" t="s">
        <v>25</v>
      </c>
      <c r="E5" s="18">
        <f>E6+E7</f>
        <v>0</v>
      </c>
    </row>
    <row r="6" spans="2:5">
      <c r="B6" s="12" t="s">
        <v>4</v>
      </c>
      <c r="C6" s="13">
        <v>0</v>
      </c>
      <c r="D6" s="12" t="s">
        <v>37</v>
      </c>
      <c r="E6" s="13">
        <v>0</v>
      </c>
    </row>
    <row r="7" spans="2:5">
      <c r="B7" s="12" t="s">
        <v>5</v>
      </c>
      <c r="C7" s="13">
        <v>0</v>
      </c>
      <c r="D7" s="12" t="s">
        <v>26</v>
      </c>
      <c r="E7" s="13">
        <v>0</v>
      </c>
    </row>
    <row r="8" spans="2:5">
      <c r="B8" s="12" t="s">
        <v>6</v>
      </c>
      <c r="C8" s="13">
        <v>0</v>
      </c>
      <c r="D8" s="12"/>
      <c r="E8" s="13"/>
    </row>
    <row r="9" spans="2:5">
      <c r="B9" s="12" t="s">
        <v>7</v>
      </c>
      <c r="C9" s="13">
        <v>0</v>
      </c>
      <c r="D9" s="11" t="s">
        <v>27</v>
      </c>
      <c r="E9" s="18">
        <v>0</v>
      </c>
    </row>
    <row r="10" spans="2:5">
      <c r="B10" s="12"/>
      <c r="C10" s="13"/>
      <c r="D10" s="12"/>
      <c r="E10" s="13"/>
    </row>
    <row r="11" spans="2:5">
      <c r="B11" s="11" t="s">
        <v>8</v>
      </c>
      <c r="C11" s="18">
        <f>SUM(C12:C18)</f>
        <v>0</v>
      </c>
      <c r="D11" s="11" t="s">
        <v>28</v>
      </c>
      <c r="E11" s="18">
        <v>0</v>
      </c>
    </row>
    <row r="12" spans="2:5">
      <c r="B12" s="12" t="s">
        <v>9</v>
      </c>
      <c r="C12" s="13">
        <v>0</v>
      </c>
      <c r="D12" s="12"/>
      <c r="E12" s="13"/>
    </row>
    <row r="13" spans="2:5">
      <c r="B13" s="12" t="s">
        <v>38</v>
      </c>
      <c r="C13" s="13">
        <v>0</v>
      </c>
      <c r="D13" s="11" t="s">
        <v>29</v>
      </c>
      <c r="E13" s="18">
        <v>0</v>
      </c>
    </row>
    <row r="14" spans="2:5">
      <c r="B14" s="12" t="s">
        <v>10</v>
      </c>
      <c r="C14" s="13">
        <v>0</v>
      </c>
      <c r="D14" s="12"/>
      <c r="E14" s="13"/>
    </row>
    <row r="15" spans="2:5">
      <c r="B15" s="12" t="s">
        <v>11</v>
      </c>
      <c r="C15" s="13">
        <v>0</v>
      </c>
      <c r="D15" s="11" t="s">
        <v>30</v>
      </c>
      <c r="E15" s="18">
        <v>0</v>
      </c>
    </row>
    <row r="16" spans="2:5">
      <c r="B16" s="12" t="s">
        <v>12</v>
      </c>
      <c r="C16" s="13">
        <v>0</v>
      </c>
      <c r="D16" s="12"/>
      <c r="E16" s="13"/>
    </row>
    <row r="17" spans="2:5">
      <c r="B17" s="12" t="s">
        <v>13</v>
      </c>
      <c r="C17" s="13">
        <v>0</v>
      </c>
      <c r="D17" s="12"/>
      <c r="E17" s="13"/>
    </row>
    <row r="18" spans="2:5">
      <c r="B18" s="12" t="s">
        <v>14</v>
      </c>
      <c r="C18" s="13">
        <v>0</v>
      </c>
      <c r="D18" s="12"/>
      <c r="E18" s="13"/>
    </row>
    <row r="19" spans="2:5">
      <c r="B19" s="12"/>
      <c r="C19" s="13"/>
      <c r="D19" s="12"/>
      <c r="E19" s="13"/>
    </row>
    <row r="20" spans="2:5">
      <c r="B20" s="11" t="s">
        <v>15</v>
      </c>
      <c r="C20" s="18">
        <f>C21</f>
        <v>0</v>
      </c>
      <c r="D20" s="12"/>
      <c r="E20" s="13"/>
    </row>
    <row r="21" spans="2:5">
      <c r="B21" s="12" t="s">
        <v>16</v>
      </c>
      <c r="C21" s="13">
        <v>0</v>
      </c>
      <c r="D21" s="12"/>
      <c r="E21" s="13"/>
    </row>
    <row r="22" spans="2:5">
      <c r="B22" s="14"/>
      <c r="C22" s="15"/>
      <c r="D22" s="14"/>
      <c r="E22" s="15"/>
    </row>
    <row r="23" spans="2:5">
      <c r="B23" s="16" t="s">
        <v>17</v>
      </c>
      <c r="C23" s="19">
        <f>C20+C11+C5</f>
        <v>0</v>
      </c>
      <c r="D23" s="16" t="s">
        <v>31</v>
      </c>
      <c r="E23" s="19">
        <f>E15+E13+E11+E9+E5</f>
        <v>0</v>
      </c>
    </row>
    <row r="24" spans="2:5">
      <c r="B24" s="11"/>
      <c r="C24" s="13"/>
      <c r="D24" s="11"/>
      <c r="E24" s="13"/>
    </row>
    <row r="25" spans="2:5">
      <c r="B25" s="11" t="s">
        <v>18</v>
      </c>
      <c r="C25" s="18">
        <f>C26+C27</f>
        <v>0</v>
      </c>
      <c r="D25" s="11" t="s">
        <v>39</v>
      </c>
      <c r="E25" s="18">
        <v>0</v>
      </c>
    </row>
    <row r="26" spans="2:5">
      <c r="B26" s="12" t="s">
        <v>19</v>
      </c>
      <c r="C26" s="13">
        <v>0</v>
      </c>
      <c r="D26" s="12"/>
      <c r="E26" s="13"/>
    </row>
    <row r="27" spans="2:5">
      <c r="B27" s="12" t="s">
        <v>20</v>
      </c>
      <c r="C27" s="13">
        <v>0</v>
      </c>
      <c r="D27" s="11" t="s">
        <v>32</v>
      </c>
      <c r="E27" s="18">
        <v>0</v>
      </c>
    </row>
    <row r="28" spans="2:5">
      <c r="B28" s="12"/>
      <c r="C28" s="13"/>
      <c r="D28" s="12"/>
      <c r="E28" s="13"/>
    </row>
    <row r="29" spans="2:5">
      <c r="B29" s="11" t="s">
        <v>21</v>
      </c>
      <c r="C29" s="18">
        <v>0</v>
      </c>
      <c r="D29" s="11" t="s">
        <v>33</v>
      </c>
      <c r="E29" s="18">
        <v>0</v>
      </c>
    </row>
    <row r="30" spans="2:5">
      <c r="B30" s="12"/>
      <c r="C30" s="13"/>
      <c r="D30" s="12"/>
      <c r="E30" s="13"/>
    </row>
    <row r="31" spans="2:5">
      <c r="B31" s="11" t="s">
        <v>22</v>
      </c>
      <c r="C31" s="18">
        <v>0</v>
      </c>
      <c r="D31" s="11" t="s">
        <v>34</v>
      </c>
      <c r="E31" s="18">
        <v>0</v>
      </c>
    </row>
    <row r="32" spans="2:5">
      <c r="B32" s="14"/>
      <c r="C32" s="15"/>
      <c r="D32" s="14"/>
      <c r="E32" s="15"/>
    </row>
    <row r="33" spans="2:5">
      <c r="B33" s="16" t="s">
        <v>23</v>
      </c>
      <c r="C33" s="19">
        <f>C31+C29+C25</f>
        <v>0</v>
      </c>
      <c r="D33" s="16" t="s">
        <v>35</v>
      </c>
      <c r="E33" s="19">
        <f>E31+E29+E27+E25</f>
        <v>0</v>
      </c>
    </row>
    <row r="34" spans="2:5">
      <c r="B34" s="16"/>
      <c r="C34" s="17"/>
      <c r="D34" s="16"/>
      <c r="E34" s="17"/>
    </row>
    <row r="35" spans="2:5">
      <c r="B35" s="16" t="s">
        <v>24</v>
      </c>
      <c r="C35" s="19">
        <f>C33+C23</f>
        <v>0</v>
      </c>
      <c r="D35" s="16" t="s">
        <v>36</v>
      </c>
      <c r="E35" s="19">
        <f>E33+E23</f>
        <v>0</v>
      </c>
    </row>
  </sheetData>
  <sheetProtection sheet="1"/>
  <mergeCells count="3">
    <mergeCell ref="B2:E2"/>
    <mergeCell ref="B4:C4"/>
    <mergeCell ref="D4:E4"/>
  </mergeCells>
  <phoneticPr fontId="3" type="noConversion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B1:K46"/>
  <sheetViews>
    <sheetView tabSelected="1" zoomScale="55" zoomScaleNormal="55" workbookViewId="0">
      <selection activeCell="I44" sqref="I44"/>
    </sheetView>
  </sheetViews>
  <sheetFormatPr baseColWidth="10" defaultColWidth="11.44140625" defaultRowHeight="15"/>
  <cols>
    <col min="1" max="1" width="11.44140625" style="20"/>
    <col min="2" max="2" width="39.5546875" style="20" customWidth="1"/>
    <col min="3" max="3" width="14.6640625" style="22" customWidth="1"/>
    <col min="4" max="4" width="14.6640625" style="89" customWidth="1"/>
    <col min="5" max="5" width="39.5546875" style="20" customWidth="1"/>
    <col min="6" max="6" width="14.6640625" style="22" customWidth="1"/>
    <col min="7" max="7" width="11.6640625" style="20" customWidth="1"/>
    <col min="8" max="8" width="18" style="20" bestFit="1" customWidth="1"/>
    <col min="9" max="9" width="19.77734375" style="20" customWidth="1"/>
    <col min="10" max="16384" width="11.44140625" style="20"/>
  </cols>
  <sheetData>
    <row r="1" spans="2:11" ht="15.6" thickBot="1"/>
    <row r="2" spans="2:11" s="26" customFormat="1" ht="22.2" thickTop="1" thickBot="1">
      <c r="B2" s="21" t="s">
        <v>287</v>
      </c>
      <c r="C2" s="23"/>
      <c r="D2" s="354"/>
      <c r="E2" s="24"/>
      <c r="F2" s="25"/>
      <c r="G2" s="25"/>
      <c r="H2" s="25"/>
      <c r="I2" s="25"/>
    </row>
    <row r="3" spans="2:11" ht="15.6" thickTop="1"/>
    <row r="4" spans="2:11" ht="15.6" thickBot="1"/>
    <row r="5" spans="2:11" ht="16.2" thickTop="1" thickBot="1">
      <c r="B5" s="27" t="s">
        <v>85</v>
      </c>
      <c r="C5" s="28"/>
      <c r="D5" s="355"/>
      <c r="E5" s="29" t="s">
        <v>86</v>
      </c>
      <c r="F5" s="28"/>
      <c r="H5" s="392" t="s">
        <v>225</v>
      </c>
      <c r="I5" s="393"/>
    </row>
    <row r="6" spans="2:11" ht="15.6" thickTop="1">
      <c r="B6" s="30"/>
      <c r="C6" s="31" t="s">
        <v>44</v>
      </c>
      <c r="D6" s="356"/>
      <c r="E6" s="32"/>
      <c r="F6" s="31"/>
    </row>
    <row r="7" spans="2:11">
      <c r="B7" s="33" t="s">
        <v>87</v>
      </c>
      <c r="C7" s="51">
        <f>SUM(C8:C9)</f>
        <v>97679.999999999985</v>
      </c>
      <c r="D7" s="357"/>
      <c r="E7" s="35" t="s">
        <v>88</v>
      </c>
      <c r="F7" s="51">
        <f>I16</f>
        <v>148000</v>
      </c>
      <c r="H7" s="232">
        <v>0.34</v>
      </c>
      <c r="I7" s="22">
        <f>F7-C7</f>
        <v>50320.000000000015</v>
      </c>
    </row>
    <row r="8" spans="2:11">
      <c r="B8" s="36" t="s">
        <v>96</v>
      </c>
      <c r="C8" s="37">
        <f>F7*(1-H7)</f>
        <v>97679.999999999985</v>
      </c>
      <c r="D8" s="352"/>
      <c r="E8" s="38" t="s">
        <v>102</v>
      </c>
      <c r="F8" s="37">
        <v>0</v>
      </c>
      <c r="G8" s="39"/>
    </row>
    <row r="9" spans="2:11">
      <c r="B9" s="36" t="s">
        <v>97</v>
      </c>
      <c r="C9" s="37">
        <v>0</v>
      </c>
      <c r="D9" s="352"/>
      <c r="E9" s="38"/>
      <c r="F9" s="37" t="s">
        <v>50</v>
      </c>
      <c r="H9" s="390" t="s">
        <v>283</v>
      </c>
      <c r="I9" s="390"/>
    </row>
    <row r="10" spans="2:11">
      <c r="B10" s="33"/>
      <c r="C10" s="34"/>
      <c r="D10" s="352"/>
      <c r="E10" s="40" t="s">
        <v>104</v>
      </c>
      <c r="F10" s="51">
        <v>0</v>
      </c>
      <c r="H10" s="235" t="s">
        <v>282</v>
      </c>
      <c r="I10" s="281">
        <f>200*I14*(0.014*I15+0.25)</f>
        <v>3072</v>
      </c>
    </row>
    <row r="11" spans="2:11">
      <c r="B11" s="33" t="s">
        <v>89</v>
      </c>
      <c r="C11" s="51">
        <f>SUM(C12:C23)</f>
        <v>17372</v>
      </c>
      <c r="D11" s="361"/>
      <c r="E11" s="38"/>
      <c r="F11" s="37"/>
    </row>
    <row r="12" spans="2:11">
      <c r="B12" s="41" t="s">
        <v>231</v>
      </c>
      <c r="C12" s="37">
        <v>500</v>
      </c>
      <c r="E12" s="38" t="s">
        <v>50</v>
      </c>
      <c r="F12" s="37"/>
      <c r="H12" s="391" t="s">
        <v>226</v>
      </c>
      <c r="I12" s="391"/>
      <c r="J12" s="362"/>
      <c r="K12" s="362"/>
    </row>
    <row r="13" spans="2:11">
      <c r="B13" s="41" t="s">
        <v>232</v>
      </c>
      <c r="C13" s="37">
        <v>500</v>
      </c>
      <c r="E13" s="38"/>
      <c r="F13" s="37"/>
    </row>
    <row r="14" spans="2:11">
      <c r="B14" s="41" t="s">
        <v>233</v>
      </c>
      <c r="C14" s="37">
        <v>300</v>
      </c>
      <c r="E14" s="38"/>
      <c r="F14" s="37"/>
      <c r="H14" s="102" t="s">
        <v>227</v>
      </c>
      <c r="I14" s="229">
        <v>20</v>
      </c>
    </row>
    <row r="15" spans="2:11">
      <c r="B15" s="41" t="s">
        <v>52</v>
      </c>
      <c r="C15" s="37">
        <v>1200</v>
      </c>
      <c r="E15" s="38"/>
      <c r="F15" s="37"/>
      <c r="H15" s="102" t="s">
        <v>229</v>
      </c>
      <c r="I15" s="231">
        <v>37</v>
      </c>
    </row>
    <row r="16" spans="2:11">
      <c r="B16" s="41" t="s">
        <v>234</v>
      </c>
      <c r="C16" s="37">
        <v>1200</v>
      </c>
      <c r="E16" s="38"/>
      <c r="F16" s="37"/>
      <c r="H16" s="229" t="s">
        <v>230</v>
      </c>
      <c r="I16" s="230">
        <f>I15*I17</f>
        <v>148000</v>
      </c>
    </row>
    <row r="17" spans="2:11">
      <c r="B17" s="41" t="s">
        <v>235</v>
      </c>
      <c r="C17" s="37">
        <v>2000</v>
      </c>
      <c r="E17" s="38"/>
      <c r="F17" s="37"/>
      <c r="H17" s="102" t="s">
        <v>228</v>
      </c>
      <c r="I17" s="229">
        <f>I14*20*10</f>
        <v>4000</v>
      </c>
    </row>
    <row r="18" spans="2:11">
      <c r="B18" s="41" t="s">
        <v>66</v>
      </c>
      <c r="C18" s="37">
        <v>5000</v>
      </c>
      <c r="E18" s="38"/>
      <c r="F18" s="37"/>
      <c r="H18" s="229"/>
      <c r="I18" s="229"/>
      <c r="J18" s="229"/>
    </row>
    <row r="19" spans="2:11">
      <c r="B19" s="41" t="s">
        <v>53</v>
      </c>
      <c r="C19" s="37">
        <v>2000</v>
      </c>
      <c r="E19" s="38"/>
      <c r="F19" s="37"/>
      <c r="H19" s="391"/>
      <c r="I19" s="391"/>
      <c r="J19" s="391"/>
      <c r="K19" s="391"/>
    </row>
    <row r="20" spans="2:11">
      <c r="B20" s="41" t="s">
        <v>236</v>
      </c>
      <c r="C20" s="37">
        <v>500</v>
      </c>
      <c r="E20" s="38"/>
      <c r="F20" s="37"/>
      <c r="H20" s="229"/>
      <c r="J20" s="229"/>
    </row>
    <row r="21" spans="2:11" ht="15.6" thickBot="1">
      <c r="B21" s="41" t="s">
        <v>237</v>
      </c>
      <c r="C21" s="37">
        <f>I10</f>
        <v>3072</v>
      </c>
      <c r="E21" s="38"/>
      <c r="F21" s="37"/>
      <c r="H21" s="229"/>
      <c r="I21" s="232"/>
      <c r="J21" s="229"/>
    </row>
    <row r="22" spans="2:11" ht="22.2" thickTop="1" thickBot="1">
      <c r="B22" s="41" t="s">
        <v>238</v>
      </c>
      <c r="C22" s="37">
        <v>600</v>
      </c>
      <c r="E22" s="38"/>
      <c r="F22" s="37"/>
      <c r="H22" s="21"/>
      <c r="I22" s="25"/>
      <c r="J22" s="229"/>
    </row>
    <row r="23" spans="2:11" ht="22.2" thickTop="1" thickBot="1">
      <c r="B23" s="41" t="s">
        <v>67</v>
      </c>
      <c r="C23" s="37">
        <v>500</v>
      </c>
      <c r="E23" s="38"/>
      <c r="F23" s="37"/>
      <c r="G23" s="39"/>
      <c r="H23" s="21" t="s">
        <v>180</v>
      </c>
      <c r="I23" s="25"/>
    </row>
    <row r="24" spans="2:11" ht="15.6" thickTop="1">
      <c r="B24" s="41"/>
      <c r="C24" s="42"/>
      <c r="D24" s="353"/>
      <c r="E24" s="38"/>
      <c r="F24" s="37"/>
      <c r="I24" s="22"/>
    </row>
    <row r="25" spans="2:11" ht="15.6" thickBot="1">
      <c r="B25" s="40" t="s">
        <v>240</v>
      </c>
      <c r="C25" s="51">
        <v>400</v>
      </c>
      <c r="D25" s="358"/>
      <c r="E25" s="38"/>
      <c r="F25" s="37"/>
      <c r="I25" s="22"/>
    </row>
    <row r="26" spans="2:11" ht="16.2" thickTop="1" thickBot="1">
      <c r="B26" s="43"/>
      <c r="C26" s="37"/>
      <c r="D26" s="352"/>
      <c r="E26" s="38"/>
      <c r="F26" s="37"/>
      <c r="H26" s="27" t="s">
        <v>148</v>
      </c>
      <c r="I26" s="28" t="s">
        <v>42</v>
      </c>
    </row>
    <row r="27" spans="2:11" ht="15.6" thickTop="1">
      <c r="B27" s="40" t="s">
        <v>90</v>
      </c>
      <c r="C27" s="51">
        <f>SUM(C28:C31)</f>
        <v>27920</v>
      </c>
      <c r="D27" s="358"/>
      <c r="E27" s="38"/>
      <c r="F27" s="37"/>
      <c r="H27" s="194"/>
      <c r="I27" s="31"/>
    </row>
    <row r="28" spans="2:11">
      <c r="B28" s="41" t="s">
        <v>100</v>
      </c>
      <c r="C28" s="37">
        <f>11000</f>
        <v>11000</v>
      </c>
      <c r="D28" s="352"/>
      <c r="E28" s="38"/>
      <c r="F28" s="37"/>
      <c r="H28" s="195" t="s">
        <v>88</v>
      </c>
      <c r="I28" s="196">
        <f>F7</f>
        <v>148000</v>
      </c>
    </row>
    <row r="29" spans="2:11">
      <c r="B29" s="41" t="s">
        <v>101</v>
      </c>
      <c r="C29" s="37">
        <f>C28*0.22</f>
        <v>2420</v>
      </c>
      <c r="D29" s="352"/>
      <c r="E29" s="38"/>
      <c r="F29" s="37"/>
      <c r="H29" s="195" t="s">
        <v>181</v>
      </c>
      <c r="I29" s="196">
        <f>C7</f>
        <v>97679.999999999985</v>
      </c>
    </row>
    <row r="30" spans="2:11">
      <c r="B30" s="41" t="s">
        <v>56</v>
      </c>
      <c r="C30" s="37">
        <f>10000</f>
        <v>10000</v>
      </c>
      <c r="D30" s="352"/>
      <c r="E30" s="38"/>
      <c r="F30" s="37"/>
      <c r="H30" s="197" t="s">
        <v>182</v>
      </c>
      <c r="I30" s="9">
        <f>I28-I29</f>
        <v>50320.000000000015</v>
      </c>
    </row>
    <row r="31" spans="2:11">
      <c r="B31" s="41" t="s">
        <v>57</v>
      </c>
      <c r="C31" s="37">
        <f>C30*0.45</f>
        <v>4500</v>
      </c>
      <c r="D31" s="352"/>
      <c r="E31" s="38"/>
      <c r="F31" s="37"/>
      <c r="H31" s="198"/>
      <c r="I31" s="199"/>
    </row>
    <row r="32" spans="2:11">
      <c r="B32" s="41"/>
      <c r="C32" s="42"/>
      <c r="D32" s="353"/>
      <c r="E32" s="38"/>
      <c r="F32" s="37"/>
      <c r="H32" s="200" t="s">
        <v>183</v>
      </c>
      <c r="I32" s="203">
        <f>I30</f>
        <v>50320.000000000015</v>
      </c>
    </row>
    <row r="33" spans="2:9">
      <c r="B33" s="40" t="s">
        <v>98</v>
      </c>
      <c r="C33" s="51">
        <f>SUM(C34:C37)</f>
        <v>3000</v>
      </c>
      <c r="D33" s="358"/>
      <c r="E33" s="38"/>
      <c r="F33" s="37"/>
      <c r="H33" s="200" t="s">
        <v>184</v>
      </c>
      <c r="I33" s="203">
        <f>I28</f>
        <v>148000</v>
      </c>
    </row>
    <row r="34" spans="2:9">
      <c r="B34" s="41" t="s">
        <v>250</v>
      </c>
      <c r="C34" s="51">
        <v>1000</v>
      </c>
      <c r="D34" s="358"/>
      <c r="E34" s="38"/>
      <c r="F34" s="37"/>
      <c r="H34" s="197" t="s">
        <v>188</v>
      </c>
      <c r="I34" s="204">
        <f>IF(I28&gt;0,I32/I33,"NC")</f>
        <v>0.34000000000000008</v>
      </c>
    </row>
    <row r="35" spans="2:9">
      <c r="B35" s="41" t="s">
        <v>251</v>
      </c>
      <c r="C35" s="51">
        <v>1000</v>
      </c>
      <c r="D35" s="358"/>
      <c r="E35" s="38"/>
      <c r="F35" s="37"/>
      <c r="H35" s="198"/>
      <c r="I35" s="199"/>
    </row>
    <row r="36" spans="2:9">
      <c r="B36" s="41" t="s">
        <v>252</v>
      </c>
      <c r="C36" s="51">
        <v>1000</v>
      </c>
      <c r="D36" s="358"/>
      <c r="E36" s="38"/>
      <c r="F36" s="37"/>
      <c r="H36" s="200" t="s">
        <v>185</v>
      </c>
      <c r="I36" s="201">
        <f>C42-I29</f>
        <v>48727.000000000015</v>
      </c>
    </row>
    <row r="37" spans="2:9">
      <c r="B37" s="41" t="s">
        <v>245</v>
      </c>
      <c r="C37" s="51">
        <v>0</v>
      </c>
      <c r="D37" s="358"/>
      <c r="E37" s="38"/>
      <c r="F37" s="37"/>
      <c r="H37" s="200" t="s">
        <v>186</v>
      </c>
      <c r="I37" s="205">
        <f>I34</f>
        <v>0.34000000000000008</v>
      </c>
    </row>
    <row r="38" spans="2:9">
      <c r="B38" s="40"/>
      <c r="C38" s="34"/>
      <c r="D38" s="352"/>
      <c r="E38" s="40" t="s">
        <v>99</v>
      </c>
      <c r="F38" s="51">
        <v>0</v>
      </c>
      <c r="H38" s="197" t="s">
        <v>187</v>
      </c>
      <c r="I38" s="9">
        <f>IF(I36&gt;0,IF(I37="NC","NC",I36/I37),"NC")</f>
        <v>143314.70588235295</v>
      </c>
    </row>
    <row r="39" spans="2:9" ht="15.6" thickBot="1">
      <c r="B39" s="40" t="s">
        <v>91</v>
      </c>
      <c r="C39" s="51">
        <v>35</v>
      </c>
      <c r="D39" s="358"/>
      <c r="E39" s="44"/>
      <c r="F39" s="45"/>
      <c r="H39" s="202"/>
      <c r="I39" s="45"/>
    </row>
    <row r="40" spans="2:9" ht="16.2" thickTop="1" thickBot="1">
      <c r="B40" s="43"/>
      <c r="C40" s="37"/>
      <c r="D40" s="352"/>
      <c r="E40" s="38"/>
      <c r="F40" s="37"/>
    </row>
    <row r="41" spans="2:9" ht="16.2" thickTop="1" thickBot="1">
      <c r="B41" s="46"/>
      <c r="C41" s="47"/>
      <c r="D41" s="352"/>
      <c r="E41" s="48" t="s">
        <v>93</v>
      </c>
      <c r="F41" s="52">
        <f>F38+F10+F7</f>
        <v>148000</v>
      </c>
      <c r="H41" s="390" t="s">
        <v>280</v>
      </c>
      <c r="I41" s="390"/>
    </row>
    <row r="42" spans="2:9" ht="16.2" thickTop="1" thickBot="1">
      <c r="B42" s="48" t="s">
        <v>92</v>
      </c>
      <c r="C42" s="52">
        <f>C39+C33+C27+C25+C11+C7</f>
        <v>146407</v>
      </c>
      <c r="D42" s="359"/>
      <c r="E42" s="50"/>
      <c r="F42" s="49"/>
      <c r="H42" s="235"/>
      <c r="I42" s="235"/>
    </row>
    <row r="43" spans="2:9" ht="16.2" thickTop="1" thickBot="1">
      <c r="B43" s="50" t="s">
        <v>94</v>
      </c>
      <c r="C43" s="52">
        <f>F41-C42</f>
        <v>1593</v>
      </c>
      <c r="D43" s="359"/>
      <c r="E43" s="48"/>
      <c r="F43" s="49"/>
      <c r="H43" s="236">
        <f>I38</f>
        <v>143314.70588235295</v>
      </c>
      <c r="I43" s="235" t="s">
        <v>290</v>
      </c>
    </row>
    <row r="44" spans="2:9" ht="16.2" thickTop="1" thickBot="1">
      <c r="B44" s="48" t="s">
        <v>239</v>
      </c>
      <c r="C44" s="49">
        <f>C43*0.15</f>
        <v>238.95</v>
      </c>
      <c r="D44" s="360"/>
      <c r="E44" s="50"/>
      <c r="F44" s="49"/>
    </row>
    <row r="45" spans="2:9" ht="16.2" thickTop="1" thickBot="1">
      <c r="B45" s="50" t="s">
        <v>95</v>
      </c>
      <c r="C45" s="52">
        <f>C43-C44</f>
        <v>1354.05</v>
      </c>
      <c r="D45" s="359"/>
      <c r="E45" s="20" t="s">
        <v>281</v>
      </c>
      <c r="F45" s="236">
        <f>C45+C33-348*12</f>
        <v>178.05000000000018</v>
      </c>
    </row>
    <row r="46" spans="2:9" ht="15.6" thickTop="1"/>
  </sheetData>
  <mergeCells count="5">
    <mergeCell ref="H19:K19"/>
    <mergeCell ref="H41:I41"/>
    <mergeCell ref="H9:I9"/>
    <mergeCell ref="H12:I12"/>
    <mergeCell ref="H5:I5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1"/>
  <sheetViews>
    <sheetView topLeftCell="C2" workbookViewId="0">
      <selection activeCell="J28" sqref="J28"/>
    </sheetView>
  </sheetViews>
  <sheetFormatPr baseColWidth="10" defaultColWidth="11.44140625" defaultRowHeight="13.2"/>
  <cols>
    <col min="1" max="1" width="11.44140625" style="10"/>
    <col min="2" max="6" width="15" style="10" customWidth="1"/>
    <col min="7" max="16384" width="11.44140625" style="10"/>
  </cols>
  <sheetData>
    <row r="1" spans="1:13" ht="13.8" thickBot="1"/>
    <row r="2" spans="1:13" ht="22.2" thickTop="1" thickBot="1">
      <c r="B2" s="21" t="s">
        <v>133</v>
      </c>
      <c r="C2" s="86"/>
      <c r="D2" s="24"/>
      <c r="E2" s="87"/>
      <c r="F2" s="88"/>
    </row>
    <row r="3" spans="1:13" ht="15.6" thickTop="1">
      <c r="B3" s="20"/>
      <c r="C3" s="89"/>
      <c r="D3" s="20"/>
      <c r="E3" s="90"/>
      <c r="F3" s="90"/>
    </row>
    <row r="4" spans="1:13" ht="22.8">
      <c r="B4" s="91"/>
      <c r="C4" s="92"/>
      <c r="D4" s="91"/>
      <c r="E4" s="93"/>
      <c r="F4" s="93"/>
    </row>
    <row r="5" spans="1:13" ht="18" thickBot="1">
      <c r="B5" s="94" t="s">
        <v>50</v>
      </c>
      <c r="C5" s="95"/>
      <c r="D5" s="96"/>
      <c r="E5" s="97"/>
      <c r="F5" s="97"/>
    </row>
    <row r="6" spans="1:13" ht="13.8" thickTop="1">
      <c r="B6" s="98" t="s">
        <v>134</v>
      </c>
      <c r="C6" s="99"/>
      <c r="D6" s="100" t="s">
        <v>137</v>
      </c>
      <c r="E6" s="101"/>
      <c r="F6" s="102"/>
    </row>
    <row r="7" spans="1:13">
      <c r="B7" s="103" t="s">
        <v>146</v>
      </c>
      <c r="C7" s="104"/>
      <c r="D7" s="105">
        <v>0</v>
      </c>
      <c r="E7" s="102"/>
      <c r="F7" s="102"/>
    </row>
    <row r="8" spans="1:13">
      <c r="B8" s="106" t="s">
        <v>192</v>
      </c>
      <c r="C8" s="107"/>
      <c r="D8" s="108">
        <v>41430</v>
      </c>
      <c r="E8" s="109"/>
      <c r="F8" s="102"/>
    </row>
    <row r="9" spans="1:13">
      <c r="A9" s="102"/>
      <c r="B9" s="106" t="s">
        <v>135</v>
      </c>
      <c r="C9" s="110"/>
      <c r="D9" s="111" t="s">
        <v>132</v>
      </c>
      <c r="E9" s="109"/>
      <c r="F9" s="102"/>
      <c r="K9" s="102"/>
      <c r="M9" s="102"/>
    </row>
    <row r="10" spans="1:13" ht="13.8" thickBot="1">
      <c r="B10" s="112" t="s">
        <v>136</v>
      </c>
      <c r="C10" s="113"/>
      <c r="D10" s="114">
        <v>0</v>
      </c>
      <c r="E10" s="101"/>
      <c r="F10" s="115"/>
      <c r="K10" s="102"/>
      <c r="M10" s="102"/>
    </row>
    <row r="11" spans="1:13" ht="14.4" thickTop="1" thickBot="1">
      <c r="B11" s="112" t="s">
        <v>145</v>
      </c>
      <c r="C11" s="113"/>
      <c r="D11" s="116">
        <v>0</v>
      </c>
      <c r="E11" s="101"/>
      <c r="F11" s="115"/>
    </row>
    <row r="12" spans="1:13" ht="13.8" thickTop="1">
      <c r="B12" s="102"/>
      <c r="C12" s="117"/>
      <c r="D12" s="102" t="s">
        <v>50</v>
      </c>
      <c r="E12" s="118"/>
      <c r="F12" s="118"/>
    </row>
    <row r="13" spans="1:13" ht="13.8" thickBot="1">
      <c r="B13" s="102"/>
      <c r="C13" s="102"/>
      <c r="D13" s="102"/>
      <c r="E13" s="102"/>
      <c r="F13" s="102"/>
    </row>
    <row r="14" spans="1:13" ht="13.8" thickTop="1">
      <c r="B14" s="119" t="s">
        <v>193</v>
      </c>
      <c r="C14" s="120" t="s">
        <v>139</v>
      </c>
      <c r="D14" s="121" t="s">
        <v>42</v>
      </c>
      <c r="E14" s="121" t="s">
        <v>140</v>
      </c>
      <c r="F14" s="122" t="s">
        <v>138</v>
      </c>
    </row>
    <row r="15" spans="1:13" ht="13.8" thickBot="1">
      <c r="B15" s="123"/>
      <c r="C15" s="124" t="s">
        <v>143</v>
      </c>
      <c r="D15" s="125" t="s">
        <v>144</v>
      </c>
      <c r="E15" s="125" t="s">
        <v>141</v>
      </c>
      <c r="F15" s="126" t="s">
        <v>142</v>
      </c>
    </row>
    <row r="16" spans="1:13" ht="14.4" thickTop="1" thickBot="1">
      <c r="A16" s="127" t="str">
        <f>IF($D$10,1,"")</f>
        <v/>
      </c>
      <c r="B16" s="128" t="str">
        <f>IF(C16=0,"",IF($D$10&lt;&gt;"",DATE(YEAR($D$8)+A16,MONTH($D$1),DAY($D$1)),""))</f>
        <v/>
      </c>
      <c r="C16" s="129">
        <f>D7</f>
        <v>0</v>
      </c>
      <c r="D16" s="130">
        <f>IF(D7=0,0,D7/($D$10)*((B16-D8)/365))</f>
        <v>0</v>
      </c>
      <c r="E16" s="130">
        <f>D16</f>
        <v>0</v>
      </c>
      <c r="F16" s="131">
        <f>IF(C16-E16&lt;=0,0,C16-D16)</f>
        <v>0</v>
      </c>
    </row>
    <row r="17" spans="1:6" ht="13.8" thickTop="1">
      <c r="A17" s="127" t="str">
        <f>IF($D$10,A16+1,"")</f>
        <v/>
      </c>
      <c r="B17" s="132" t="str">
        <f>IF(C17=0,"",IF($D$10&lt;&gt;"",DATE(YEAR($D$8)+A17,MONTH($D$1),DAY($D$1)),""))</f>
        <v/>
      </c>
      <c r="C17" s="133">
        <f>IF(F16-12&gt;0,$D$7,IF(F16-12&lt;0,0))</f>
        <v>0</v>
      </c>
      <c r="D17" s="134">
        <f>IF(F16=0,0,IF($C$16/$D$10&gt;=F16,F16,$C$16/$D$10))</f>
        <v>0</v>
      </c>
      <c r="E17" s="134">
        <f>C17-F17</f>
        <v>0</v>
      </c>
      <c r="F17" s="135">
        <f>IF(F16-D17&lt;=0,0,F16-D17)</f>
        <v>0</v>
      </c>
    </row>
    <row r="18" spans="1:6" ht="13.8" thickBot="1">
      <c r="A18" s="127" t="str">
        <f t="shared" ref="A18:A30" si="0">IF($D$10,A17+1,"")</f>
        <v/>
      </c>
      <c r="B18" s="136" t="str">
        <f>IF(C18=0,"",IF($D$10&lt;&gt;"",DATE(YEAR($D$8)+A18,MONTH($D$1),DAY($D$1)),""))</f>
        <v/>
      </c>
      <c r="C18" s="137">
        <f>IF(F17-12&gt;0,$D$7,IF(F17-12&lt;0,0))</f>
        <v>0</v>
      </c>
      <c r="D18" s="138">
        <f>IF(F17=0,0,IF($C$16/$D$10&gt;=F17,F17,$C$16/$D$10))</f>
        <v>0</v>
      </c>
      <c r="E18" s="138">
        <f>C18-F18</f>
        <v>0</v>
      </c>
      <c r="F18" s="139">
        <f>IF(F17-D18&lt;=0,0,F17-D18)</f>
        <v>0</v>
      </c>
    </row>
    <row r="19" spans="1:6" ht="14.4" thickTop="1" thickBot="1">
      <c r="A19" s="127" t="str">
        <f t="shared" si="0"/>
        <v/>
      </c>
      <c r="B19" s="128" t="str">
        <f t="shared" ref="B19:B30" si="1">IF(C19=0,"",IF($D$10&lt;&gt;"",DATE(YEAR($D$8)+A19,MONTH($D$1),DAY($D$1)),""))</f>
        <v/>
      </c>
      <c r="C19" s="129">
        <f t="shared" ref="C19:C30" si="2">IF(F18-12&gt;0,$D$7,IF(F18-12&lt;0,0))</f>
        <v>0</v>
      </c>
      <c r="D19" s="130">
        <f t="shared" ref="D19:D30" si="3">IF(F18=0,0,IF($C$16/$D$10&gt;=F18,F18,$C$16/$D$10))</f>
        <v>0</v>
      </c>
      <c r="E19" s="130">
        <f t="shared" ref="E19:E30" si="4">C19-F19</f>
        <v>0</v>
      </c>
      <c r="F19" s="131">
        <f t="shared" ref="F19:F30" si="5">IF(F18-D19&lt;=0,0,F18-D19)</f>
        <v>0</v>
      </c>
    </row>
    <row r="20" spans="1:6" ht="14.4" thickTop="1" thickBot="1">
      <c r="A20" s="127" t="str">
        <f t="shared" si="0"/>
        <v/>
      </c>
      <c r="B20" s="128" t="str">
        <f t="shared" si="1"/>
        <v/>
      </c>
      <c r="C20" s="129">
        <f t="shared" si="2"/>
        <v>0</v>
      </c>
      <c r="D20" s="130">
        <f t="shared" si="3"/>
        <v>0</v>
      </c>
      <c r="E20" s="130">
        <f t="shared" si="4"/>
        <v>0</v>
      </c>
      <c r="F20" s="131">
        <f t="shared" si="5"/>
        <v>0</v>
      </c>
    </row>
    <row r="21" spans="1:6" ht="14.4" thickTop="1" thickBot="1">
      <c r="A21" s="127" t="str">
        <f t="shared" si="0"/>
        <v/>
      </c>
      <c r="B21" s="128" t="str">
        <f t="shared" si="1"/>
        <v/>
      </c>
      <c r="C21" s="129">
        <f t="shared" si="2"/>
        <v>0</v>
      </c>
      <c r="D21" s="130">
        <f t="shared" si="3"/>
        <v>0</v>
      </c>
      <c r="E21" s="130">
        <f t="shared" si="4"/>
        <v>0</v>
      </c>
      <c r="F21" s="131">
        <f t="shared" si="5"/>
        <v>0</v>
      </c>
    </row>
    <row r="22" spans="1:6" ht="14.4" thickTop="1" thickBot="1">
      <c r="A22" s="127" t="str">
        <f t="shared" si="0"/>
        <v/>
      </c>
      <c r="B22" s="128" t="str">
        <f t="shared" si="1"/>
        <v/>
      </c>
      <c r="C22" s="129">
        <f t="shared" si="2"/>
        <v>0</v>
      </c>
      <c r="D22" s="130">
        <f t="shared" si="3"/>
        <v>0</v>
      </c>
      <c r="E22" s="130">
        <f t="shared" si="4"/>
        <v>0</v>
      </c>
      <c r="F22" s="131">
        <f t="shared" si="5"/>
        <v>0</v>
      </c>
    </row>
    <row r="23" spans="1:6" ht="14.4" thickTop="1" thickBot="1">
      <c r="A23" s="127" t="str">
        <f t="shared" si="0"/>
        <v/>
      </c>
      <c r="B23" s="128" t="str">
        <f t="shared" si="1"/>
        <v/>
      </c>
      <c r="C23" s="129">
        <f t="shared" si="2"/>
        <v>0</v>
      </c>
      <c r="D23" s="130">
        <f t="shared" si="3"/>
        <v>0</v>
      </c>
      <c r="E23" s="130">
        <f t="shared" si="4"/>
        <v>0</v>
      </c>
      <c r="F23" s="131">
        <f t="shared" si="5"/>
        <v>0</v>
      </c>
    </row>
    <row r="24" spans="1:6" ht="14.4" thickTop="1" thickBot="1">
      <c r="A24" s="127" t="str">
        <f t="shared" si="0"/>
        <v/>
      </c>
      <c r="B24" s="128" t="str">
        <f t="shared" si="1"/>
        <v/>
      </c>
      <c r="C24" s="129">
        <f t="shared" si="2"/>
        <v>0</v>
      </c>
      <c r="D24" s="130">
        <f t="shared" si="3"/>
        <v>0</v>
      </c>
      <c r="E24" s="130">
        <f t="shared" si="4"/>
        <v>0</v>
      </c>
      <c r="F24" s="131">
        <f t="shared" si="5"/>
        <v>0</v>
      </c>
    </row>
    <row r="25" spans="1:6" ht="14.4" thickTop="1" thickBot="1">
      <c r="A25" s="127" t="str">
        <f t="shared" si="0"/>
        <v/>
      </c>
      <c r="B25" s="128" t="str">
        <f t="shared" si="1"/>
        <v/>
      </c>
      <c r="C25" s="129">
        <f t="shared" si="2"/>
        <v>0</v>
      </c>
      <c r="D25" s="130">
        <f t="shared" si="3"/>
        <v>0</v>
      </c>
      <c r="E25" s="130">
        <f t="shared" si="4"/>
        <v>0</v>
      </c>
      <c r="F25" s="131">
        <f t="shared" si="5"/>
        <v>0</v>
      </c>
    </row>
    <row r="26" spans="1:6" ht="14.4" thickTop="1" thickBot="1">
      <c r="A26" s="127" t="str">
        <f t="shared" si="0"/>
        <v/>
      </c>
      <c r="B26" s="128" t="str">
        <f t="shared" si="1"/>
        <v/>
      </c>
      <c r="C26" s="129">
        <f t="shared" si="2"/>
        <v>0</v>
      </c>
      <c r="D26" s="130">
        <f t="shared" si="3"/>
        <v>0</v>
      </c>
      <c r="E26" s="130">
        <f t="shared" si="4"/>
        <v>0</v>
      </c>
      <c r="F26" s="131">
        <f t="shared" si="5"/>
        <v>0</v>
      </c>
    </row>
    <row r="27" spans="1:6" ht="14.4" thickTop="1" thickBot="1">
      <c r="A27" s="127" t="str">
        <f t="shared" si="0"/>
        <v/>
      </c>
      <c r="B27" s="128" t="str">
        <f t="shared" si="1"/>
        <v/>
      </c>
      <c r="C27" s="129">
        <f t="shared" si="2"/>
        <v>0</v>
      </c>
      <c r="D27" s="130">
        <f t="shared" si="3"/>
        <v>0</v>
      </c>
      <c r="E27" s="130">
        <f t="shared" si="4"/>
        <v>0</v>
      </c>
      <c r="F27" s="131">
        <f t="shared" si="5"/>
        <v>0</v>
      </c>
    </row>
    <row r="28" spans="1:6" ht="14.4" thickTop="1" thickBot="1">
      <c r="A28" s="127" t="str">
        <f t="shared" si="0"/>
        <v/>
      </c>
      <c r="B28" s="128" t="str">
        <f t="shared" si="1"/>
        <v/>
      </c>
      <c r="C28" s="129">
        <f t="shared" si="2"/>
        <v>0</v>
      </c>
      <c r="D28" s="130">
        <f t="shared" si="3"/>
        <v>0</v>
      </c>
      <c r="E28" s="130">
        <f t="shared" si="4"/>
        <v>0</v>
      </c>
      <c r="F28" s="131">
        <f t="shared" si="5"/>
        <v>0</v>
      </c>
    </row>
    <row r="29" spans="1:6" ht="14.4" thickTop="1" thickBot="1">
      <c r="A29" s="127" t="str">
        <f t="shared" si="0"/>
        <v/>
      </c>
      <c r="B29" s="128" t="str">
        <f t="shared" si="1"/>
        <v/>
      </c>
      <c r="C29" s="129">
        <f t="shared" si="2"/>
        <v>0</v>
      </c>
      <c r="D29" s="130">
        <f t="shared" si="3"/>
        <v>0</v>
      </c>
      <c r="E29" s="130">
        <f t="shared" si="4"/>
        <v>0</v>
      </c>
      <c r="F29" s="131">
        <f t="shared" si="5"/>
        <v>0</v>
      </c>
    </row>
    <row r="30" spans="1:6" ht="14.4" thickTop="1" thickBot="1">
      <c r="A30" s="127" t="str">
        <f t="shared" si="0"/>
        <v/>
      </c>
      <c r="B30" s="128" t="str">
        <f t="shared" si="1"/>
        <v/>
      </c>
      <c r="C30" s="129">
        <f t="shared" si="2"/>
        <v>0</v>
      </c>
      <c r="D30" s="130">
        <f t="shared" si="3"/>
        <v>0</v>
      </c>
      <c r="E30" s="130">
        <f t="shared" si="4"/>
        <v>0</v>
      </c>
      <c r="F30" s="131">
        <f t="shared" si="5"/>
        <v>0</v>
      </c>
    </row>
    <row r="31" spans="1:6" ht="13.8" thickTop="1"/>
  </sheetData>
  <sheetProtection sheet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12</vt:i4>
      </vt:variant>
    </vt:vector>
  </HeadingPairs>
  <TitlesOfParts>
    <vt:vector size="25" baseType="lpstr">
      <vt:lpstr>Plan de trésorerie</vt:lpstr>
      <vt:lpstr>Plan de financement initial</vt:lpstr>
      <vt:lpstr>Remboursement d'emprunt</vt:lpstr>
      <vt:lpstr>Compte de résultat N1</vt:lpstr>
      <vt:lpstr>Compte de résultat N2</vt:lpstr>
      <vt:lpstr>Bilan final</vt:lpstr>
      <vt:lpstr>Bilan initial</vt:lpstr>
      <vt:lpstr>Compte de résultat N3</vt:lpstr>
      <vt:lpstr>Tableau d'amortissements</vt:lpstr>
      <vt:lpstr>Plan de financement sur 3 ans</vt:lpstr>
      <vt:lpstr>Seuil de rentabilité</vt:lpstr>
      <vt:lpstr>SIG</vt:lpstr>
      <vt:lpstr>Saisonnalité ventes</vt:lpstr>
      <vt:lpstr>capital_restant_du</vt:lpstr>
      <vt:lpstr>champs_date</vt:lpstr>
      <vt:lpstr>colonneA</vt:lpstr>
      <vt:lpstr>duree_du_pret</vt:lpstr>
      <vt:lpstr>jjjj</vt:lpstr>
      <vt:lpstr>mensualite</vt:lpstr>
      <vt:lpstr>montant_du_pret</vt:lpstr>
      <vt:lpstr>montant_du_pretd</vt:lpstr>
      <vt:lpstr>nombre_versements_an</vt:lpstr>
      <vt:lpstr>taux_interet_annuel</vt:lpstr>
      <vt:lpstr>taux_interet_annueld</vt:lpstr>
      <vt:lpstr>'Bilan initial'!Zone_d_impression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Commentcreersonentreprise.fr</dc:creator>
  <dc:description>www.commentcreersonentreprise.fr</dc:description>
  <cp:lastModifiedBy>Jules REPUSSEAU</cp:lastModifiedBy>
  <cp:lastPrinted>2010-11-13T16:10:21Z</cp:lastPrinted>
  <dcterms:created xsi:type="dcterms:W3CDTF">2004-12-06T09:30:51Z</dcterms:created>
  <dcterms:modified xsi:type="dcterms:W3CDTF">2020-05-31T17:26:53Z</dcterms:modified>
</cp:coreProperties>
</file>