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lz\Google Drive\Work\Highline Group\Client Work\ARC\"/>
    </mc:Choice>
  </mc:AlternateContent>
  <xr:revisionPtr revIDLastSave="0" documentId="8_{5D53CC8B-5DE6-4E27-8BCE-3F9A436482BA}" xr6:coauthVersionLast="47" xr6:coauthVersionMax="47" xr10:uidLastSave="{00000000-0000-0000-0000-000000000000}"/>
  <bookViews>
    <workbookView xWindow="-30828" yWindow="-4476" windowWidth="30936" windowHeight="16776" xr2:uid="{00000000-000D-0000-FFFF-FFFF00000000}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Characteristics!$A$1:$O$1785</definedName>
    <definedName name="_xlnm._FilterDatabase" localSheetId="1" hidden="1">Performance!$A$1:$I$1785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85" i="2" l="1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<sst xmlns="http://schemas.openxmlformats.org/spreadsheetml/2006/main" count="9013" uniqueCount="1820">
  <si>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</si>
  <si>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</si>
  <si>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</si>
  <si>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</si>
  <si>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</si>
  <si>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</si>
  <si>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</si>
  <si>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</si>
  <si>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</si>
  <si>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</si>
  <si>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</si>
  <si>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</si>
  <si>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</si>
  <si>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</si>
  <si>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AADI</t>
  </si>
  <si>
    <t>AAN</t>
  </si>
  <si>
    <t>AAON</t>
  </si>
  <si>
    <t>AAT</t>
  </si>
  <si>
    <t>ABCB</t>
  </si>
  <si>
    <t>ABCL</t>
  </si>
  <si>
    <t>ABG</t>
  </si>
  <si>
    <t>ABM</t>
  </si>
  <si>
    <t>ABR</t>
  </si>
  <si>
    <t>ABSI</t>
  </si>
  <si>
    <t>ABUS</t>
  </si>
  <si>
    <t>AC</t>
  </si>
  <si>
    <t>ACA</t>
  </si>
  <si>
    <t>ACAD</t>
  </si>
  <si>
    <t>ACCD</t>
  </si>
  <si>
    <t>ACCO</t>
  </si>
  <si>
    <t>ACEL</t>
  </si>
  <si>
    <t>ACET</t>
  </si>
  <si>
    <t>ACHR</t>
  </si>
  <si>
    <t>ACIW</t>
  </si>
  <si>
    <t>ACLS</t>
  </si>
  <si>
    <t>ACLX</t>
  </si>
  <si>
    <t>ACMR</t>
  </si>
  <si>
    <t>ACNB</t>
  </si>
  <si>
    <t>ACRE</t>
  </si>
  <si>
    <t>ACRS</t>
  </si>
  <si>
    <t>ACRV</t>
  </si>
  <si>
    <t>ACT</t>
  </si>
  <si>
    <t>ACVA</t>
  </si>
  <si>
    <t>ADC</t>
  </si>
  <si>
    <t>ADEA</t>
  </si>
  <si>
    <t>ADMA</t>
  </si>
  <si>
    <t>ADNT</t>
  </si>
  <si>
    <t>ADPT</t>
  </si>
  <si>
    <t>ADTH</t>
  </si>
  <si>
    <t>ADTN</t>
  </si>
  <si>
    <t>ADUS</t>
  </si>
  <si>
    <t>ADV</t>
  </si>
  <si>
    <t>AEIS</t>
  </si>
  <si>
    <t>AEL</t>
  </si>
  <si>
    <t>AEO</t>
  </si>
  <si>
    <t>AEVA</t>
  </si>
  <si>
    <t>AFCG</t>
  </si>
  <si>
    <t>AFMD</t>
  </si>
  <si>
    <t>AGEN</t>
  </si>
  <si>
    <t>AGIO</t>
  </si>
  <si>
    <t>AGM</t>
  </si>
  <si>
    <t>AGTI</t>
  </si>
  <si>
    <t>AGX</t>
  </si>
  <si>
    <t>AGYS</t>
  </si>
  <si>
    <t>AHCO</t>
  </si>
  <si>
    <t>AHH</t>
  </si>
  <si>
    <t>AHT</t>
  </si>
  <si>
    <t>AI</t>
  </si>
  <si>
    <t>AIN</t>
  </si>
  <si>
    <t>AIP</t>
  </si>
  <si>
    <t>AIR</t>
  </si>
  <si>
    <t>AIRS</t>
  </si>
  <si>
    <t>AIT</t>
  </si>
  <si>
    <t>AIV</t>
  </si>
  <si>
    <t>AJRD</t>
  </si>
  <si>
    <t>AKA</t>
  </si>
  <si>
    <t>AKR</t>
  </si>
  <si>
    <t>AKRO</t>
  </si>
  <si>
    <t>AKTS</t>
  </si>
  <si>
    <t>AKYA</t>
  </si>
  <si>
    <t>ALCO</t>
  </si>
  <si>
    <t>ALE</t>
  </si>
  <si>
    <t>ALEC</t>
  </si>
  <si>
    <t>ALEX</t>
  </si>
  <si>
    <t>ALG</t>
  </si>
  <si>
    <t>ALGT</t>
  </si>
  <si>
    <t>ALHC</t>
  </si>
  <si>
    <t>ALIT</t>
  </si>
  <si>
    <t>ALKS</t>
  </si>
  <si>
    <t>ALKT</t>
  </si>
  <si>
    <t>ALLO</t>
  </si>
  <si>
    <t>ALPN</t>
  </si>
  <si>
    <t>ALRM</t>
  </si>
  <si>
    <t>ALRS</t>
  </si>
  <si>
    <t>ALTG</t>
  </si>
  <si>
    <t>ALTO</t>
  </si>
  <si>
    <t>ALTR</t>
  </si>
  <si>
    <t>ALVR</t>
  </si>
  <si>
    <t>ALX</t>
  </si>
  <si>
    <t>ALXO</t>
  </si>
  <si>
    <t>AMAL</t>
  </si>
  <si>
    <t>AMBA</t>
  </si>
  <si>
    <t>AMBC</t>
  </si>
  <si>
    <t>AMCX</t>
  </si>
  <si>
    <t>AMEH</t>
  </si>
  <si>
    <t>AMK</t>
  </si>
  <si>
    <t>AMKR</t>
  </si>
  <si>
    <t>AMLX</t>
  </si>
  <si>
    <t>AMN</t>
  </si>
  <si>
    <t>AMNB</t>
  </si>
  <si>
    <t>AMPH</t>
  </si>
  <si>
    <t>AMPL</t>
  </si>
  <si>
    <t>AMPS</t>
  </si>
  <si>
    <t>AMPY</t>
  </si>
  <si>
    <t>AMR</t>
  </si>
  <si>
    <t>AMRC</t>
  </si>
  <si>
    <t>AMRK</t>
  </si>
  <si>
    <t>AMRS</t>
  </si>
  <si>
    <t>AMRX</t>
  </si>
  <si>
    <t>AMSF</t>
  </si>
  <si>
    <t>AMSWA</t>
  </si>
  <si>
    <t>AMTB</t>
  </si>
  <si>
    <t>AMTX</t>
  </si>
  <si>
    <t>AMWD</t>
  </si>
  <si>
    <t>AMWL</t>
  </si>
  <si>
    <t>ANAB</t>
  </si>
  <si>
    <t>ANDE</t>
  </si>
  <si>
    <t>ANF</t>
  </si>
  <si>
    <t>ANGO</t>
  </si>
  <si>
    <t>ANIK</t>
  </si>
  <si>
    <t>ANIP</t>
  </si>
  <si>
    <t>ANTX</t>
  </si>
  <si>
    <t>AOMR</t>
  </si>
  <si>
    <t>AORT</t>
  </si>
  <si>
    <t>AOSL</t>
  </si>
  <si>
    <t>APAM</t>
  </si>
  <si>
    <t>APEI</t>
  </si>
  <si>
    <t>APG</t>
  </si>
  <si>
    <t>APLD</t>
  </si>
  <si>
    <t>APLE</t>
  </si>
  <si>
    <t>APLS</t>
  </si>
  <si>
    <t>APOG</t>
  </si>
  <si>
    <t>APPF</t>
  </si>
  <si>
    <t>APPH</t>
  </si>
  <si>
    <t>APPN</t>
  </si>
  <si>
    <t>APPS</t>
  </si>
  <si>
    <t>ARCB</t>
  </si>
  <si>
    <t>ARCH</t>
  </si>
  <si>
    <t>ARCT</t>
  </si>
  <si>
    <t>AREN</t>
  </si>
  <si>
    <t>ARGO</t>
  </si>
  <si>
    <t>ARI</t>
  </si>
  <si>
    <t>ARIS</t>
  </si>
  <si>
    <t>ARKO</t>
  </si>
  <si>
    <t>ARL</t>
  </si>
  <si>
    <t>ARLO</t>
  </si>
  <si>
    <t>ARNC</t>
  </si>
  <si>
    <t>AROC</t>
  </si>
  <si>
    <t>AROW</t>
  </si>
  <si>
    <t>ARQT</t>
  </si>
  <si>
    <t>ARR</t>
  </si>
  <si>
    <t>ARRY</t>
  </si>
  <si>
    <t>ARTNA</t>
  </si>
  <si>
    <t>ARVN</t>
  </si>
  <si>
    <t>ARWR</t>
  </si>
  <si>
    <t>ASAN</t>
  </si>
  <si>
    <t>ASB</t>
  </si>
  <si>
    <t>ASC</t>
  </si>
  <si>
    <t>ASGN</t>
  </si>
  <si>
    <t>ASIX</t>
  </si>
  <si>
    <t>ASLE</t>
  </si>
  <si>
    <t>ASO</t>
  </si>
  <si>
    <t>ASPN</t>
  </si>
  <si>
    <t>ASTE</t>
  </si>
  <si>
    <t>ASTR</t>
  </si>
  <si>
    <t>ATEC</t>
  </si>
  <si>
    <t>ATEN</t>
  </si>
  <si>
    <t>ATER</t>
  </si>
  <si>
    <t>ATEX</t>
  </si>
  <si>
    <t>ATGE</t>
  </si>
  <si>
    <t>ATHA</t>
  </si>
  <si>
    <t>ATI</t>
  </si>
  <si>
    <t>ATIP</t>
  </si>
  <si>
    <t>ATKR</t>
  </si>
  <si>
    <t>ATLC</t>
  </si>
  <si>
    <t>ATNI</t>
  </si>
  <si>
    <t>ATOM</t>
  </si>
  <si>
    <t>ATRA</t>
  </si>
  <si>
    <t>ATRC</t>
  </si>
  <si>
    <t>ATRI</t>
  </si>
  <si>
    <t>ATRO</t>
  </si>
  <si>
    <t>ATSG</t>
  </si>
  <si>
    <t>AUB</t>
  </si>
  <si>
    <t>AUPH</t>
  </si>
  <si>
    <t>AURA</t>
  </si>
  <si>
    <t>AVA</t>
  </si>
  <si>
    <t>AVAH</t>
  </si>
  <si>
    <t>AVAV</t>
  </si>
  <si>
    <t>AVD</t>
  </si>
  <si>
    <t>AVDX</t>
  </si>
  <si>
    <t>AVID</t>
  </si>
  <si>
    <t>AVIR</t>
  </si>
  <si>
    <t>AVNS</t>
  </si>
  <si>
    <t>AVNT</t>
  </si>
  <si>
    <t>AVNW</t>
  </si>
  <si>
    <t>AVO</t>
  </si>
  <si>
    <t>AVPT</t>
  </si>
  <si>
    <t>AVTA</t>
  </si>
  <si>
    <t>AVTE</t>
  </si>
  <si>
    <t>AVXL</t>
  </si>
  <si>
    <t>AWR</t>
  </si>
  <si>
    <t>AX</t>
  </si>
  <si>
    <t>BTAI</t>
  </si>
  <si>
    <t>BTU</t>
  </si>
  <si>
    <t>BUSE</t>
  </si>
  <si>
    <t>BV</t>
  </si>
  <si>
    <t>BVH</t>
  </si>
  <si>
    <t>BVS</t>
  </si>
  <si>
    <t>BW</t>
  </si>
  <si>
    <t>BWB</t>
  </si>
  <si>
    <t>BWFG</t>
  </si>
  <si>
    <t>BXC</t>
  </si>
  <si>
    <t>BXMT</t>
  </si>
  <si>
    <t>BY</t>
  </si>
  <si>
    <t>BYND</t>
  </si>
  <si>
    <t>BZH</t>
  </si>
  <si>
    <t>CAC</t>
  </si>
  <si>
    <t>CADE</t>
  </si>
  <si>
    <t>CAKE</t>
  </si>
  <si>
    <t>CAL</t>
  </si>
  <si>
    <t>CALM</t>
  </si>
  <si>
    <t>CALX</t>
  </si>
  <si>
    <t>CANO</t>
  </si>
  <si>
    <t>CARA</t>
  </si>
  <si>
    <t>CARE</t>
  </si>
  <si>
    <t>CARG</t>
  </si>
  <si>
    <t>CARS</t>
  </si>
  <si>
    <t>CASA</t>
  </si>
  <si>
    <t>CASH</t>
  </si>
  <si>
    <t>CASS</t>
  </si>
  <si>
    <t>CATC</t>
  </si>
  <si>
    <t>CATO</t>
  </si>
  <si>
    <t>CATY</t>
  </si>
  <si>
    <t>CBAN</t>
  </si>
  <si>
    <t>CBL</t>
  </si>
  <si>
    <t>CBNK</t>
  </si>
  <si>
    <t>CBRL</t>
  </si>
  <si>
    <t>CBT</t>
  </si>
  <si>
    <t>CBU</t>
  </si>
  <si>
    <t>CBZ</t>
  </si>
  <si>
    <t>CCB</t>
  </si>
  <si>
    <t>CCBG</t>
  </si>
  <si>
    <t>CCCC</t>
  </si>
  <si>
    <t>CCF</t>
  </si>
  <si>
    <t>CCNE</t>
  </si>
  <si>
    <t>CCO</t>
  </si>
  <si>
    <t>CCOI</t>
  </si>
  <si>
    <t>CCRN</t>
  </si>
  <si>
    <t>CCS</t>
  </si>
  <si>
    <t>CCSI</t>
  </si>
  <si>
    <t>CDE</t>
  </si>
  <si>
    <t>CDLX</t>
  </si>
  <si>
    <t>CDMO</t>
  </si>
  <si>
    <t>CDNA</t>
  </si>
  <si>
    <t>CDRE</t>
  </si>
  <si>
    <t>CDXS</t>
  </si>
  <si>
    <t>CEIX</t>
  </si>
  <si>
    <t>CELH</t>
  </si>
  <si>
    <t>CELL</t>
  </si>
  <si>
    <t>CELU</t>
  </si>
  <si>
    <t>CENN</t>
  </si>
  <si>
    <t>CENT</t>
  </si>
  <si>
    <t>CENTA</t>
  </si>
  <si>
    <t>CENX</t>
  </si>
  <si>
    <t>CERE</t>
  </si>
  <si>
    <t>CERS</t>
  </si>
  <si>
    <t>CEVA</t>
  </si>
  <si>
    <t>CFB</t>
  </si>
  <si>
    <t>CFFN</t>
  </si>
  <si>
    <t>CGEM</t>
  </si>
  <si>
    <t>CHCO</t>
  </si>
  <si>
    <t>CHCT</t>
  </si>
  <si>
    <t>CHEF</t>
  </si>
  <si>
    <t>CHGG</t>
  </si>
  <si>
    <t>CHRD</t>
  </si>
  <si>
    <t>CHRS</t>
  </si>
  <si>
    <t>CHS</t>
  </si>
  <si>
    <t>CHUY</t>
  </si>
  <si>
    <t>CHX</t>
  </si>
  <si>
    <t>CIFR</t>
  </si>
  <si>
    <t>CIM</t>
  </si>
  <si>
    <t>CIO</t>
  </si>
  <si>
    <t>CIR</t>
  </si>
  <si>
    <t>CISO</t>
  </si>
  <si>
    <t>CIVB</t>
  </si>
  <si>
    <t>CIVI</t>
  </si>
  <si>
    <t>CIX</t>
  </si>
  <si>
    <t>CLAR</t>
  </si>
  <si>
    <t>CLBK</t>
  </si>
  <si>
    <t>CLDT</t>
  </si>
  <si>
    <t>CLDX</t>
  </si>
  <si>
    <t>CLFD</t>
  </si>
  <si>
    <t>CLNE</t>
  </si>
  <si>
    <t>CLOV</t>
  </si>
  <si>
    <t>CLPR</t>
  </si>
  <si>
    <t>CLSK</t>
  </si>
  <si>
    <t>CLW</t>
  </si>
  <si>
    <t>CMAX</t>
  </si>
  <si>
    <t>CMBM</t>
  </si>
  <si>
    <t>CMC</t>
  </si>
  <si>
    <t>CMCO</t>
  </si>
  <si>
    <t>CMLS</t>
  </si>
  <si>
    <t>CMP</t>
  </si>
  <si>
    <t>CMPO</t>
  </si>
  <si>
    <t>CMPR</t>
  </si>
  <si>
    <t>CMRE</t>
  </si>
  <si>
    <t>CMRX</t>
  </si>
  <si>
    <t>CMTG</t>
  </si>
  <si>
    <t>CMTL</t>
  </si>
  <si>
    <t>CNDT</t>
  </si>
  <si>
    <t>CNK</t>
  </si>
  <si>
    <t>CNMD</t>
  </si>
  <si>
    <t>CNNE</t>
  </si>
  <si>
    <t>CNO</t>
  </si>
  <si>
    <t>CNOB</t>
  </si>
  <si>
    <t>CNS</t>
  </si>
  <si>
    <t>CNSL</t>
  </si>
  <si>
    <t>CNTY</t>
  </si>
  <si>
    <t>CNX</t>
  </si>
  <si>
    <t>CNXN</t>
  </si>
  <si>
    <t>COCO</t>
  </si>
  <si>
    <t>CODI</t>
  </si>
  <si>
    <t>COGT</t>
  </si>
  <si>
    <t>COHU</t>
  </si>
  <si>
    <t>COKE</t>
  </si>
  <si>
    <t>COLL</t>
  </si>
  <si>
    <t>COMM</t>
  </si>
  <si>
    <t>COMP</t>
  </si>
  <si>
    <t>CONN</t>
  </si>
  <si>
    <t>COOK</t>
  </si>
  <si>
    <t>COOP</t>
  </si>
  <si>
    <t>CORT</t>
  </si>
  <si>
    <t>COUR</t>
  </si>
  <si>
    <t>CPE</t>
  </si>
  <si>
    <t>CPF</t>
  </si>
  <si>
    <t>CPK</t>
  </si>
  <si>
    <t>CPRX</t>
  </si>
  <si>
    <t>CPSI</t>
  </si>
  <si>
    <t>CPSS</t>
  </si>
  <si>
    <t>CPTN</t>
  </si>
  <si>
    <t>CRAI</t>
  </si>
  <si>
    <t>CRBU</t>
  </si>
  <si>
    <t>CRC</t>
  </si>
  <si>
    <t>CRDO</t>
  </si>
  <si>
    <t>CRGE</t>
  </si>
  <si>
    <t>CRGY</t>
  </si>
  <si>
    <t>CRK</t>
  </si>
  <si>
    <t>CRMT</t>
  </si>
  <si>
    <t>CRNC</t>
  </si>
  <si>
    <t>CRNX</t>
  </si>
  <si>
    <t>CROX</t>
  </si>
  <si>
    <t>CRS</t>
  </si>
  <si>
    <t>CRSR</t>
  </si>
  <si>
    <t>CRVL</t>
  </si>
  <si>
    <t>CSGS</t>
  </si>
  <si>
    <t>CSR</t>
  </si>
  <si>
    <t>CSTE</t>
  </si>
  <si>
    <t>CSTL</t>
  </si>
  <si>
    <t>CSTM</t>
  </si>
  <si>
    <t>CSTR</t>
  </si>
  <si>
    <t>CSV</t>
  </si>
  <si>
    <t>CSWI</t>
  </si>
  <si>
    <t>CTBI</t>
  </si>
  <si>
    <t>CTIC</t>
  </si>
  <si>
    <t>CTKB</t>
  </si>
  <si>
    <t>CTLP</t>
  </si>
  <si>
    <t>CTO</t>
  </si>
  <si>
    <t>CTOS</t>
  </si>
  <si>
    <t>CTRE</t>
  </si>
  <si>
    <t>CTRN</t>
  </si>
  <si>
    <t>CTS</t>
  </si>
  <si>
    <t>CTV</t>
  </si>
  <si>
    <t>CUBI</t>
  </si>
  <si>
    <t>CURO</t>
  </si>
  <si>
    <t>CURV</t>
  </si>
  <si>
    <t>CUTR</t>
  </si>
  <si>
    <t>CVBF</t>
  </si>
  <si>
    <t>CVCO</t>
  </si>
  <si>
    <t>CVGW</t>
  </si>
  <si>
    <t>CVI</t>
  </si>
  <si>
    <t>CVLG</t>
  </si>
  <si>
    <t>CVLT</t>
  </si>
  <si>
    <t>CVT</t>
  </si>
  <si>
    <t>CWEN</t>
  </si>
  <si>
    <t>CWH</t>
  </si>
  <si>
    <t>CWK</t>
  </si>
  <si>
    <t>CWST</t>
  </si>
  <si>
    <t>CWT</t>
  </si>
  <si>
    <t>CXW</t>
  </si>
  <si>
    <t>CYH</t>
  </si>
  <si>
    <t>CYRX</t>
  </si>
  <si>
    <t>CYTK</t>
  </si>
  <si>
    <t>CZNC</t>
  </si>
  <si>
    <t>DAN</t>
  </si>
  <si>
    <t>DAWN</t>
  </si>
  <si>
    <t>DBI</t>
  </si>
  <si>
    <t>DBRG</t>
  </si>
  <si>
    <t>DC</t>
  </si>
  <si>
    <t>DCGO</t>
  </si>
  <si>
    <t>DCO</t>
  </si>
  <si>
    <t>DCOM</t>
  </si>
  <si>
    <t>DCPH</t>
  </si>
  <si>
    <t>DDD</t>
  </si>
  <si>
    <t>DDS</t>
  </si>
  <si>
    <t>DEA</t>
  </si>
  <si>
    <t>DEN</t>
  </si>
  <si>
    <t>DENN</t>
  </si>
  <si>
    <t>DFH</t>
  </si>
  <si>
    <t>DFIN</t>
  </si>
  <si>
    <t>DGICA</t>
  </si>
  <si>
    <t>DGII</t>
  </si>
  <si>
    <t>DHC</t>
  </si>
  <si>
    <t>DHIL</t>
  </si>
  <si>
    <t>DHT</t>
  </si>
  <si>
    <t>DHX</t>
  </si>
  <si>
    <t>DIBS</t>
  </si>
  <si>
    <t>DICE</t>
  </si>
  <si>
    <t>DIN</t>
  </si>
  <si>
    <t>DIOD</t>
  </si>
  <si>
    <t>DJCO</t>
  </si>
  <si>
    <t>DK</t>
  </si>
  <si>
    <t>DLTH</t>
  </si>
  <si>
    <t>DLX</t>
  </si>
  <si>
    <t>DM</t>
  </si>
  <si>
    <t>DMRC</t>
  </si>
  <si>
    <t>DNLI</t>
  </si>
  <si>
    <t>DNMR</t>
  </si>
  <si>
    <t>DNOW</t>
  </si>
  <si>
    <t>DNUT</t>
  </si>
  <si>
    <t>DO</t>
  </si>
  <si>
    <t>DOC</t>
  </si>
  <si>
    <t>DOCN</t>
  </si>
  <si>
    <t>DOMA</t>
  </si>
  <si>
    <t>DOMO</t>
  </si>
  <si>
    <t>DOOR</t>
  </si>
  <si>
    <t>DORM</t>
  </si>
  <si>
    <t>DOUG</t>
  </si>
  <si>
    <t>DRH</t>
  </si>
  <si>
    <t>DRQ</t>
  </si>
  <si>
    <t>DSEY</t>
  </si>
  <si>
    <t>DSGN</t>
  </si>
  <si>
    <t>DSGR</t>
  </si>
  <si>
    <t>DSKE</t>
  </si>
  <si>
    <t>DSP</t>
  </si>
  <si>
    <t>DTC</t>
  </si>
  <si>
    <t>DUOL</t>
  </si>
  <si>
    <t>DVAX</t>
  </si>
  <si>
    <t>DX</t>
  </si>
  <si>
    <t>DXLG</t>
  </si>
  <si>
    <t>DXPE</t>
  </si>
  <si>
    <t>DY</t>
  </si>
  <si>
    <t>DYN</t>
  </si>
  <si>
    <t>DZSI</t>
  </si>
  <si>
    <t>EAF</t>
  </si>
  <si>
    <t>EAT</t>
  </si>
  <si>
    <t>EB</t>
  </si>
  <si>
    <t>EBC</t>
  </si>
  <si>
    <t>EBF</t>
  </si>
  <si>
    <t>EBIX</t>
  </si>
  <si>
    <t>EBS</t>
  </si>
  <si>
    <t>EBTC</t>
  </si>
  <si>
    <t>ECPG</t>
  </si>
  <si>
    <t>ECVT</t>
  </si>
  <si>
    <t>EDIT</t>
  </si>
  <si>
    <t>EE</t>
  </si>
  <si>
    <t>EFC</t>
  </si>
  <si>
    <t>EFSC</t>
  </si>
  <si>
    <t>EGAN</t>
  </si>
  <si>
    <t>EGBN</t>
  </si>
  <si>
    <t>EGHT</t>
  </si>
  <si>
    <t>EGIO</t>
  </si>
  <si>
    <t>EGLE</t>
  </si>
  <si>
    <t>EGRX</t>
  </si>
  <si>
    <t>EGY</t>
  </si>
  <si>
    <t>EHTH</t>
  </si>
  <si>
    <t>EIG</t>
  </si>
  <si>
    <t>EIGR</t>
  </si>
  <si>
    <t>ELF</t>
  </si>
  <si>
    <t>ELME</t>
  </si>
  <si>
    <t>EMBC</t>
  </si>
  <si>
    <t>EME</t>
  </si>
  <si>
    <t>ENFN</t>
  </si>
  <si>
    <t>ENOB</t>
  </si>
  <si>
    <t>ENR</t>
  </si>
  <si>
    <t>ENS</t>
  </si>
  <si>
    <t>ENSG</t>
  </si>
  <si>
    <t>ENTA</t>
  </si>
  <si>
    <t>ENV</t>
  </si>
  <si>
    <t>ENVA</t>
  </si>
  <si>
    <t>ENVX</t>
  </si>
  <si>
    <t>EOLS</t>
  </si>
  <si>
    <t>EP</t>
  </si>
  <si>
    <t>EPAC</t>
  </si>
  <si>
    <t>EPC</t>
  </si>
  <si>
    <t>EPRT</t>
  </si>
  <si>
    <t>EQBK</t>
  </si>
  <si>
    <t>EQC</t>
  </si>
  <si>
    <t>EQRX</t>
  </si>
  <si>
    <t>ERAS</t>
  </si>
  <si>
    <t>ERII</t>
  </si>
  <si>
    <t>ESE</t>
  </si>
  <si>
    <t>ESGR</t>
  </si>
  <si>
    <t>ESMT</t>
  </si>
  <si>
    <t>ESNT</t>
  </si>
  <si>
    <t>ESPR</t>
  </si>
  <si>
    <t>ESQ</t>
  </si>
  <si>
    <t>ESRT</t>
  </si>
  <si>
    <t>ESTE</t>
  </si>
  <si>
    <t>ETD</t>
  </si>
  <si>
    <t>ETRN</t>
  </si>
  <si>
    <t>ETWO</t>
  </si>
  <si>
    <t>EVBG</t>
  </si>
  <si>
    <t>EVC</t>
  </si>
  <si>
    <t>EVCM</t>
  </si>
  <si>
    <t>EVER</t>
  </si>
  <si>
    <t>EVGO</t>
  </si>
  <si>
    <t>EVH</t>
  </si>
  <si>
    <t>EVLV</t>
  </si>
  <si>
    <t>EVRI</t>
  </si>
  <si>
    <t>EVTC</t>
  </si>
  <si>
    <t>EWCZ</t>
  </si>
  <si>
    <t>EWTX</t>
  </si>
  <si>
    <t>EXLS</t>
  </si>
  <si>
    <t>EXPI</t>
  </si>
  <si>
    <t>EXPO</t>
  </si>
  <si>
    <t>EXPR</t>
  </si>
  <si>
    <t>EXTR</t>
  </si>
  <si>
    <t>EYE</t>
  </si>
  <si>
    <t>EYPT</t>
  </si>
  <si>
    <t>EZPW</t>
  </si>
  <si>
    <t>FA</t>
  </si>
  <si>
    <t>FARO</t>
  </si>
  <si>
    <t>FATE</t>
  </si>
  <si>
    <t>FBIZ</t>
  </si>
  <si>
    <t>FBK</t>
  </si>
  <si>
    <t>FBMS</t>
  </si>
  <si>
    <t>FBNC</t>
  </si>
  <si>
    <t>FBP</t>
  </si>
  <si>
    <t>FBRT</t>
  </si>
  <si>
    <t>FC</t>
  </si>
  <si>
    <t>FCBC</t>
  </si>
  <si>
    <t>FCEL</t>
  </si>
  <si>
    <t>FCF</t>
  </si>
  <si>
    <t>FCFS</t>
  </si>
  <si>
    <t>FCPT</t>
  </si>
  <si>
    <t>FCUV</t>
  </si>
  <si>
    <t>FDMT</t>
  </si>
  <si>
    <t>FDP</t>
  </si>
  <si>
    <t>FEAM</t>
  </si>
  <si>
    <t>FELE</t>
  </si>
  <si>
    <t>FF</t>
  </si>
  <si>
    <t>FFBC</t>
  </si>
  <si>
    <t>FFIC</t>
  </si>
  <si>
    <t>FFIE</t>
  </si>
  <si>
    <t>FFIN</t>
  </si>
  <si>
    <t>FFWM</t>
  </si>
  <si>
    <t>FGBI</t>
  </si>
  <si>
    <t>FGEN</t>
  </si>
  <si>
    <t>FHI</t>
  </si>
  <si>
    <t>FHTX</t>
  </si>
  <si>
    <t>FIBK</t>
  </si>
  <si>
    <t>FIGS</t>
  </si>
  <si>
    <t>FISI</t>
  </si>
  <si>
    <t>FIX</t>
  </si>
  <si>
    <t>FIZZ</t>
  </si>
  <si>
    <t>FL</t>
  </si>
  <si>
    <t>FLGT</t>
  </si>
  <si>
    <t>FLIC</t>
  </si>
  <si>
    <t>FLL</t>
  </si>
  <si>
    <t>FLNC</t>
  </si>
  <si>
    <t>FLNG</t>
  </si>
  <si>
    <t>FLR</t>
  </si>
  <si>
    <t>FLWS</t>
  </si>
  <si>
    <t>FLYW</t>
  </si>
  <si>
    <t>FMAO</t>
  </si>
  <si>
    <t>FMBH</t>
  </si>
  <si>
    <t>FMNB</t>
  </si>
  <si>
    <t>FN</t>
  </si>
  <si>
    <t>FNA</t>
  </si>
  <si>
    <t>FNKO</t>
  </si>
  <si>
    <t>FNLC</t>
  </si>
  <si>
    <t>FOA</t>
  </si>
  <si>
    <t>FOCS</t>
  </si>
  <si>
    <t>FOLD</t>
  </si>
  <si>
    <t>FOR</t>
  </si>
  <si>
    <t>FORG</t>
  </si>
  <si>
    <t>FORM</t>
  </si>
  <si>
    <t>FORR</t>
  </si>
  <si>
    <t>FOSL</t>
  </si>
  <si>
    <t>FOXF</t>
  </si>
  <si>
    <t>FPI</t>
  </si>
  <si>
    <t>FRBA</t>
  </si>
  <si>
    <t>FRBK</t>
  </si>
  <si>
    <t>FREE</t>
  </si>
  <si>
    <t>FRG</t>
  </si>
  <si>
    <t>FRME</t>
  </si>
  <si>
    <t>FRO</t>
  </si>
  <si>
    <t>FRPH</t>
  </si>
  <si>
    <t>FRST</t>
  </si>
  <si>
    <t>FSBC</t>
  </si>
  <si>
    <t>FSLY</t>
  </si>
  <si>
    <t>FSP</t>
  </si>
  <si>
    <t>FSR</t>
  </si>
  <si>
    <t>FSS</t>
  </si>
  <si>
    <t>FTCI</t>
  </si>
  <si>
    <t>FTDR</t>
  </si>
  <si>
    <t>FUBO</t>
  </si>
  <si>
    <t>FUL</t>
  </si>
  <si>
    <t>FULC</t>
  </si>
  <si>
    <t>FULT</t>
  </si>
  <si>
    <t>FVCB</t>
  </si>
  <si>
    <t>FWRD</t>
  </si>
  <si>
    <t>FWRG</t>
  </si>
  <si>
    <t>FXLV</t>
  </si>
  <si>
    <t>GABC</t>
  </si>
  <si>
    <t>GAMB</t>
  </si>
  <si>
    <t>GATX</t>
  </si>
  <si>
    <t>GBCI</t>
  </si>
  <si>
    <t>GBIO</t>
  </si>
  <si>
    <t>GBX</t>
  </si>
  <si>
    <t>GCBC</t>
  </si>
  <si>
    <t>GCI</t>
  </si>
  <si>
    <t>GCMG</t>
  </si>
  <si>
    <t>GCO</t>
  </si>
  <si>
    <t>GDEN</t>
  </si>
  <si>
    <t>GDOT</t>
  </si>
  <si>
    <t>GDYN</t>
  </si>
  <si>
    <t>GEF</t>
  </si>
  <si>
    <t>GEO</t>
  </si>
  <si>
    <t>GERN</t>
  </si>
  <si>
    <t>GES</t>
  </si>
  <si>
    <t>GEVO</t>
  </si>
  <si>
    <t>GFF</t>
  </si>
  <si>
    <t>GHC</t>
  </si>
  <si>
    <t>GIC</t>
  </si>
  <si>
    <t>GIII</t>
  </si>
  <si>
    <t>GKOS</t>
  </si>
  <si>
    <t>GLDD</t>
  </si>
  <si>
    <t>GLNG</t>
  </si>
  <si>
    <t>GLRE</t>
  </si>
  <si>
    <t>GLT</t>
  </si>
  <si>
    <t>GLUE</t>
  </si>
  <si>
    <t>GMRE</t>
  </si>
  <si>
    <t>GMS</t>
  </si>
  <si>
    <t>GNK</t>
  </si>
  <si>
    <t>GNL</t>
  </si>
  <si>
    <t>GNTY</t>
  </si>
  <si>
    <t>GNW</t>
  </si>
  <si>
    <t>GOEV</t>
  </si>
  <si>
    <t>GOGL</t>
  </si>
  <si>
    <t>GOGO</t>
  </si>
  <si>
    <t>GOLF</t>
  </si>
  <si>
    <t>GOOD</t>
  </si>
  <si>
    <t>GOSS</t>
  </si>
  <si>
    <t>GPI</t>
  </si>
  <si>
    <t>GPMT</t>
  </si>
  <si>
    <t>GPOR</t>
  </si>
  <si>
    <t>GPRE</t>
  </si>
  <si>
    <t>GPRO</t>
  </si>
  <si>
    <t>GRBK</t>
  </si>
  <si>
    <t>GRC</t>
  </si>
  <si>
    <t>GREE</t>
  </si>
  <si>
    <t>GRNA</t>
  </si>
  <si>
    <t>GRPN</t>
  </si>
  <si>
    <t>GRWG</t>
  </si>
  <si>
    <t>GSAT</t>
  </si>
  <si>
    <t>GSBC</t>
  </si>
  <si>
    <t>GSHD</t>
  </si>
  <si>
    <t>GT</t>
  </si>
  <si>
    <t>GTLS</t>
  </si>
  <si>
    <t>GTN</t>
  </si>
  <si>
    <t>GTY</t>
  </si>
  <si>
    <t>GVA</t>
  </si>
  <si>
    <t>GWH</t>
  </si>
  <si>
    <t>GWRS</t>
  </si>
  <si>
    <t>HA</t>
  </si>
  <si>
    <t>HAE</t>
  </si>
  <si>
    <t>HAFC</t>
  </si>
  <si>
    <t>HAIN</t>
  </si>
  <si>
    <t>HALO</t>
  </si>
  <si>
    <t>HASI</t>
  </si>
  <si>
    <t>HAYN</t>
  </si>
  <si>
    <t>HBCP</t>
  </si>
  <si>
    <t>HBNC</t>
  </si>
  <si>
    <t>HBT</t>
  </si>
  <si>
    <t>HCAT</t>
  </si>
  <si>
    <t>HCC</t>
  </si>
  <si>
    <t>HCCI</t>
  </si>
  <si>
    <t>HCI</t>
  </si>
  <si>
    <t>HCKT</t>
  </si>
  <si>
    <t>HCSG</t>
  </si>
  <si>
    <t>HDSN</t>
  </si>
  <si>
    <t>HEAR</t>
  </si>
  <si>
    <t>HEES</t>
  </si>
  <si>
    <t>HELE</t>
  </si>
  <si>
    <t>HFFG</t>
  </si>
  <si>
    <t>HFWA</t>
  </si>
  <si>
    <t>HGV</t>
  </si>
  <si>
    <t>HI</t>
  </si>
  <si>
    <t>HIBB</t>
  </si>
  <si>
    <t>HIFS</t>
  </si>
  <si>
    <t>HIMS</t>
  </si>
  <si>
    <t>HIPO</t>
  </si>
  <si>
    <t>HL</t>
  </si>
  <si>
    <t>HLF</t>
  </si>
  <si>
    <t>HLGN</t>
  </si>
  <si>
    <t>HLI</t>
  </si>
  <si>
    <t>HLIO</t>
  </si>
  <si>
    <t>HLIT</t>
  </si>
  <si>
    <t>HLLY</t>
  </si>
  <si>
    <t>HLMN</t>
  </si>
  <si>
    <t>HLNE</t>
  </si>
  <si>
    <t>HLTH</t>
  </si>
  <si>
    <t>HLVX</t>
  </si>
  <si>
    <t>HLX</t>
  </si>
  <si>
    <t>HMN</t>
  </si>
  <si>
    <t>HMPT</t>
  </si>
  <si>
    <t>HMST</t>
  </si>
  <si>
    <t>HNI</t>
  </si>
  <si>
    <t>HNST</t>
  </si>
  <si>
    <t>HOMB</t>
  </si>
  <si>
    <t>HONE</t>
  </si>
  <si>
    <t>HOPE</t>
  </si>
  <si>
    <t>HOUS</t>
  </si>
  <si>
    <t>HOV</t>
  </si>
  <si>
    <t>HP</t>
  </si>
  <si>
    <t>HPK</t>
  </si>
  <si>
    <t>HQY</t>
  </si>
  <si>
    <t>HRI</t>
  </si>
  <si>
    <t>HRMY</t>
  </si>
  <si>
    <t>HRT</t>
  </si>
  <si>
    <t>HRTX</t>
  </si>
  <si>
    <t>HSII</t>
  </si>
  <si>
    <t>HSTM</t>
  </si>
  <si>
    <t>HT</t>
  </si>
  <si>
    <t>HTBI</t>
  </si>
  <si>
    <t>HTBK</t>
  </si>
  <si>
    <t>HTH</t>
  </si>
  <si>
    <t>HTLD</t>
  </si>
  <si>
    <t>HTLF</t>
  </si>
  <si>
    <t>HUBG</t>
  </si>
  <si>
    <t>HUMA</t>
  </si>
  <si>
    <t>HURN</t>
  </si>
  <si>
    <t>HVT</t>
  </si>
  <si>
    <t>HWC</t>
  </si>
  <si>
    <t>HWKN</t>
  </si>
  <si>
    <t>HY</t>
  </si>
  <si>
    <t>HYFM</t>
  </si>
  <si>
    <t>HYLN</t>
  </si>
  <si>
    <t>HYMC</t>
  </si>
  <si>
    <t>HYZN</t>
  </si>
  <si>
    <t>HZO</t>
  </si>
  <si>
    <t>IAS</t>
  </si>
  <si>
    <t>IBCP</t>
  </si>
  <si>
    <t>IBEX</t>
  </si>
  <si>
    <t>IBOC</t>
  </si>
  <si>
    <t>IBP</t>
  </si>
  <si>
    <t>IBRX</t>
  </si>
  <si>
    <t>IBTX</t>
  </si>
  <si>
    <t>ICFI</t>
  </si>
  <si>
    <t>ICHR</t>
  </si>
  <si>
    <t>ICPT</t>
  </si>
  <si>
    <t>ICVX</t>
  </si>
  <si>
    <t>IDCC</t>
  </si>
  <si>
    <t>IDT</t>
  </si>
  <si>
    <t>IDYA</t>
  </si>
  <si>
    <t>IE</t>
  </si>
  <si>
    <t>IESC</t>
  </si>
  <si>
    <t>IGMS</t>
  </si>
  <si>
    <t>IGT</t>
  </si>
  <si>
    <t>IHRT</t>
  </si>
  <si>
    <t>III</t>
  </si>
  <si>
    <t>IIIN</t>
  </si>
  <si>
    <t>IIIV</t>
  </si>
  <si>
    <t>IIPR</t>
  </si>
  <si>
    <t>ILPT</t>
  </si>
  <si>
    <t>IMAX</t>
  </si>
  <si>
    <t>IMGN</t>
  </si>
  <si>
    <t>IMKTA</t>
  </si>
  <si>
    <t>IMVT</t>
  </si>
  <si>
    <t>IMXI</t>
  </si>
  <si>
    <t>INBK</t>
  </si>
  <si>
    <t>INBX</t>
  </si>
  <si>
    <t>INDB</t>
  </si>
  <si>
    <t>INDI</t>
  </si>
  <si>
    <t>INDT</t>
  </si>
  <si>
    <t>INFN</t>
  </si>
  <si>
    <t>INGN</t>
  </si>
  <si>
    <t>INN</t>
  </si>
  <si>
    <t>INNV</t>
  </si>
  <si>
    <t>INO</t>
  </si>
  <si>
    <t>INSE</t>
  </si>
  <si>
    <t>INSG</t>
  </si>
  <si>
    <t>INSM</t>
  </si>
  <si>
    <t>INSP</t>
  </si>
  <si>
    <t>INST</t>
  </si>
  <si>
    <t>INSW</t>
  </si>
  <si>
    <t>INTA</t>
  </si>
  <si>
    <t>INVA</t>
  </si>
  <si>
    <t>INVE</t>
  </si>
  <si>
    <t>IONQ</t>
  </si>
  <si>
    <t>IOSP</t>
  </si>
  <si>
    <t>IOVA</t>
  </si>
  <si>
    <t>IPAR</t>
  </si>
  <si>
    <t>IPI</t>
  </si>
  <si>
    <t>IPSC</t>
  </si>
  <si>
    <t>IRBT</t>
  </si>
  <si>
    <t>IRDM</t>
  </si>
  <si>
    <t>IRMD</t>
  </si>
  <si>
    <t>IRNT</t>
  </si>
  <si>
    <t>IRT</t>
  </si>
  <si>
    <t>IRTC</t>
  </si>
  <si>
    <t>IRWD</t>
  </si>
  <si>
    <t>ISEE</t>
  </si>
  <si>
    <t>ISPO</t>
  </si>
  <si>
    <t>ITCI</t>
  </si>
  <si>
    <t>ITGR</t>
  </si>
  <si>
    <t>ITIC</t>
  </si>
  <si>
    <t>ITOS</t>
  </si>
  <si>
    <t>ITRI</t>
  </si>
  <si>
    <t>IVR</t>
  </si>
  <si>
    <t>IVT</t>
  </si>
  <si>
    <t>IVVD</t>
  </si>
  <si>
    <t>JACK</t>
  </si>
  <si>
    <t>JANX</t>
  </si>
  <si>
    <t>JBI</t>
  </si>
  <si>
    <t>JBSS</t>
  </si>
  <si>
    <t>JBT</t>
  </si>
  <si>
    <t>JELD</t>
  </si>
  <si>
    <t>JJSF</t>
  </si>
  <si>
    <t>JMSB</t>
  </si>
  <si>
    <t>JOAN</t>
  </si>
  <si>
    <t>JOBY</t>
  </si>
  <si>
    <t>JOE</t>
  </si>
  <si>
    <t>JOUT</t>
  </si>
  <si>
    <t>JRVR</t>
  </si>
  <si>
    <t>JXN</t>
  </si>
  <si>
    <t>JYNT</t>
  </si>
  <si>
    <t>KAI</t>
  </si>
  <si>
    <t>KALU</t>
  </si>
  <si>
    <t>KALV</t>
  </si>
  <si>
    <t>KAMN</t>
  </si>
  <si>
    <t>KAR</t>
  </si>
  <si>
    <t>KBH</t>
  </si>
  <si>
    <t>KDNY</t>
  </si>
  <si>
    <t>KE</t>
  </si>
  <si>
    <t>KELYA</t>
  </si>
  <si>
    <t>KFRC</t>
  </si>
  <si>
    <t>KFY</t>
  </si>
  <si>
    <t>KIDS</t>
  </si>
  <si>
    <t>KLIC</t>
  </si>
  <si>
    <t>KLR</t>
  </si>
  <si>
    <t>KMT</t>
  </si>
  <si>
    <t>KN</t>
  </si>
  <si>
    <t>KNSA</t>
  </si>
  <si>
    <t>KNSL</t>
  </si>
  <si>
    <t>KNTE</t>
  </si>
  <si>
    <t>KNTK</t>
  </si>
  <si>
    <t>KOD</t>
  </si>
  <si>
    <t>KODK</t>
  </si>
  <si>
    <t>KOP</t>
  </si>
  <si>
    <t>KORE</t>
  </si>
  <si>
    <t>KOS</t>
  </si>
  <si>
    <t>KPTI</t>
  </si>
  <si>
    <t>KREF</t>
  </si>
  <si>
    <t>KRG</t>
  </si>
  <si>
    <t>KRNY</t>
  </si>
  <si>
    <t>KRO</t>
  </si>
  <si>
    <t>KRON</t>
  </si>
  <si>
    <t>KROS</t>
  </si>
  <si>
    <t>KRT</t>
  </si>
  <si>
    <t>KRTX</t>
  </si>
  <si>
    <t>KRUS</t>
  </si>
  <si>
    <t>KRYS</t>
  </si>
  <si>
    <t>KTB</t>
  </si>
  <si>
    <t>KTOS</t>
  </si>
  <si>
    <t>KURA</t>
  </si>
  <si>
    <t>KW</t>
  </si>
  <si>
    <t>KWR</t>
  </si>
  <si>
    <t>KYMR</t>
  </si>
  <si>
    <t>KZR</t>
  </si>
  <si>
    <t>LADR</t>
  </si>
  <si>
    <t>LANC</t>
  </si>
  <si>
    <t>LAND</t>
  </si>
  <si>
    <t>LASR</t>
  </si>
  <si>
    <t>LAUR</t>
  </si>
  <si>
    <t>LAW</t>
  </si>
  <si>
    <t>LAZR</t>
  </si>
  <si>
    <t>LBAI</t>
  </si>
  <si>
    <t>LBC</t>
  </si>
  <si>
    <t>LBRT</t>
  </si>
  <si>
    <t>LC</t>
  </si>
  <si>
    <t>LCII</t>
  </si>
  <si>
    <t>LCUT</t>
  </si>
  <si>
    <t>LE</t>
  </si>
  <si>
    <t>LEGH</t>
  </si>
  <si>
    <t>LEU</t>
  </si>
  <si>
    <t>LFCR</t>
  </si>
  <si>
    <t>LFST</t>
  </si>
  <si>
    <t>LGIH</t>
  </si>
  <si>
    <t>LGND</t>
  </si>
  <si>
    <t>LICY</t>
  </si>
  <si>
    <t>LIDR</t>
  </si>
  <si>
    <t>LILA</t>
  </si>
  <si>
    <t>LILAK</t>
  </si>
  <si>
    <t>LIND</t>
  </si>
  <si>
    <t>LIVN</t>
  </si>
  <si>
    <t>LKFN</t>
  </si>
  <si>
    <t>LL</t>
  </si>
  <si>
    <t>LLAP</t>
  </si>
  <si>
    <t>LMAT</t>
  </si>
  <si>
    <t>LMND</t>
  </si>
  <si>
    <t>LNN</t>
  </si>
  <si>
    <t>LNTH</t>
  </si>
  <si>
    <t>LNW</t>
  </si>
  <si>
    <t>LOB</t>
  </si>
  <si>
    <t>LOCL</t>
  </si>
  <si>
    <t>LOCO</t>
  </si>
  <si>
    <t>LOVE</t>
  </si>
  <si>
    <t>LPG</t>
  </si>
  <si>
    <t>LPRO</t>
  </si>
  <si>
    <t>LPSN</t>
  </si>
  <si>
    <t>LQDA</t>
  </si>
  <si>
    <t>LQDT</t>
  </si>
  <si>
    <t>LRN</t>
  </si>
  <si>
    <t>LSEA</t>
  </si>
  <si>
    <t>LTC</t>
  </si>
  <si>
    <t>LTCH</t>
  </si>
  <si>
    <t>LTH</t>
  </si>
  <si>
    <t>LTHM</t>
  </si>
  <si>
    <t>LUNG</t>
  </si>
  <si>
    <t>LVLU</t>
  </si>
  <si>
    <t>LVOX</t>
  </si>
  <si>
    <t>LWLG</t>
  </si>
  <si>
    <t>LXFR</t>
  </si>
  <si>
    <t>LXP</t>
  </si>
  <si>
    <t>LXRX</t>
  </si>
  <si>
    <t>LXU</t>
  </si>
  <si>
    <t>LYEL</t>
  </si>
  <si>
    <t>LZ</t>
  </si>
  <si>
    <t>LZB</t>
  </si>
  <si>
    <t>MAC</t>
  </si>
  <si>
    <t>MAPS</t>
  </si>
  <si>
    <t>MARA</t>
  </si>
  <si>
    <t>MASS</t>
  </si>
  <si>
    <t>MATV</t>
  </si>
  <si>
    <t>MATW</t>
  </si>
  <si>
    <t>MATX</t>
  </si>
  <si>
    <t>MAX</t>
  </si>
  <si>
    <t>MBI</t>
  </si>
  <si>
    <t>MBIN</t>
  </si>
  <si>
    <t>MBUU</t>
  </si>
  <si>
    <t>MBWM</t>
  </si>
  <si>
    <t>MC</t>
  </si>
  <si>
    <t>MCB</t>
  </si>
  <si>
    <t>MCBC</t>
  </si>
  <si>
    <t>MCBS</t>
  </si>
  <si>
    <t>MCFT</t>
  </si>
  <si>
    <t>MCRB</t>
  </si>
  <si>
    <t>MCRI</t>
  </si>
  <si>
    <t>MCS</t>
  </si>
  <si>
    <t>MCY</t>
  </si>
  <si>
    <t>MD</t>
  </si>
  <si>
    <t>MDC</t>
  </si>
  <si>
    <t>MDGL</t>
  </si>
  <si>
    <t>MDRX</t>
  </si>
  <si>
    <t>MDXG</t>
  </si>
  <si>
    <t>ME</t>
  </si>
  <si>
    <t>MED</t>
  </si>
  <si>
    <t>MEDP</t>
  </si>
  <si>
    <t>MEG</t>
  </si>
  <si>
    <t>MEI</t>
  </si>
  <si>
    <t>METC</t>
  </si>
  <si>
    <t>MFA</t>
  </si>
  <si>
    <t>MGEE</t>
  </si>
  <si>
    <t>MGNI</t>
  </si>
  <si>
    <t>MGNX</t>
  </si>
  <si>
    <t>MGPI</t>
  </si>
  <si>
    <t>MGRC</t>
  </si>
  <si>
    <t>MGTX</t>
  </si>
  <si>
    <t>MGY</t>
  </si>
  <si>
    <t>MHO</t>
  </si>
  <si>
    <t>MIR</t>
  </si>
  <si>
    <t>MIRM</t>
  </si>
  <si>
    <t>MITK</t>
  </si>
  <si>
    <t>MKFG</t>
  </si>
  <si>
    <t>MKTW</t>
  </si>
  <si>
    <t>ML</t>
  </si>
  <si>
    <t>MLAB</t>
  </si>
  <si>
    <t>MLI</t>
  </si>
  <si>
    <t>MLKN</t>
  </si>
  <si>
    <t>MLNK</t>
  </si>
  <si>
    <t>MLR</t>
  </si>
  <si>
    <t>MLYS</t>
  </si>
  <si>
    <t>MMI</t>
  </si>
  <si>
    <t>MMS</t>
  </si>
  <si>
    <t>MMSI</t>
  </si>
  <si>
    <t>MNKD</t>
  </si>
  <si>
    <t>MNRO</t>
  </si>
  <si>
    <t>MNTK</t>
  </si>
  <si>
    <t>MNTS</t>
  </si>
  <si>
    <t>MOD</t>
  </si>
  <si>
    <t>MODG</t>
  </si>
  <si>
    <t>MODN</t>
  </si>
  <si>
    <t>MODV</t>
  </si>
  <si>
    <t>MOFG</t>
  </si>
  <si>
    <t>MORF</t>
  </si>
  <si>
    <t>MOV</t>
  </si>
  <si>
    <t>MPAA</t>
  </si>
  <si>
    <t>MPB</t>
  </si>
  <si>
    <t>MPLN</t>
  </si>
  <si>
    <t>MPX</t>
  </si>
  <si>
    <t>MQ</t>
  </si>
  <si>
    <t>MRC</t>
  </si>
  <si>
    <t>MRSN</t>
  </si>
  <si>
    <t>MRTN</t>
  </si>
  <si>
    <t>MSBI</t>
  </si>
  <si>
    <t>MSEX</t>
  </si>
  <si>
    <t>MSGE</t>
  </si>
  <si>
    <t>MSTR</t>
  </si>
  <si>
    <t>MTDR</t>
  </si>
  <si>
    <t>MTH</t>
  </si>
  <si>
    <t>MTRN</t>
  </si>
  <si>
    <t>MTSI</t>
  </si>
  <si>
    <t>MTTR</t>
  </si>
  <si>
    <t>MTW</t>
  </si>
  <si>
    <t>MTX</t>
  </si>
  <si>
    <t>MULN</t>
  </si>
  <si>
    <t>MUR</t>
  </si>
  <si>
    <t>MUSA</t>
  </si>
  <si>
    <t>MVBF</t>
  </si>
  <si>
    <t>MVIS</t>
  </si>
  <si>
    <t>MVST</t>
  </si>
  <si>
    <t>MWA</t>
  </si>
  <si>
    <t>MXCT</t>
  </si>
  <si>
    <t>MXL</t>
  </si>
  <si>
    <t>MYE</t>
  </si>
  <si>
    <t>MYFW</t>
  </si>
  <si>
    <t>MYGN</t>
  </si>
  <si>
    <t>MYPS</t>
  </si>
  <si>
    <t>MYRG</t>
  </si>
  <si>
    <t>NABL</t>
  </si>
  <si>
    <t>NAPA</t>
  </si>
  <si>
    <t>NARI</t>
  </si>
  <si>
    <t>NAT</t>
  </si>
  <si>
    <t>NATR</t>
  </si>
  <si>
    <t>NAUT</t>
  </si>
  <si>
    <t>NAVI</t>
  </si>
  <si>
    <t>NBHC</t>
  </si>
  <si>
    <t>NBN</t>
  </si>
  <si>
    <t>NBR</t>
  </si>
  <si>
    <t>NBTB</t>
  </si>
  <si>
    <t>NC</t>
  </si>
  <si>
    <t>NDLS</t>
  </si>
  <si>
    <t>NE</t>
  </si>
  <si>
    <t>NEO</t>
  </si>
  <si>
    <t>NEOG</t>
  </si>
  <si>
    <t>NETI</t>
  </si>
  <si>
    <t>NEX</t>
  </si>
  <si>
    <t>NEXT</t>
  </si>
  <si>
    <t>NFBK</t>
  </si>
  <si>
    <t>NG</t>
  </si>
  <si>
    <t>NGM</t>
  </si>
  <si>
    <t>NGMS</t>
  </si>
  <si>
    <t>NGVC</t>
  </si>
  <si>
    <t>NGVT</t>
  </si>
  <si>
    <t>NHC</t>
  </si>
  <si>
    <t>NHI</t>
  </si>
  <si>
    <t>NIC</t>
  </si>
  <si>
    <t>NJR</t>
  </si>
  <si>
    <t>NKLA</t>
  </si>
  <si>
    <t>NKTR</t>
  </si>
  <si>
    <t>NKTX</t>
  </si>
  <si>
    <t>NL</t>
  </si>
  <si>
    <t>NMIH</t>
  </si>
  <si>
    <t>NMRK</t>
  </si>
  <si>
    <t>NN</t>
  </si>
  <si>
    <t>NNI</t>
  </si>
  <si>
    <t>NNOX</t>
  </si>
  <si>
    <t>NODK</t>
  </si>
  <si>
    <t>NOG</t>
  </si>
  <si>
    <t>NOTV</t>
  </si>
  <si>
    <t>NOVA</t>
  </si>
  <si>
    <t>NOVT</t>
  </si>
  <si>
    <t>NPK</t>
  </si>
  <si>
    <t>NPO</t>
  </si>
  <si>
    <t>NR</t>
  </si>
  <si>
    <t>NRC</t>
  </si>
  <si>
    <t>NRDS</t>
  </si>
  <si>
    <t>NRDY</t>
  </si>
  <si>
    <t>NREF</t>
  </si>
  <si>
    <t>NRGV</t>
  </si>
  <si>
    <t>NRIX</t>
  </si>
  <si>
    <t>NSIT</t>
  </si>
  <si>
    <t>NSP</t>
  </si>
  <si>
    <t>NSSC</t>
  </si>
  <si>
    <t>NSTG</t>
  </si>
  <si>
    <t>NTB</t>
  </si>
  <si>
    <t>NTCT</t>
  </si>
  <si>
    <t>NTGR</t>
  </si>
  <si>
    <t>NTLA</t>
  </si>
  <si>
    <t>NTST</t>
  </si>
  <si>
    <t>NUS</t>
  </si>
  <si>
    <t>NUTX</t>
  </si>
  <si>
    <t>NUVA</t>
  </si>
  <si>
    <t>NUVB</t>
  </si>
  <si>
    <t>NUVL</t>
  </si>
  <si>
    <t>NVEE</t>
  </si>
  <si>
    <t>NVRO</t>
  </si>
  <si>
    <t>NVTA</t>
  </si>
  <si>
    <t>NWBI</t>
  </si>
  <si>
    <t>NWE</t>
  </si>
  <si>
    <t>NWLI</t>
  </si>
  <si>
    <t>NWN</t>
  </si>
  <si>
    <t>NWPX</t>
  </si>
  <si>
    <t>NX</t>
  </si>
  <si>
    <t>NXGN</t>
  </si>
  <si>
    <t>NXRT</t>
  </si>
  <si>
    <t>NXT</t>
  </si>
  <si>
    <t>NYMT</t>
  </si>
  <si>
    <t>OABI</t>
  </si>
  <si>
    <t>OB</t>
  </si>
  <si>
    <t>OBK</t>
  </si>
  <si>
    <t>OCFC</t>
  </si>
  <si>
    <t>OCGN</t>
  </si>
  <si>
    <t>OCTO</t>
  </si>
  <si>
    <t>OCUL</t>
  </si>
  <si>
    <t>ODP</t>
  </si>
  <si>
    <t>OEC</t>
  </si>
  <si>
    <t>OFG</t>
  </si>
  <si>
    <t>OFIX</t>
  </si>
  <si>
    <t>OFLX</t>
  </si>
  <si>
    <t>OGS</t>
  </si>
  <si>
    <t>OI</t>
  </si>
  <si>
    <t>OII</t>
  </si>
  <si>
    <t>OIS</t>
  </si>
  <si>
    <t>OLO</t>
  </si>
  <si>
    <t>OLP</t>
  </si>
  <si>
    <t>OM</t>
  </si>
  <si>
    <t>OMCL</t>
  </si>
  <si>
    <t>OMI</t>
  </si>
  <si>
    <t>OMIC</t>
  </si>
  <si>
    <t>ONB</t>
  </si>
  <si>
    <t>ONDS</t>
  </si>
  <si>
    <t>ONEW</t>
  </si>
  <si>
    <t>ONL</t>
  </si>
  <si>
    <t>ONTF</t>
  </si>
  <si>
    <t>ONTO</t>
  </si>
  <si>
    <t>OOMA</t>
  </si>
  <si>
    <t>OPAD</t>
  </si>
  <si>
    <t>OPCH</t>
  </si>
  <si>
    <t>OPFI</t>
  </si>
  <si>
    <t>OPI</t>
  </si>
  <si>
    <t>OPK</t>
  </si>
  <si>
    <t>OPRT</t>
  </si>
  <si>
    <t>OPRX</t>
  </si>
  <si>
    <t>OPY</t>
  </si>
  <si>
    <t>ORA</t>
  </si>
  <si>
    <t>ORC</t>
  </si>
  <si>
    <t>ORGN</t>
  </si>
  <si>
    <t>ORGO</t>
  </si>
  <si>
    <t>ORRF</t>
  </si>
  <si>
    <t>OSBC</t>
  </si>
  <si>
    <t>OSCR</t>
  </si>
  <si>
    <t>OSIS</t>
  </si>
  <si>
    <t>OSPN</t>
  </si>
  <si>
    <t>OSTK</t>
  </si>
  <si>
    <t>OSUR</t>
  </si>
  <si>
    <t>OSW</t>
  </si>
  <si>
    <t>OTLK</t>
  </si>
  <si>
    <t>OTTR</t>
  </si>
  <si>
    <t>OUST</t>
  </si>
  <si>
    <t>OUT</t>
  </si>
  <si>
    <t>OXM</t>
  </si>
  <si>
    <t>PACB</t>
  </si>
  <si>
    <t>PACK</t>
  </si>
  <si>
    <t>PAHC</t>
  </si>
  <si>
    <t>PAR</t>
  </si>
  <si>
    <t>PARR</t>
  </si>
  <si>
    <t>PATK</t>
  </si>
  <si>
    <t>PAYO</t>
  </si>
  <si>
    <t>PBF</t>
  </si>
  <si>
    <t>PBFS</t>
  </si>
  <si>
    <t>PBH</t>
  </si>
  <si>
    <t>PBI</t>
  </si>
  <si>
    <t>PCB</t>
  </si>
  <si>
    <t>PCH</t>
  </si>
  <si>
    <t>PCRX</t>
  </si>
  <si>
    <t>PCT</t>
  </si>
  <si>
    <t>PCVX</t>
  </si>
  <si>
    <t>PCYO</t>
  </si>
  <si>
    <t>PD</t>
  </si>
  <si>
    <t>PDCO</t>
  </si>
  <si>
    <t>PDFS</t>
  </si>
  <si>
    <t>PDLI</t>
  </si>
  <si>
    <t>PDM</t>
  </si>
  <si>
    <t>PEB</t>
  </si>
  <si>
    <t>PEBO</t>
  </si>
  <si>
    <t>PECO</t>
  </si>
  <si>
    <t>PEPG</t>
  </si>
  <si>
    <t>PETQ</t>
  </si>
  <si>
    <t>PETS</t>
  </si>
  <si>
    <t>PFBC</t>
  </si>
  <si>
    <t>PFC</t>
  </si>
  <si>
    <t>PFIS</t>
  </si>
  <si>
    <t>PFS</t>
  </si>
  <si>
    <t>PFSI</t>
  </si>
  <si>
    <t>PFSW</t>
  </si>
  <si>
    <t>PGC</t>
  </si>
  <si>
    <t>PGEN</t>
  </si>
  <si>
    <t>PGNY</t>
  </si>
  <si>
    <t>PGRE</t>
  </si>
  <si>
    <t>PGTI</t>
  </si>
  <si>
    <t>PHAT</t>
  </si>
  <si>
    <t>PHR</t>
  </si>
  <si>
    <t>PI</t>
  </si>
  <si>
    <t>PIII</t>
  </si>
  <si>
    <t>PIPR</t>
  </si>
  <si>
    <t>PJT</t>
  </si>
  <si>
    <t>PKBK</t>
  </si>
  <si>
    <t>PKE</t>
  </si>
  <si>
    <t>PL</t>
  </si>
  <si>
    <t>PLAB</t>
  </si>
  <si>
    <t>PLAY</t>
  </si>
  <si>
    <t>PLBY</t>
  </si>
  <si>
    <t>PLCE</t>
  </si>
  <si>
    <t>PLL</t>
  </si>
  <si>
    <t>PLM</t>
  </si>
  <si>
    <t>PLMR</t>
  </si>
  <si>
    <t>PLOW</t>
  </si>
  <si>
    <t>PLPC</t>
  </si>
  <si>
    <t>PLUS</t>
  </si>
  <si>
    <t>PLXS</t>
  </si>
  <si>
    <t>PLYM</t>
  </si>
  <si>
    <t>PMT</t>
  </si>
  <si>
    <t>PMVP</t>
  </si>
  <si>
    <t>PNM</t>
  </si>
  <si>
    <t>PNT</t>
  </si>
  <si>
    <t>PNTG</t>
  </si>
  <si>
    <t>POR</t>
  </si>
  <si>
    <t>POWI</t>
  </si>
  <si>
    <t>POWL</t>
  </si>
  <si>
    <t>POWW</t>
  </si>
  <si>
    <t>PPBI</t>
  </si>
  <si>
    <t>PR</t>
  </si>
  <si>
    <t>PRA</t>
  </si>
  <si>
    <t>PRAA</t>
  </si>
  <si>
    <t>PRAX</t>
  </si>
  <si>
    <t>PRCH</t>
  </si>
  <si>
    <t>PRCT</t>
  </si>
  <si>
    <t>PRDO</t>
  </si>
  <si>
    <t>PRDS</t>
  </si>
  <si>
    <t>PRFT</t>
  </si>
  <si>
    <t>PRG</t>
  </si>
  <si>
    <t>PRGS</t>
  </si>
  <si>
    <t>PRIM</t>
  </si>
  <si>
    <t>PRK</t>
  </si>
  <si>
    <t>PRLB</t>
  </si>
  <si>
    <t>PRM</t>
  </si>
  <si>
    <t>PRME</t>
  </si>
  <si>
    <t>PRMW</t>
  </si>
  <si>
    <t>PRO</t>
  </si>
  <si>
    <t>PRPL</t>
  </si>
  <si>
    <t>PRTA</t>
  </si>
  <si>
    <t>PRTH</t>
  </si>
  <si>
    <t>PRTS</t>
  </si>
  <si>
    <t>PRVA</t>
  </si>
  <si>
    <t>PSFE</t>
  </si>
  <si>
    <t>PSMT</t>
  </si>
  <si>
    <t>PSN</t>
  </si>
  <si>
    <t>PSTL</t>
  </si>
  <si>
    <t>PTCT</t>
  </si>
  <si>
    <t>PTEN</t>
  </si>
  <si>
    <t>PTGX</t>
  </si>
  <si>
    <t>PTLO</t>
  </si>
  <si>
    <t>PTRA</t>
  </si>
  <si>
    <t>PTSI</t>
  </si>
  <si>
    <t>PTVE</t>
  </si>
  <si>
    <t>PUBM</t>
  </si>
  <si>
    <t>PUMP</t>
  </si>
  <si>
    <t>PVBC</t>
  </si>
  <si>
    <t>PWP</t>
  </si>
  <si>
    <t>PWSC</t>
  </si>
  <si>
    <t>PZZA</t>
  </si>
  <si>
    <t>QCRH</t>
  </si>
  <si>
    <t>QLYS</t>
  </si>
  <si>
    <t>QNST</t>
  </si>
  <si>
    <t>QRTEA</t>
  </si>
  <si>
    <t>QSI</t>
  </si>
  <si>
    <t>QTRX</t>
  </si>
  <si>
    <t>QTWO</t>
  </si>
  <si>
    <t>QUAD</t>
  </si>
  <si>
    <t>QUOT</t>
  </si>
  <si>
    <t>RAD</t>
  </si>
  <si>
    <t>RADI</t>
  </si>
  <si>
    <t>RAMP</t>
  </si>
  <si>
    <t>RAPT</t>
  </si>
  <si>
    <t>RBB</t>
  </si>
  <si>
    <t>RBBN</t>
  </si>
  <si>
    <t>RBC</t>
  </si>
  <si>
    <t>RBCAA</t>
  </si>
  <si>
    <t>RBOT</t>
  </si>
  <si>
    <t>RC</t>
  </si>
  <si>
    <t>RCKT</t>
  </si>
  <si>
    <t>RCKY</t>
  </si>
  <si>
    <t>RCM</t>
  </si>
  <si>
    <t>RCUS</t>
  </si>
  <si>
    <t>RDFN</t>
  </si>
  <si>
    <t>RDN</t>
  </si>
  <si>
    <t>RDNT</t>
  </si>
  <si>
    <t>RDVT</t>
  </si>
  <si>
    <t>RDW</t>
  </si>
  <si>
    <t>REAL</t>
  </si>
  <si>
    <t>REFI</t>
  </si>
  <si>
    <t>REI</t>
  </si>
  <si>
    <t>RELY</t>
  </si>
  <si>
    <t>RENT</t>
  </si>
  <si>
    <t>REPL</t>
  </si>
  <si>
    <t>REPX</t>
  </si>
  <si>
    <t>RES</t>
  </si>
  <si>
    <t>RETA</t>
  </si>
  <si>
    <t>REVG</t>
  </si>
  <si>
    <t>REX</t>
  </si>
  <si>
    <t>REZI</t>
  </si>
  <si>
    <t>RGNX</t>
  </si>
  <si>
    <t>RGP</t>
  </si>
  <si>
    <t>RGR</t>
  </si>
  <si>
    <t>RGTI</t>
  </si>
  <si>
    <t>RHP</t>
  </si>
  <si>
    <t>RICK</t>
  </si>
  <si>
    <t>RIDE</t>
  </si>
  <si>
    <t>RIGL</t>
  </si>
  <si>
    <t>RILY</t>
  </si>
  <si>
    <t>RIOT</t>
  </si>
  <si>
    <t>RKLB</t>
  </si>
  <si>
    <t>RLAY</t>
  </si>
  <si>
    <t>RLGT</t>
  </si>
  <si>
    <t>RLI</t>
  </si>
  <si>
    <t>RLJ</t>
  </si>
  <si>
    <t>RLMD</t>
  </si>
  <si>
    <t>RLYB</t>
  </si>
  <si>
    <t>RM</t>
  </si>
  <si>
    <t>RMAX</t>
  </si>
  <si>
    <t>RMBL</t>
  </si>
  <si>
    <t>RMBS</t>
  </si>
  <si>
    <t>RMNI</t>
  </si>
  <si>
    <t>RMR</t>
  </si>
  <si>
    <t>RNA</t>
  </si>
  <si>
    <t>RNST</t>
  </si>
  <si>
    <t>ROAD</t>
  </si>
  <si>
    <t>ROCC</t>
  </si>
  <si>
    <t>ROCK</t>
  </si>
  <si>
    <t>ROG</t>
  </si>
  <si>
    <t>ROIC</t>
  </si>
  <si>
    <t>ROOT</t>
  </si>
  <si>
    <t>ROVR</t>
  </si>
  <si>
    <t>RPAY</t>
  </si>
  <si>
    <t>RPD</t>
  </si>
  <si>
    <t>RPT</t>
  </si>
  <si>
    <t>RRBI</t>
  </si>
  <si>
    <t>RRR</t>
  </si>
  <si>
    <t>RSI</t>
  </si>
  <si>
    <t>RSVR</t>
  </si>
  <si>
    <t>RTL</t>
  </si>
  <si>
    <t>RUSHA</t>
  </si>
  <si>
    <t>RUSHB</t>
  </si>
  <si>
    <t>RVLV</t>
  </si>
  <si>
    <t>RVMD</t>
  </si>
  <si>
    <t>RVNC</t>
  </si>
  <si>
    <t>RWT</t>
  </si>
  <si>
    <t>RXDX</t>
  </si>
  <si>
    <t>RXRX</t>
  </si>
  <si>
    <t>RXST</t>
  </si>
  <si>
    <t>RXT</t>
  </si>
  <si>
    <t>RYAM</t>
  </si>
  <si>
    <t>RYI</t>
  </si>
  <si>
    <t>SABR</t>
  </si>
  <si>
    <t>SAFE</t>
  </si>
  <si>
    <t>SAFT</t>
  </si>
  <si>
    <t>SAGE</t>
  </si>
  <si>
    <t>SAH</t>
  </si>
  <si>
    <t>SAIA</t>
  </si>
  <si>
    <t>SAMG</t>
  </si>
  <si>
    <t>SANA</t>
  </si>
  <si>
    <t>SANM</t>
  </si>
  <si>
    <t>SASR</t>
  </si>
  <si>
    <t>SATS</t>
  </si>
  <si>
    <t>SAVA</t>
  </si>
  <si>
    <t>SAVE</t>
  </si>
  <si>
    <t>SB</t>
  </si>
  <si>
    <t>SBCF</t>
  </si>
  <si>
    <t>SBGI</t>
  </si>
  <si>
    <t>SBH</t>
  </si>
  <si>
    <t>SBOW</t>
  </si>
  <si>
    <t>SBRA</t>
  </si>
  <si>
    <t>SBSI</t>
  </si>
  <si>
    <t>SBT</t>
  </si>
  <si>
    <t>SCHL</t>
  </si>
  <si>
    <t>SCL</t>
  </si>
  <si>
    <t>SCS</t>
  </si>
  <si>
    <t>SCSC</t>
  </si>
  <si>
    <t>SCU</t>
  </si>
  <si>
    <t>SCVL</t>
  </si>
  <si>
    <t>SCWX</t>
  </si>
  <si>
    <t>SD</t>
  </si>
  <si>
    <t>SDGR</t>
  </si>
  <si>
    <t>SEAS</t>
  </si>
  <si>
    <t>SEAT</t>
  </si>
  <si>
    <t>SEER</t>
  </si>
  <si>
    <t>SEM</t>
  </si>
  <si>
    <t>SENEA</t>
  </si>
  <si>
    <t>SENS</t>
  </si>
  <si>
    <t>SFBS</t>
  </si>
  <si>
    <t>SFIX</t>
  </si>
  <si>
    <t>SFL</t>
  </si>
  <si>
    <t>SFM</t>
  </si>
  <si>
    <t>SFNC</t>
  </si>
  <si>
    <t>SFST</t>
  </si>
  <si>
    <t>SG</t>
  </si>
  <si>
    <t>SGC</t>
  </si>
  <si>
    <t>SGH</t>
  </si>
  <si>
    <t>SGHT</t>
  </si>
  <si>
    <t>SGMO</t>
  </si>
  <si>
    <t>SGRY</t>
  </si>
  <si>
    <t>SHAK</t>
  </si>
  <si>
    <t>SHBI</t>
  </si>
  <si>
    <t>SHCR</t>
  </si>
  <si>
    <t>SHEN</t>
  </si>
  <si>
    <t>SHLS</t>
  </si>
  <si>
    <t>SHO</t>
  </si>
  <si>
    <t>SHOO</t>
  </si>
  <si>
    <t>SHYF</t>
  </si>
  <si>
    <t>SIBN</t>
  </si>
  <si>
    <t>SIG</t>
  </si>
  <si>
    <t>SIGA</t>
  </si>
  <si>
    <t>SIGI</t>
  </si>
  <si>
    <t>SILK</t>
  </si>
  <si>
    <t>SITC</t>
  </si>
  <si>
    <t>SITM</t>
  </si>
  <si>
    <t>SJW</t>
  </si>
  <si>
    <t>SKIL</t>
  </si>
  <si>
    <t>SKIN</t>
  </si>
  <si>
    <t>SKLZ</t>
  </si>
  <si>
    <t>SKT</t>
  </si>
  <si>
    <t>SKWD</t>
  </si>
  <si>
    <t>SKY</t>
  </si>
  <si>
    <t>SKYT</t>
  </si>
  <si>
    <t>SKYW</t>
  </si>
  <si>
    <t>SLAB</t>
  </si>
  <si>
    <t>SLCA</t>
  </si>
  <si>
    <t>SLDP</t>
  </si>
  <si>
    <t>SLGC</t>
  </si>
  <si>
    <t>SLP</t>
  </si>
  <si>
    <t>SLQT</t>
  </si>
  <si>
    <t>SLVM</t>
  </si>
  <si>
    <t>SM</t>
  </si>
  <si>
    <t>SMBC</t>
  </si>
  <si>
    <t>SMBK</t>
  </si>
  <si>
    <t>SMCI</t>
  </si>
  <si>
    <t>SMMF</t>
  </si>
  <si>
    <t>SMP</t>
  </si>
  <si>
    <t>SMPL</t>
  </si>
  <si>
    <t>SMR</t>
  </si>
  <si>
    <t>SMRT</t>
  </si>
  <si>
    <t>SMTC</t>
  </si>
  <si>
    <t>SNBR</t>
  </si>
  <si>
    <t>SNCE</t>
  </si>
  <si>
    <t>SNCY</t>
  </si>
  <si>
    <t>SNDX</t>
  </si>
  <si>
    <t>SNEX</t>
  </si>
  <si>
    <t>SNPO</t>
  </si>
  <si>
    <t>SOI</t>
  </si>
  <si>
    <t>SOND</t>
  </si>
  <si>
    <t>SONO</t>
  </si>
  <si>
    <t>SOVO</t>
  </si>
  <si>
    <t>SP</t>
  </si>
  <si>
    <t>SPCE</t>
  </si>
  <si>
    <t>SPFI</t>
  </si>
  <si>
    <t>SPHR</t>
  </si>
  <si>
    <t>SPIR</t>
  </si>
  <si>
    <t>SPNS</t>
  </si>
  <si>
    <t>SPNT</t>
  </si>
  <si>
    <t>SPSC</t>
  </si>
  <si>
    <t>SPT</t>
  </si>
  <si>
    <t>SPTN</t>
  </si>
  <si>
    <t>SPWH</t>
  </si>
  <si>
    <t>SPWR</t>
  </si>
  <si>
    <t>SPXC</t>
  </si>
  <si>
    <t>SQSP</t>
  </si>
  <si>
    <t>SR</t>
  </si>
  <si>
    <t>SRCE</t>
  </si>
  <si>
    <t>SRDX</t>
  </si>
  <si>
    <t>SRI</t>
  </si>
  <si>
    <t>SSB</t>
  </si>
  <si>
    <t>SSD</t>
  </si>
  <si>
    <t>SSP</t>
  </si>
  <si>
    <t>SSTI</t>
  </si>
  <si>
    <t>SSTK</t>
  </si>
  <si>
    <t>STAA</t>
  </si>
  <si>
    <t>STAG</t>
  </si>
  <si>
    <t>STBA</t>
  </si>
  <si>
    <t>STC</t>
  </si>
  <si>
    <t>STEL</t>
  </si>
  <si>
    <t>STEM</t>
  </si>
  <si>
    <t>STEP</t>
  </si>
  <si>
    <t>STER</t>
  </si>
  <si>
    <t>STGW</t>
  </si>
  <si>
    <t>STHO</t>
  </si>
  <si>
    <t>STKL</t>
  </si>
  <si>
    <t>STKS</t>
  </si>
  <si>
    <t>STNE</t>
  </si>
  <si>
    <t>STNG</t>
  </si>
  <si>
    <t>STOK</t>
  </si>
  <si>
    <t>STR</t>
  </si>
  <si>
    <t>STRA</t>
  </si>
  <si>
    <t>STRC</t>
  </si>
  <si>
    <t>STRL</t>
  </si>
  <si>
    <t>STRO</t>
  </si>
  <si>
    <t>STRS</t>
  </si>
  <si>
    <t>SUM</t>
  </si>
  <si>
    <t>SUNL</t>
  </si>
  <si>
    <t>SUPN</t>
  </si>
  <si>
    <t>SVC</t>
  </si>
  <si>
    <t>SWAV</t>
  </si>
  <si>
    <t>SWBI</t>
  </si>
  <si>
    <t>SWI</t>
  </si>
  <si>
    <t>SWIM</t>
  </si>
  <si>
    <t>SWKH</t>
  </si>
  <si>
    <t>SWTX</t>
  </si>
  <si>
    <t>SWX</t>
  </si>
  <si>
    <t>SXC</t>
  </si>
  <si>
    <t>SXI</t>
  </si>
  <si>
    <t>SXT</t>
  </si>
  <si>
    <t>SYBT</t>
  </si>
  <si>
    <t>SYNA</t>
  </si>
  <si>
    <t>TALO</t>
  </si>
  <si>
    <t>TALS</t>
  </si>
  <si>
    <t>TARS</t>
  </si>
  <si>
    <t>TBBK</t>
  </si>
  <si>
    <t>TBI</t>
  </si>
  <si>
    <t>TBPH</t>
  </si>
  <si>
    <t>TCBI</t>
  </si>
  <si>
    <t>TCBK</t>
  </si>
  <si>
    <t>TCBX</t>
  </si>
  <si>
    <t>TCI</t>
  </si>
  <si>
    <t>TCMD</t>
  </si>
  <si>
    <t>TCS</t>
  </si>
  <si>
    <t>TCX</t>
  </si>
  <si>
    <t>TDS</t>
  </si>
  <si>
    <t>TDUP</t>
  </si>
  <si>
    <t>TDW</t>
  </si>
  <si>
    <t>TELL</t>
  </si>
  <si>
    <t>TENB</t>
  </si>
  <si>
    <t>TEX</t>
  </si>
  <si>
    <t>TFIN</t>
  </si>
  <si>
    <t>TFM</t>
  </si>
  <si>
    <t>TG</t>
  </si>
  <si>
    <t>TGAN</t>
  </si>
  <si>
    <t>TGH</t>
  </si>
  <si>
    <t>TGI</t>
  </si>
  <si>
    <t>TGNA</t>
  </si>
  <si>
    <t>TGTX</t>
  </si>
  <si>
    <t>TH</t>
  </si>
  <si>
    <t>THFF</t>
  </si>
  <si>
    <t>THR</t>
  </si>
  <si>
    <t>THRD</t>
  </si>
  <si>
    <t>THRM</t>
  </si>
  <si>
    <t>THRN</t>
  </si>
  <si>
    <t>THRX</t>
  </si>
  <si>
    <t>THRY</t>
  </si>
  <si>
    <t>THS</t>
  </si>
  <si>
    <t>TIL</t>
  </si>
  <si>
    <t>TILE</t>
  </si>
  <si>
    <t>TIPT</t>
  </si>
  <si>
    <t>TITN</t>
  </si>
  <si>
    <t>TK</t>
  </si>
  <si>
    <t>TKNO</t>
  </si>
  <si>
    <t>TLS</t>
  </si>
  <si>
    <t>TLYS</t>
  </si>
  <si>
    <t>TMCI</t>
  </si>
  <si>
    <t>TMDX</t>
  </si>
  <si>
    <t>TMHC</t>
  </si>
  <si>
    <t>TMP</t>
  </si>
  <si>
    <t>TMST</t>
  </si>
  <si>
    <t>TNC</t>
  </si>
  <si>
    <t>TNET</t>
  </si>
  <si>
    <t>TNGX</t>
  </si>
  <si>
    <t>TNK</t>
  </si>
  <si>
    <t>TNYA</t>
  </si>
  <si>
    <t>TOI</t>
  </si>
  <si>
    <t>TOWN</t>
  </si>
  <si>
    <t>TPB</t>
  </si>
  <si>
    <t>TPC</t>
  </si>
  <si>
    <t>TPH</t>
  </si>
  <si>
    <t>TPIC</t>
  </si>
  <si>
    <t>TR</t>
  </si>
  <si>
    <t>TRC</t>
  </si>
  <si>
    <t>TREE</t>
  </si>
  <si>
    <t>TRMK</t>
  </si>
  <si>
    <t>TRN</t>
  </si>
  <si>
    <t>TRNO</t>
  </si>
  <si>
    <t>TRNS</t>
  </si>
  <si>
    <t>TROX</t>
  </si>
  <si>
    <t>TRS</t>
  </si>
  <si>
    <t>TRST</t>
  </si>
  <si>
    <t>TRTN</t>
  </si>
  <si>
    <t>TRTX</t>
  </si>
  <si>
    <t>TRUE</t>
  </si>
  <si>
    <t>TRUP</t>
  </si>
  <si>
    <t>TSE</t>
  </si>
  <si>
    <t>TSP</t>
  </si>
  <si>
    <t>TSVT</t>
  </si>
  <si>
    <t>TTCF</t>
  </si>
  <si>
    <t>TTEC</t>
  </si>
  <si>
    <t>TTGT</t>
  </si>
  <si>
    <t>TTI</t>
  </si>
  <si>
    <t>TTMI</t>
  </si>
  <si>
    <t>TTSH</t>
  </si>
  <si>
    <t>TUP</t>
  </si>
  <si>
    <t>TVTX</t>
  </si>
  <si>
    <t>TWI</t>
  </si>
  <si>
    <t>TWNK</t>
  </si>
  <si>
    <t>TWO</t>
  </si>
  <si>
    <t>TWOU</t>
  </si>
  <si>
    <t>TWST</t>
  </si>
  <si>
    <t>TXRH</t>
  </si>
  <si>
    <t>TYRA</t>
  </si>
  <si>
    <t>UBA</t>
  </si>
  <si>
    <t>UBSI</t>
  </si>
  <si>
    <t>UCBI</t>
  </si>
  <si>
    <t>UCTT</t>
  </si>
  <si>
    <t>UDMY</t>
  </si>
  <si>
    <t>UE</t>
  </si>
  <si>
    <t>UEC</t>
  </si>
  <si>
    <t>UEIC</t>
  </si>
  <si>
    <t>UFCS</t>
  </si>
  <si>
    <t>UFI</t>
  </si>
  <si>
    <t>UFPI</t>
  </si>
  <si>
    <t>UFPT</t>
  </si>
  <si>
    <t>UHT</t>
  </si>
  <si>
    <t>UIS</t>
  </si>
  <si>
    <t>ULCC</t>
  </si>
  <si>
    <t>ULH</t>
  </si>
  <si>
    <t>UMBF</t>
  </si>
  <si>
    <t>UMH</t>
  </si>
  <si>
    <t>UNF</t>
  </si>
  <si>
    <t>UNFI</t>
  </si>
  <si>
    <t>UNIT</t>
  </si>
  <si>
    <t>UNTY</t>
  </si>
  <si>
    <t>UONE</t>
  </si>
  <si>
    <t>UONEK</t>
  </si>
  <si>
    <t>UP</t>
  </si>
  <si>
    <t>UPBD</t>
  </si>
  <si>
    <t>UPLD</t>
  </si>
  <si>
    <t>UPWK</t>
  </si>
  <si>
    <t>URBN</t>
  </si>
  <si>
    <t>URG</t>
  </si>
  <si>
    <t>USCB</t>
  </si>
  <si>
    <t>USLM</t>
  </si>
  <si>
    <t>USM</t>
  </si>
  <si>
    <t>USNA</t>
  </si>
  <si>
    <t>USPH</t>
  </si>
  <si>
    <t>UTI</t>
  </si>
  <si>
    <t>UTL</t>
  </si>
  <si>
    <t>UTMD</t>
  </si>
  <si>
    <t>UTZ</t>
  </si>
  <si>
    <t>UUUU</t>
  </si>
  <si>
    <t>UVE</t>
  </si>
  <si>
    <t>UVSP</t>
  </si>
  <si>
    <t>UVV</t>
  </si>
  <si>
    <t>VAL</t>
  </si>
  <si>
    <t>VALU</t>
  </si>
  <si>
    <t>VBIV</t>
  </si>
  <si>
    <t>VBTX</t>
  </si>
  <si>
    <t>VC</t>
  </si>
  <si>
    <t>VCEL</t>
  </si>
  <si>
    <t>VCSA</t>
  </si>
  <si>
    <t>VCTR</t>
  </si>
  <si>
    <t>VCYT</t>
  </si>
  <si>
    <t>VECO</t>
  </si>
  <si>
    <t>VEL</t>
  </si>
  <si>
    <t>VERA</t>
  </si>
  <si>
    <t>VERI</t>
  </si>
  <si>
    <t>VERU</t>
  </si>
  <si>
    <t>VERV</t>
  </si>
  <si>
    <t>VGR</t>
  </si>
  <si>
    <t>VHI</t>
  </si>
  <si>
    <t>VIA</t>
  </si>
  <si>
    <t>VIAV</t>
  </si>
  <si>
    <t>VICR</t>
  </si>
  <si>
    <t>VIEW</t>
  </si>
  <si>
    <t>VIR</t>
  </si>
  <si>
    <t>VITL</t>
  </si>
  <si>
    <t>VLD</t>
  </si>
  <si>
    <t>VLGEA</t>
  </si>
  <si>
    <t>VLY</t>
  </si>
  <si>
    <t>VMEO</t>
  </si>
  <si>
    <t>VNDA</t>
  </si>
  <si>
    <t>VPG</t>
  </si>
  <si>
    <t>VRAY</t>
  </si>
  <si>
    <t>VRDN</t>
  </si>
  <si>
    <t>VRE</t>
  </si>
  <si>
    <t>VREX</t>
  </si>
  <si>
    <t>VRNS</t>
  </si>
  <si>
    <t>VRNT</t>
  </si>
  <si>
    <t>VRRM</t>
  </si>
  <si>
    <t>VRTS</t>
  </si>
  <si>
    <t>VRTV</t>
  </si>
  <si>
    <t>VSEC</t>
  </si>
  <si>
    <t>VSH</t>
  </si>
  <si>
    <t>VSTO</t>
  </si>
  <si>
    <t>VTGN</t>
  </si>
  <si>
    <t>VTLE</t>
  </si>
  <si>
    <t>VTNR</t>
  </si>
  <si>
    <t>VTOL</t>
  </si>
  <si>
    <t>VTYX</t>
  </si>
  <si>
    <t>VUZI</t>
  </si>
  <si>
    <t>VVI</t>
  </si>
  <si>
    <t>VVX</t>
  </si>
  <si>
    <t>VWE</t>
  </si>
  <si>
    <t>VXRT</t>
  </si>
  <si>
    <t>VZIO</t>
  </si>
  <si>
    <t>WABC</t>
  </si>
  <si>
    <t>WAFD</t>
  </si>
  <si>
    <t>WASH</t>
  </si>
  <si>
    <t>WD</t>
  </si>
  <si>
    <t>WDFC</t>
  </si>
  <si>
    <t>WEAV</t>
  </si>
  <si>
    <t>WERN</t>
  </si>
  <si>
    <t>WEYS</t>
  </si>
  <si>
    <t>WFRD</t>
  </si>
  <si>
    <t>WGO</t>
  </si>
  <si>
    <t>WGS</t>
  </si>
  <si>
    <t>WHD</t>
  </si>
  <si>
    <t>WINA</t>
  </si>
  <si>
    <t>WING</t>
  </si>
  <si>
    <t>WIRE</t>
  </si>
  <si>
    <t>WISH</t>
  </si>
  <si>
    <t>WK</t>
  </si>
  <si>
    <t>WKHS</t>
  </si>
  <si>
    <t>WLDN</t>
  </si>
  <si>
    <t>WLY</t>
  </si>
  <si>
    <t>WMK</t>
  </si>
  <si>
    <t>WNC</t>
  </si>
  <si>
    <t>WOR</t>
  </si>
  <si>
    <t>WOW</t>
  </si>
  <si>
    <t>WRBY</t>
  </si>
  <si>
    <t>WRLD</t>
  </si>
  <si>
    <t>WSBC</t>
  </si>
  <si>
    <t>WSBF</t>
  </si>
  <si>
    <t>WSFS</t>
  </si>
  <si>
    <t>WSR</t>
  </si>
  <si>
    <t>WT</t>
  </si>
  <si>
    <t>WTBA</t>
  </si>
  <si>
    <t>WTI</t>
  </si>
  <si>
    <t>WTS</t>
  </si>
  <si>
    <t>WTTR</t>
  </si>
  <si>
    <t>WULF</t>
  </si>
  <si>
    <t>WW</t>
  </si>
  <si>
    <t>WWW</t>
  </si>
  <si>
    <t>XERS</t>
  </si>
  <si>
    <t>XHR</t>
  </si>
  <si>
    <t>XMTR</t>
  </si>
  <si>
    <t>XNCR</t>
  </si>
  <si>
    <t>XOS</t>
  </si>
  <si>
    <t>XPEL</t>
  </si>
  <si>
    <t>XPER</t>
  </si>
  <si>
    <t>XPOF</t>
  </si>
  <si>
    <t>XPRO</t>
  </si>
  <si>
    <t>XRX</t>
  </si>
  <si>
    <t>XXII</t>
  </si>
  <si>
    <t>YELP</t>
  </si>
  <si>
    <t>YEXT</t>
  </si>
  <si>
    <t>YMAB</t>
  </si>
  <si>
    <t>YORW</t>
  </si>
  <si>
    <t>YOU</t>
  </si>
  <si>
    <t>ZD</t>
  </si>
  <si>
    <t>ZETA</t>
  </si>
  <si>
    <t>ZEUS</t>
  </si>
  <si>
    <t>ZEV</t>
  </si>
  <si>
    <t>ZGN</t>
  </si>
  <si>
    <t>ZIMV</t>
  </si>
  <si>
    <t>ZIP</t>
  </si>
  <si>
    <t>ZNTL</t>
  </si>
  <si>
    <t>ZUMZ</t>
  </si>
  <si>
    <t>ZUO</t>
  </si>
  <si>
    <t>ZWS</t>
  </si>
  <si>
    <t>ZYXI</t>
  </si>
  <si>
    <t>N/A</t>
  </si>
  <si>
    <t>Industrials</t>
  </si>
  <si>
    <t>Real Estate</t>
  </si>
  <si>
    <t>Financial Services</t>
  </si>
  <si>
    <t>Consumer Cyclical</t>
  </si>
  <si>
    <t>Healthcare</t>
  </si>
  <si>
    <t>Technology</t>
  </si>
  <si>
    <t>Consumer Defensive</t>
  </si>
  <si>
    <t>Utilities</t>
  </si>
  <si>
    <t>Communication Services</t>
  </si>
  <si>
    <t>Energy</t>
  </si>
  <si>
    <t>Basic Materials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</si>
  <si>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</si>
  <si>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</si>
  <si>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</si>
  <si>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</si>
  <si>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</si>
  <si>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</si>
  <si>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</si>
  <si>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</si>
  <si>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</si>
  <si>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2023-10-16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</si>
</sst>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5"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\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8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25.7265625" customWidth="1"/>
    <col min="2" max="2" width="45.7265625" customWidth="1"/>
    <col min="3" max="3" width="25.7265625" customWidth="1"/>
    <col min="4" max="4" width="10.7265625" customWidth="1"/>
    <col min="5" max="5" width="18.7265625" customWidth="1"/>
    <col min="6" max="6" width="25.7265625" customWidth="1"/>
    <col min="7" max="7" width="34.7265625" customWidth="1"/>
    <col min="8" max="10" width="22.7265625" customWidth="1"/>
    <col min="11" max="11" width="20.7265625" customWidth="1"/>
    <col min="12" max="15" width="15.7265625" customWidth="1"/>
  </cols>
  <sheetData>
    <row r="1" spans="1:14" x14ac:dyDescent="0.3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1" t="s">
        <v>14</v>
      </c>
      <c r="B2" t="str">
        <f>HYPERLINK("https://www.suredividend.com/sure-analysis-research-database/","Aadi Bioscience Inc")</f>
        <v>Aadi Bioscience Inc</v>
      </c>
      <c r="C2" t="s">
        <v>1798</v>
      </c>
      <c r="D2">
        <v>4.2300000000000004</v>
      </c>
      <c r="E2">
        <v>0</v>
      </c>
      <c r="F2" t="s">
        <v>1798</v>
      </c>
      <c r="G2" t="s">
        <v>1798</v>
      </c>
      <c r="H2">
        <v>0</v>
      </c>
      <c r="I2">
        <v>103.719008</v>
      </c>
      <c r="J2">
        <v>0</v>
      </c>
      <c r="K2" t="s">
        <v>1798</v>
      </c>
      <c r="L2">
        <v>0.74701794800079002</v>
      </c>
      <c r="M2">
        <v>14.13</v>
      </c>
      <c r="N2">
        <v>3.95</v>
      </c>
    </row>
    <row r="3" spans="1:14" x14ac:dyDescent="0.35">
      <c r="A3" s="1" t="s">
        <v>15</v>
      </c>
      <c r="B3" t="str">
        <f>HYPERLINK("https://www.suredividend.com/sure-analysis-research-database/","Aarons Company Inc (The)")</f>
        <v>Aarons Company Inc (The)</v>
      </c>
      <c r="C3" t="s">
        <v>1799</v>
      </c>
      <c r="D3">
        <v>9.3699999999999992</v>
      </c>
      <c r="E3">
        <v>5.1190957651426998E-2</v>
      </c>
      <c r="F3" t="s">
        <v>1798</v>
      </c>
      <c r="G3" t="s">
        <v>1798</v>
      </c>
      <c r="H3">
        <v>0.47965927319387602</v>
      </c>
      <c r="I3">
        <v>289.24258600000002</v>
      </c>
      <c r="J3" t="s">
        <v>1798</v>
      </c>
      <c r="K3" t="s">
        <v>1798</v>
      </c>
      <c r="L3">
        <v>1.242868979090777</v>
      </c>
      <c r="M3">
        <v>15.96</v>
      </c>
      <c r="N3">
        <v>7.33</v>
      </c>
    </row>
    <row r="4" spans="1:14" x14ac:dyDescent="0.35">
      <c r="A4" s="1" t="s">
        <v>16</v>
      </c>
      <c r="B4" t="str">
        <f>HYPERLINK("https://www.suredividend.com/sure-analysis-research-database/","AAON Inc.")</f>
        <v>AAON Inc.</v>
      </c>
      <c r="C4" t="s">
        <v>1799</v>
      </c>
      <c r="D4">
        <v>56.16</v>
      </c>
      <c r="E4">
        <v>7.0941671695049996E-3</v>
      </c>
      <c r="F4" t="s">
        <v>1798</v>
      </c>
      <c r="G4" t="s">
        <v>1798</v>
      </c>
      <c r="H4">
        <v>0.39840842823944211</v>
      </c>
      <c r="I4">
        <v>4583.1885650000004</v>
      </c>
      <c r="J4">
        <v>30.78713593529795</v>
      </c>
      <c r="K4">
        <v>0.14701418016215581</v>
      </c>
      <c r="L4">
        <v>1.156527361398527</v>
      </c>
      <c r="M4">
        <v>71.22</v>
      </c>
      <c r="N4">
        <v>35.57</v>
      </c>
    </row>
    <row r="5" spans="1:14" x14ac:dyDescent="0.35">
      <c r="A5" s="1" t="s">
        <v>17</v>
      </c>
      <c r="B5" t="str">
        <f>HYPERLINK("https://www.suredividend.com/sure-analysis-AAT/","American Assets Trust Inc")</f>
        <v>American Assets Trust Inc</v>
      </c>
      <c r="C5" t="s">
        <v>1800</v>
      </c>
      <c r="D5">
        <v>18.29</v>
      </c>
      <c r="E5">
        <v>7.2170585019136146E-2</v>
      </c>
      <c r="F5">
        <v>3.125E-2</v>
      </c>
      <c r="G5">
        <v>3.3406482938779243E-2</v>
      </c>
      <c r="H5">
        <v>1.279426066201472</v>
      </c>
      <c r="I5">
        <v>1110.6534830000001</v>
      </c>
      <c r="J5">
        <v>21.984431565716552</v>
      </c>
      <c r="K5">
        <v>1.931792339123467</v>
      </c>
      <c r="L5">
        <v>1.0376043593896469</v>
      </c>
      <c r="M5">
        <v>28.37</v>
      </c>
      <c r="N5">
        <v>15.52</v>
      </c>
    </row>
    <row r="6" spans="1:14" x14ac:dyDescent="0.35">
      <c r="A6" s="1" t="s">
        <v>18</v>
      </c>
      <c r="B6" t="str">
        <f>HYPERLINK("https://www.suredividend.com/sure-analysis-research-database/","Ameris Bancorp")</f>
        <v>Ameris Bancorp</v>
      </c>
      <c r="C6" t="s">
        <v>1801</v>
      </c>
      <c r="D6">
        <v>37.659999999999997</v>
      </c>
      <c r="E6">
        <v>1.5750638974086E-2</v>
      </c>
      <c r="F6">
        <v>0</v>
      </c>
      <c r="G6">
        <v>8.4471771197698553E-2</v>
      </c>
      <c r="H6">
        <v>0.59316906376408007</v>
      </c>
      <c r="I6">
        <v>2603.785586</v>
      </c>
      <c r="J6">
        <v>8.7424641612721263</v>
      </c>
      <c r="K6">
        <v>0.13794629389862331</v>
      </c>
      <c r="L6">
        <v>1.2666947602435701</v>
      </c>
      <c r="M6">
        <v>52.94</v>
      </c>
      <c r="N6">
        <v>27.86</v>
      </c>
    </row>
    <row r="7" spans="1:14" x14ac:dyDescent="0.35">
      <c r="A7" s="1" t="s">
        <v>19</v>
      </c>
      <c r="B7" t="str">
        <f>HYPERLINK("https://www.suredividend.com/sure-analysis-research-database/","AbCellera Biologics Inc")</f>
        <v>AbCellera Biologics Inc</v>
      </c>
      <c r="C7" t="s">
        <v>1798</v>
      </c>
      <c r="D7">
        <v>4.26</v>
      </c>
      <c r="E7">
        <v>0</v>
      </c>
      <c r="F7" t="s">
        <v>1798</v>
      </c>
      <c r="G7" t="s">
        <v>1798</v>
      </c>
      <c r="H7">
        <v>0</v>
      </c>
      <c r="I7">
        <v>1232.6559930000001</v>
      </c>
      <c r="J7" t="s">
        <v>1798</v>
      </c>
      <c r="K7">
        <v>0</v>
      </c>
      <c r="L7">
        <v>0.98545111392464813</v>
      </c>
      <c r="M7">
        <v>14.97</v>
      </c>
      <c r="N7">
        <v>3.92</v>
      </c>
    </row>
    <row r="8" spans="1:14" x14ac:dyDescent="0.35">
      <c r="A8" s="1" t="s">
        <v>20</v>
      </c>
      <c r="B8" t="str">
        <f>HYPERLINK("https://www.suredividend.com/sure-analysis-research-database/","Asbury Automotive Group Inc")</f>
        <v>Asbury Automotive Group Inc</v>
      </c>
      <c r="C8" t="s">
        <v>1802</v>
      </c>
      <c r="D8">
        <v>212.4</v>
      </c>
      <c r="E8">
        <v>0</v>
      </c>
      <c r="F8" t="s">
        <v>1798</v>
      </c>
      <c r="G8" t="s">
        <v>1798</v>
      </c>
      <c r="H8">
        <v>0</v>
      </c>
      <c r="I8">
        <v>4370.1686570000002</v>
      </c>
      <c r="J8">
        <v>4.6689836076923079</v>
      </c>
      <c r="K8">
        <v>0</v>
      </c>
      <c r="L8">
        <v>1.4174201303084</v>
      </c>
      <c r="M8">
        <v>256.39</v>
      </c>
      <c r="N8">
        <v>138.88</v>
      </c>
    </row>
    <row r="9" spans="1:14" x14ac:dyDescent="0.35">
      <c r="A9" s="1" t="s">
        <v>21</v>
      </c>
      <c r="B9" t="str">
        <f>HYPERLINK("https://www.suredividend.com/sure-analysis-ABM/","ABM Industries Inc.")</f>
        <v>ABM Industries Inc.</v>
      </c>
      <c r="C9" t="s">
        <v>1799</v>
      </c>
      <c r="D9">
        <v>44.03</v>
      </c>
      <c r="E9">
        <v>1.9986372927549401E-2</v>
      </c>
      <c r="F9">
        <v>0.12820512820512819</v>
      </c>
      <c r="G9">
        <v>4.0950396969256841E-2</v>
      </c>
      <c r="H9">
        <v>0.87295012233676406</v>
      </c>
      <c r="I9">
        <v>2885.3807409999999</v>
      </c>
      <c r="J9">
        <v>12.15921087492625</v>
      </c>
      <c r="K9">
        <v>0.2459014429117645</v>
      </c>
      <c r="L9">
        <v>0.80277375534153705</v>
      </c>
      <c r="M9">
        <v>48.8</v>
      </c>
      <c r="N9">
        <v>37.4</v>
      </c>
    </row>
    <row r="10" spans="1:14" x14ac:dyDescent="0.35">
      <c r="A10" s="1" t="s">
        <v>22</v>
      </c>
      <c r="B10" t="str">
        <f>HYPERLINK("https://www.suredividend.com/sure-analysis-ABR/","Arbor Realty Trust Inc.")</f>
        <v>Arbor Realty Trust Inc.</v>
      </c>
      <c r="C10" t="s">
        <v>1800</v>
      </c>
      <c r="D10">
        <v>14.23</v>
      </c>
      <c r="E10">
        <v>0.1208713984539705</v>
      </c>
      <c r="F10">
        <v>7.4999999999999956E-2</v>
      </c>
      <c r="G10">
        <v>9.754146869121727E-2</v>
      </c>
      <c r="H10">
        <v>1.5724716691883971</v>
      </c>
      <c r="I10">
        <v>2653.923104</v>
      </c>
      <c r="J10">
        <v>8.5240314770384078</v>
      </c>
      <c r="K10">
        <v>1.069708618495508</v>
      </c>
      <c r="L10">
        <v>1.1965013959052999</v>
      </c>
      <c r="M10">
        <v>17.28</v>
      </c>
      <c r="N10">
        <v>9.52</v>
      </c>
    </row>
    <row r="11" spans="1:14" x14ac:dyDescent="0.35">
      <c r="A11" s="1" t="s">
        <v>23</v>
      </c>
      <c r="B11" t="str">
        <f>HYPERLINK("https://www.suredividend.com/sure-analysis-research-database/","Absci Corp")</f>
        <v>Absci Corp</v>
      </c>
      <c r="C11" t="s">
        <v>1798</v>
      </c>
      <c r="D11">
        <v>1.34</v>
      </c>
      <c r="E11">
        <v>0</v>
      </c>
      <c r="F11" t="s">
        <v>1798</v>
      </c>
      <c r="G11" t="s">
        <v>1798</v>
      </c>
      <c r="H11">
        <v>0</v>
      </c>
      <c r="I11">
        <v>124.23267800000001</v>
      </c>
      <c r="J11" t="s">
        <v>1798</v>
      </c>
      <c r="K11">
        <v>0</v>
      </c>
      <c r="L11">
        <v>2.2488938616262248</v>
      </c>
      <c r="M11">
        <v>3.71</v>
      </c>
      <c r="N11">
        <v>1.1299999999999999</v>
      </c>
    </row>
    <row r="12" spans="1:14" x14ac:dyDescent="0.35">
      <c r="A12" s="1" t="s">
        <v>24</v>
      </c>
      <c r="B12" t="str">
        <f>HYPERLINK("https://www.suredividend.com/sure-analysis-research-database/","Arbutus Biopharma Corp")</f>
        <v>Arbutus Biopharma Corp</v>
      </c>
      <c r="C12" t="s">
        <v>1803</v>
      </c>
      <c r="D12">
        <v>1.86</v>
      </c>
      <c r="E12">
        <v>0</v>
      </c>
      <c r="F12" t="s">
        <v>1798</v>
      </c>
      <c r="G12" t="s">
        <v>1798</v>
      </c>
      <c r="H12">
        <v>0</v>
      </c>
      <c r="I12">
        <v>311.65538900000001</v>
      </c>
      <c r="J12" t="s">
        <v>1798</v>
      </c>
      <c r="K12">
        <v>0</v>
      </c>
      <c r="L12">
        <v>0.8451044342007531</v>
      </c>
      <c r="M12">
        <v>3.15</v>
      </c>
      <c r="N12">
        <v>1.73</v>
      </c>
    </row>
    <row r="13" spans="1:14" x14ac:dyDescent="0.35">
      <c r="A13" s="1" t="s">
        <v>25</v>
      </c>
      <c r="B13" t="str">
        <f>HYPERLINK("https://www.suredividend.com/sure-analysis-research-database/","Associated Capital Group Inc")</f>
        <v>Associated Capital Group Inc</v>
      </c>
      <c r="C13" t="s">
        <v>1801</v>
      </c>
      <c r="D13">
        <v>34.270000000000003</v>
      </c>
      <c r="E13">
        <v>5.8278277464180002E-3</v>
      </c>
      <c r="F13" t="s">
        <v>1798</v>
      </c>
      <c r="G13" t="s">
        <v>1798</v>
      </c>
      <c r="H13">
        <v>0.19971965686974999</v>
      </c>
      <c r="I13">
        <v>93.423687000000001</v>
      </c>
      <c r="J13">
        <v>0</v>
      </c>
      <c r="K13" t="s">
        <v>1798</v>
      </c>
      <c r="M13">
        <v>42.85</v>
      </c>
      <c r="N13">
        <v>30.92</v>
      </c>
    </row>
    <row r="14" spans="1:14" x14ac:dyDescent="0.35">
      <c r="A14" s="1" t="s">
        <v>26</v>
      </c>
      <c r="B14" t="str">
        <f>HYPERLINK("https://www.suredividend.com/sure-analysis-research-database/","Arcosa Inc")</f>
        <v>Arcosa Inc</v>
      </c>
      <c r="C14" t="s">
        <v>1799</v>
      </c>
      <c r="D14">
        <v>68.2</v>
      </c>
      <c r="E14">
        <v>2.929461373175E-3</v>
      </c>
      <c r="F14">
        <v>0</v>
      </c>
      <c r="G14">
        <v>0</v>
      </c>
      <c r="H14">
        <v>0.199789265650549</v>
      </c>
      <c r="I14">
        <v>3325.551555</v>
      </c>
      <c r="J14">
        <v>11.780203877435349</v>
      </c>
      <c r="K14">
        <v>3.4328052517276463E-2</v>
      </c>
      <c r="L14">
        <v>0.89867894003788507</v>
      </c>
      <c r="M14">
        <v>79.319999999999993</v>
      </c>
      <c r="N14">
        <v>51.88</v>
      </c>
    </row>
    <row r="15" spans="1:14" x14ac:dyDescent="0.35">
      <c r="A15" s="1" t="s">
        <v>27</v>
      </c>
      <c r="B15" t="str">
        <f>HYPERLINK("https://www.suredividend.com/sure-analysis-research-database/","Acadia Pharmaceuticals Inc")</f>
        <v>Acadia Pharmaceuticals Inc</v>
      </c>
      <c r="C15" t="s">
        <v>1803</v>
      </c>
      <c r="D15">
        <v>23.14</v>
      </c>
      <c r="E15">
        <v>0</v>
      </c>
      <c r="F15" t="s">
        <v>1798</v>
      </c>
      <c r="G15" t="s">
        <v>1798</v>
      </c>
      <c r="H15">
        <v>0</v>
      </c>
      <c r="I15">
        <v>3788.7121999999999</v>
      </c>
      <c r="J15" t="s">
        <v>1798</v>
      </c>
      <c r="K15">
        <v>0</v>
      </c>
      <c r="L15">
        <v>1.0137470334178169</v>
      </c>
      <c r="M15">
        <v>33.99</v>
      </c>
      <c r="N15">
        <v>13.73</v>
      </c>
    </row>
    <row r="16" spans="1:14" x14ac:dyDescent="0.35">
      <c r="A16" s="1" t="s">
        <v>28</v>
      </c>
      <c r="B16" t="str">
        <f>HYPERLINK("https://www.suredividend.com/sure-analysis-research-database/","Accolade Inc")</f>
        <v>Accolade Inc</v>
      </c>
      <c r="C16" t="s">
        <v>1798</v>
      </c>
      <c r="D16">
        <v>7.02</v>
      </c>
      <c r="E16">
        <v>0</v>
      </c>
      <c r="F16" t="s">
        <v>1798</v>
      </c>
      <c r="G16" t="s">
        <v>1798</v>
      </c>
      <c r="H16">
        <v>0</v>
      </c>
      <c r="I16">
        <v>535.14998800000001</v>
      </c>
      <c r="J16">
        <v>0</v>
      </c>
      <c r="K16" t="s">
        <v>1798</v>
      </c>
      <c r="L16">
        <v>2.2180778457033519</v>
      </c>
      <c r="M16">
        <v>17.010000000000002</v>
      </c>
      <c r="N16">
        <v>6.83</v>
      </c>
    </row>
    <row r="17" spans="1:14" x14ac:dyDescent="0.35">
      <c r="A17" s="1" t="s">
        <v>29</v>
      </c>
      <c r="B17" t="str">
        <f>HYPERLINK("https://www.suredividend.com/sure-analysis-research-database/","Acco Brands Corporation")</f>
        <v>Acco Brands Corporation</v>
      </c>
      <c r="C17" t="s">
        <v>1799</v>
      </c>
      <c r="D17">
        <v>5.24</v>
      </c>
      <c r="E17">
        <v>5.6054215275091003E-2</v>
      </c>
      <c r="F17">
        <v>0</v>
      </c>
      <c r="G17">
        <v>4.5639552591273169E-2</v>
      </c>
      <c r="H17">
        <v>0.29372408804147698</v>
      </c>
      <c r="I17">
        <v>497.27600000000001</v>
      </c>
      <c r="J17" t="s">
        <v>1798</v>
      </c>
      <c r="K17" t="s">
        <v>1798</v>
      </c>
      <c r="L17">
        <v>1.067755735201771</v>
      </c>
      <c r="M17">
        <v>6.34</v>
      </c>
      <c r="N17">
        <v>4.04</v>
      </c>
    </row>
    <row r="18" spans="1:14" x14ac:dyDescent="0.35">
      <c r="A18" s="1" t="s">
        <v>30</v>
      </c>
      <c r="B18" t="str">
        <f>HYPERLINK("https://www.suredividend.com/sure-analysis-research-database/","Accel Entertainment Inc")</f>
        <v>Accel Entertainment Inc</v>
      </c>
      <c r="C18" t="s">
        <v>1802</v>
      </c>
      <c r="D18">
        <v>10.220000000000001</v>
      </c>
      <c r="E18">
        <v>0</v>
      </c>
      <c r="F18" t="s">
        <v>1798</v>
      </c>
      <c r="G18" t="s">
        <v>1798</v>
      </c>
      <c r="H18">
        <v>0</v>
      </c>
      <c r="I18">
        <v>651.68647599999997</v>
      </c>
      <c r="J18">
        <v>11.845614396073801</v>
      </c>
      <c r="K18">
        <v>0</v>
      </c>
      <c r="L18">
        <v>0.91027950337651908</v>
      </c>
      <c r="M18">
        <v>12.05</v>
      </c>
      <c r="N18">
        <v>7.26</v>
      </c>
    </row>
    <row r="19" spans="1:14" x14ac:dyDescent="0.35">
      <c r="A19" s="1" t="s">
        <v>31</v>
      </c>
      <c r="B19" t="str">
        <f>HYPERLINK("https://www.suredividend.com/sure-analysis-research-database/","Adicet Bio Inc")</f>
        <v>Adicet Bio Inc</v>
      </c>
      <c r="C19" t="s">
        <v>1798</v>
      </c>
      <c r="D19">
        <v>1.38</v>
      </c>
      <c r="E19">
        <v>0</v>
      </c>
      <c r="F19" t="s">
        <v>1798</v>
      </c>
      <c r="G19" t="s">
        <v>1798</v>
      </c>
      <c r="H19">
        <v>0</v>
      </c>
      <c r="I19">
        <v>59.431297999999998</v>
      </c>
      <c r="J19">
        <v>0</v>
      </c>
      <c r="K19" t="s">
        <v>1798</v>
      </c>
      <c r="L19">
        <v>0.82500066105067305</v>
      </c>
      <c r="M19">
        <v>21.87</v>
      </c>
      <c r="N19">
        <v>1.24</v>
      </c>
    </row>
    <row r="20" spans="1:14" x14ac:dyDescent="0.35">
      <c r="A20" s="1" t="s">
        <v>32</v>
      </c>
      <c r="B20" t="str">
        <f>HYPERLINK("https://www.suredividend.com/sure-analysis-research-database/","Archer Aviation Inc")</f>
        <v>Archer Aviation Inc</v>
      </c>
      <c r="C20" t="s">
        <v>1798</v>
      </c>
      <c r="D20">
        <v>5.1100000000000003</v>
      </c>
      <c r="E20">
        <v>0</v>
      </c>
      <c r="F20" t="s">
        <v>1798</v>
      </c>
      <c r="G20" t="s">
        <v>1798</v>
      </c>
      <c r="H20">
        <v>0</v>
      </c>
      <c r="I20">
        <v>1065.837121</v>
      </c>
      <c r="J20">
        <v>0</v>
      </c>
      <c r="K20" t="s">
        <v>1798</v>
      </c>
      <c r="L20">
        <v>2.1786843029978709</v>
      </c>
      <c r="M20">
        <v>7.49</v>
      </c>
      <c r="N20">
        <v>1.62</v>
      </c>
    </row>
    <row r="21" spans="1:14" x14ac:dyDescent="0.35">
      <c r="A21" s="1" t="s">
        <v>33</v>
      </c>
      <c r="B21" t="str">
        <f>HYPERLINK("https://www.suredividend.com/sure-analysis-research-database/","ACI Worldwide Inc")</f>
        <v>ACI Worldwide Inc</v>
      </c>
      <c r="C21" t="s">
        <v>1804</v>
      </c>
      <c r="D21">
        <v>20.260000000000002</v>
      </c>
      <c r="E21">
        <v>0</v>
      </c>
      <c r="F21" t="s">
        <v>1798</v>
      </c>
      <c r="G21" t="s">
        <v>1798</v>
      </c>
      <c r="H21">
        <v>0</v>
      </c>
      <c r="I21">
        <v>2200.2359999999999</v>
      </c>
      <c r="J21">
        <v>29.602109596781791</v>
      </c>
      <c r="K21">
        <v>0</v>
      </c>
      <c r="L21">
        <v>1.322615358445616</v>
      </c>
      <c r="M21">
        <v>29.14</v>
      </c>
      <c r="N21">
        <v>19.68</v>
      </c>
    </row>
    <row r="22" spans="1:14" x14ac:dyDescent="0.35">
      <c r="A22" s="1" t="s">
        <v>34</v>
      </c>
      <c r="B22" t="str">
        <f>HYPERLINK("https://www.suredividend.com/sure-analysis-research-database/","Axcelis Technologies Inc")</f>
        <v>Axcelis Technologies Inc</v>
      </c>
      <c r="C22" t="s">
        <v>1804</v>
      </c>
      <c r="D22">
        <v>160.37</v>
      </c>
      <c r="E22">
        <v>0</v>
      </c>
      <c r="F22" t="s">
        <v>1798</v>
      </c>
      <c r="G22" t="s">
        <v>1798</v>
      </c>
      <c r="H22">
        <v>0</v>
      </c>
      <c r="I22">
        <v>5262.936702</v>
      </c>
      <c r="J22">
        <v>25.479960018203649</v>
      </c>
      <c r="K22">
        <v>0</v>
      </c>
      <c r="L22">
        <v>1.708161038907136</v>
      </c>
      <c r="M22">
        <v>201</v>
      </c>
      <c r="N22">
        <v>49.78</v>
      </c>
    </row>
    <row r="23" spans="1:14" x14ac:dyDescent="0.35">
      <c r="A23" s="1" t="s">
        <v>35</v>
      </c>
      <c r="B23" t="str">
        <f>HYPERLINK("https://www.suredividend.com/sure-analysis-research-database/","Arcellx Inc")</f>
        <v>Arcellx Inc</v>
      </c>
      <c r="C23" t="s">
        <v>1798</v>
      </c>
      <c r="D23">
        <v>33.130000000000003</v>
      </c>
      <c r="E23">
        <v>0</v>
      </c>
      <c r="F23" t="s">
        <v>1798</v>
      </c>
      <c r="G23" t="s">
        <v>1798</v>
      </c>
      <c r="H23">
        <v>0</v>
      </c>
      <c r="I23">
        <v>1602.133041</v>
      </c>
      <c r="J23">
        <v>0</v>
      </c>
      <c r="K23" t="s">
        <v>1798</v>
      </c>
      <c r="L23">
        <v>0.68374139706996806</v>
      </c>
      <c r="M23">
        <v>48.92</v>
      </c>
      <c r="N23">
        <v>17.559999999999999</v>
      </c>
    </row>
    <row r="24" spans="1:14" x14ac:dyDescent="0.35">
      <c r="A24" s="1" t="s">
        <v>36</v>
      </c>
      <c r="B24" t="str">
        <f>HYPERLINK("https://www.suredividend.com/sure-analysis-research-database/","ACM Research Inc")</f>
        <v>ACM Research Inc</v>
      </c>
      <c r="C24" t="s">
        <v>1804</v>
      </c>
      <c r="D24">
        <v>19</v>
      </c>
      <c r="E24">
        <v>0</v>
      </c>
      <c r="F24" t="s">
        <v>1798</v>
      </c>
      <c r="G24" t="s">
        <v>1798</v>
      </c>
      <c r="H24">
        <v>0</v>
      </c>
      <c r="I24">
        <v>1045.0133949999999</v>
      </c>
      <c r="J24">
        <v>15.6478953476184</v>
      </c>
      <c r="K24">
        <v>0</v>
      </c>
      <c r="L24">
        <v>2.2116002331780891</v>
      </c>
      <c r="M24">
        <v>20.87</v>
      </c>
      <c r="N24">
        <v>5.46</v>
      </c>
    </row>
    <row r="25" spans="1:14" x14ac:dyDescent="0.35">
      <c r="A25" s="1" t="s">
        <v>37</v>
      </c>
      <c r="B25" t="str">
        <f>HYPERLINK("https://www.suredividend.com/sure-analysis-research-database/","ACNB Corp.")</f>
        <v>ACNB Corp.</v>
      </c>
      <c r="C25" t="s">
        <v>1801</v>
      </c>
      <c r="D25">
        <v>32.92</v>
      </c>
      <c r="E25">
        <v>3.3231320658389997E-2</v>
      </c>
      <c r="F25">
        <v>7.6923076923077094E-2</v>
      </c>
      <c r="G25">
        <v>4.0126207180960938E-2</v>
      </c>
      <c r="H25">
        <v>1.093975076074198</v>
      </c>
      <c r="I25">
        <v>281.93616300000002</v>
      </c>
      <c r="J25">
        <v>0</v>
      </c>
      <c r="K25" t="s">
        <v>1798</v>
      </c>
      <c r="L25">
        <v>0.81994480505263312</v>
      </c>
      <c r="M25">
        <v>39.56</v>
      </c>
      <c r="N25">
        <v>26.07</v>
      </c>
    </row>
    <row r="26" spans="1:14" x14ac:dyDescent="0.35">
      <c r="A26" s="1" t="s">
        <v>38</v>
      </c>
      <c r="B26" t="str">
        <f>HYPERLINK("https://www.suredividend.com/sure-analysis-ACRE/","Ares Commercial Real Estate Corp")</f>
        <v>Ares Commercial Real Estate Corp</v>
      </c>
      <c r="C26" t="s">
        <v>1800</v>
      </c>
      <c r="D26">
        <v>9.27</v>
      </c>
      <c r="E26">
        <v>0.14239482200647249</v>
      </c>
      <c r="F26">
        <v>0</v>
      </c>
      <c r="G26">
        <v>0</v>
      </c>
      <c r="H26">
        <v>1.3110356065422679</v>
      </c>
      <c r="I26">
        <v>501.84325100000001</v>
      </c>
      <c r="J26" t="s">
        <v>1798</v>
      </c>
      <c r="K26" t="s">
        <v>1798</v>
      </c>
      <c r="L26">
        <v>1.340261597299887</v>
      </c>
      <c r="M26">
        <v>11.49</v>
      </c>
      <c r="N26">
        <v>7.03</v>
      </c>
    </row>
    <row r="27" spans="1:14" x14ac:dyDescent="0.35">
      <c r="A27" s="1" t="s">
        <v>39</v>
      </c>
      <c r="B27" t="str">
        <f>HYPERLINK("https://www.suredividend.com/sure-analysis-research-database/","Aclaris Therapeutics Inc")</f>
        <v>Aclaris Therapeutics Inc</v>
      </c>
      <c r="C27" t="s">
        <v>1803</v>
      </c>
      <c r="D27">
        <v>5.32</v>
      </c>
      <c r="E27">
        <v>0</v>
      </c>
      <c r="F27" t="s">
        <v>1798</v>
      </c>
      <c r="G27" t="s">
        <v>1798</v>
      </c>
      <c r="H27">
        <v>0</v>
      </c>
      <c r="I27">
        <v>376.62749500000001</v>
      </c>
      <c r="J27" t="s">
        <v>1798</v>
      </c>
      <c r="K27">
        <v>0</v>
      </c>
      <c r="L27">
        <v>0.92692956145872707</v>
      </c>
      <c r="M27">
        <v>18.96</v>
      </c>
      <c r="N27">
        <v>5.18</v>
      </c>
    </row>
    <row r="28" spans="1:14" x14ac:dyDescent="0.35">
      <c r="A28" s="1" t="s">
        <v>40</v>
      </c>
      <c r="B28" t="str">
        <f>HYPERLINK("https://www.suredividend.com/sure-analysis-research-database/","Acrivon Therapeutics Inc")</f>
        <v>Acrivon Therapeutics Inc</v>
      </c>
      <c r="C28" t="s">
        <v>1798</v>
      </c>
      <c r="D28">
        <v>6.06</v>
      </c>
      <c r="E28">
        <v>0</v>
      </c>
      <c r="F28" t="s">
        <v>1798</v>
      </c>
      <c r="G28" t="s">
        <v>1798</v>
      </c>
      <c r="H28">
        <v>0</v>
      </c>
      <c r="I28">
        <v>133.76187100000001</v>
      </c>
      <c r="J28">
        <v>0</v>
      </c>
      <c r="K28" t="s">
        <v>1798</v>
      </c>
      <c r="L28">
        <v>0.7296628611589161</v>
      </c>
      <c r="M28">
        <v>25.47</v>
      </c>
      <c r="N28">
        <v>6.02</v>
      </c>
    </row>
    <row r="29" spans="1:14" x14ac:dyDescent="0.35">
      <c r="A29" s="1" t="s">
        <v>41</v>
      </c>
      <c r="B29" t="str">
        <f>HYPERLINK("https://www.suredividend.com/sure-analysis-research-database/","Enact Holdings Inc")</f>
        <v>Enact Holdings Inc</v>
      </c>
      <c r="D29">
        <v>27.82</v>
      </c>
      <c r="E29">
        <v>2.1299423445968E-2</v>
      </c>
      <c r="F29" t="s">
        <v>1798</v>
      </c>
      <c r="G29" t="s">
        <v>1798</v>
      </c>
      <c r="H29">
        <v>0.59254996026685203</v>
      </c>
      <c r="I29">
        <v>4451.0271819999998</v>
      </c>
      <c r="J29">
        <v>6.5571997380082498</v>
      </c>
      <c r="K29">
        <v>0.14243989429491641</v>
      </c>
      <c r="L29">
        <v>0.6123452432231451</v>
      </c>
      <c r="M29">
        <v>29.41</v>
      </c>
      <c r="N29">
        <v>20.48</v>
      </c>
    </row>
    <row r="30" spans="1:14" x14ac:dyDescent="0.35">
      <c r="A30" s="1" t="s">
        <v>42</v>
      </c>
      <c r="B30" t="str">
        <f>HYPERLINK("https://www.suredividend.com/sure-analysis-research-database/","ACV Auctions Inc")</f>
        <v>ACV Auctions Inc</v>
      </c>
      <c r="C30" t="s">
        <v>1798</v>
      </c>
      <c r="D30">
        <v>13.78</v>
      </c>
      <c r="E30">
        <v>0</v>
      </c>
      <c r="F30" t="s">
        <v>1798</v>
      </c>
      <c r="G30" t="s">
        <v>1798</v>
      </c>
      <c r="H30">
        <v>0</v>
      </c>
      <c r="I30">
        <v>1861.580575</v>
      </c>
      <c r="J30" t="s">
        <v>1798</v>
      </c>
      <c r="K30">
        <v>0</v>
      </c>
      <c r="L30">
        <v>1.9553659121579661</v>
      </c>
      <c r="M30">
        <v>18.68</v>
      </c>
      <c r="N30">
        <v>6.51</v>
      </c>
    </row>
    <row r="31" spans="1:14" x14ac:dyDescent="0.35">
      <c r="A31" s="1" t="s">
        <v>43</v>
      </c>
      <c r="B31" t="str">
        <f>HYPERLINK("https://www.suredividend.com/sure-analysis-ADC/","Agree Realty Corp.")</f>
        <v>Agree Realty Corp.</v>
      </c>
      <c r="C31" t="s">
        <v>1800</v>
      </c>
      <c r="D31">
        <v>54.9</v>
      </c>
      <c r="E31">
        <v>5.318761384335155E-2</v>
      </c>
      <c r="F31">
        <v>0</v>
      </c>
      <c r="G31">
        <v>1.371549124416771E-2</v>
      </c>
      <c r="H31">
        <v>2.838628986422874</v>
      </c>
      <c r="I31">
        <v>5285.1621160000004</v>
      </c>
      <c r="J31">
        <v>34.091881516768048</v>
      </c>
      <c r="K31">
        <v>1.6220737065273561</v>
      </c>
      <c r="L31">
        <v>0.51206519742860401</v>
      </c>
      <c r="M31">
        <v>73.47</v>
      </c>
      <c r="N31">
        <v>53.44</v>
      </c>
    </row>
    <row r="32" spans="1:14" x14ac:dyDescent="0.35">
      <c r="A32" s="1" t="s">
        <v>44</v>
      </c>
      <c r="B32" t="str">
        <f>HYPERLINK("https://www.suredividend.com/sure-analysis-research-database/","Adeia Inc")</f>
        <v>Adeia Inc</v>
      </c>
      <c r="C32" t="s">
        <v>1798</v>
      </c>
      <c r="D32">
        <v>8.4499999999999993</v>
      </c>
      <c r="E32">
        <v>2.3329315164787E-2</v>
      </c>
      <c r="F32" t="s">
        <v>1798</v>
      </c>
      <c r="G32" t="s">
        <v>1798</v>
      </c>
      <c r="H32">
        <v>0.19713271314245501</v>
      </c>
      <c r="I32">
        <v>902.06611999999996</v>
      </c>
      <c r="J32">
        <v>0</v>
      </c>
      <c r="K32" t="s">
        <v>1798</v>
      </c>
      <c r="L32">
        <v>0.60856597818730507</v>
      </c>
      <c r="M32">
        <v>12.24</v>
      </c>
      <c r="N32">
        <v>6.97</v>
      </c>
    </row>
    <row r="33" spans="1:14" x14ac:dyDescent="0.35">
      <c r="A33" s="1" t="s">
        <v>45</v>
      </c>
      <c r="B33" t="str">
        <f>HYPERLINK("https://www.suredividend.com/sure-analysis-research-database/","Adma Biologics Inc")</f>
        <v>Adma Biologics Inc</v>
      </c>
      <c r="C33" t="s">
        <v>1803</v>
      </c>
      <c r="D33">
        <v>3.21</v>
      </c>
      <c r="E33">
        <v>0</v>
      </c>
      <c r="F33" t="s">
        <v>1798</v>
      </c>
      <c r="G33" t="s">
        <v>1798</v>
      </c>
      <c r="H33">
        <v>0</v>
      </c>
      <c r="I33">
        <v>721.94962699999996</v>
      </c>
      <c r="J33">
        <v>0</v>
      </c>
      <c r="K33" t="s">
        <v>1798</v>
      </c>
      <c r="L33">
        <v>1.504423657325783</v>
      </c>
      <c r="M33">
        <v>4.6500000000000004</v>
      </c>
      <c r="N33">
        <v>2.4700000000000002</v>
      </c>
    </row>
    <row r="34" spans="1:14" x14ac:dyDescent="0.35">
      <c r="A34" s="1" t="s">
        <v>46</v>
      </c>
      <c r="B34" t="str">
        <f>HYPERLINK("https://www.suredividend.com/sure-analysis-research-database/","Adient plc")</f>
        <v>Adient plc</v>
      </c>
      <c r="C34" t="s">
        <v>1802</v>
      </c>
      <c r="D34">
        <v>35.51</v>
      </c>
      <c r="E34">
        <v>0</v>
      </c>
      <c r="F34" t="s">
        <v>1798</v>
      </c>
      <c r="G34" t="s">
        <v>1798</v>
      </c>
      <c r="H34">
        <v>0</v>
      </c>
      <c r="I34">
        <v>3362.8680199999999</v>
      </c>
      <c r="J34">
        <v>29.242330608695649</v>
      </c>
      <c r="K34">
        <v>0</v>
      </c>
      <c r="L34">
        <v>1.605890941910656</v>
      </c>
      <c r="M34">
        <v>47.5</v>
      </c>
      <c r="N34">
        <v>30.19</v>
      </c>
    </row>
    <row r="35" spans="1:14" x14ac:dyDescent="0.35">
      <c r="A35" s="1" t="s">
        <v>47</v>
      </c>
      <c r="B35" t="str">
        <f>HYPERLINK("https://www.suredividend.com/sure-analysis-research-database/","Adaptive Biotechnologies Corp")</f>
        <v>Adaptive Biotechnologies Corp</v>
      </c>
      <c r="C35" t="s">
        <v>1803</v>
      </c>
      <c r="D35">
        <v>4.2850000000000001</v>
      </c>
      <c r="E35">
        <v>0</v>
      </c>
      <c r="F35" t="s">
        <v>1798</v>
      </c>
      <c r="G35" t="s">
        <v>1798</v>
      </c>
      <c r="H35">
        <v>0</v>
      </c>
      <c r="I35">
        <v>619.80433100000005</v>
      </c>
      <c r="J35" t="s">
        <v>1798</v>
      </c>
      <c r="K35">
        <v>0</v>
      </c>
      <c r="L35">
        <v>2.5279608826560769</v>
      </c>
      <c r="M35">
        <v>10.79</v>
      </c>
      <c r="N35">
        <v>4.28</v>
      </c>
    </row>
    <row r="36" spans="1:14" x14ac:dyDescent="0.35">
      <c r="A36" s="1" t="s">
        <v>48</v>
      </c>
      <c r="B36" t="str">
        <f>HYPERLINK("https://www.suredividend.com/sure-analysis-research-database/","AdTheorent Holding Company Inc")</f>
        <v>AdTheorent Holding Company Inc</v>
      </c>
      <c r="C36" t="s">
        <v>1798</v>
      </c>
      <c r="D36">
        <v>1.17</v>
      </c>
      <c r="E36">
        <v>0</v>
      </c>
      <c r="F36" t="s">
        <v>1798</v>
      </c>
      <c r="G36" t="s">
        <v>1798</v>
      </c>
      <c r="H36">
        <v>0</v>
      </c>
      <c r="I36">
        <v>103.19977299999999</v>
      </c>
      <c r="J36">
        <v>6.3861245532178206</v>
      </c>
      <c r="K36">
        <v>0</v>
      </c>
      <c r="L36">
        <v>0.78608731840314805</v>
      </c>
      <c r="M36">
        <v>2.59</v>
      </c>
      <c r="N36">
        <v>1.1499999999999999</v>
      </c>
    </row>
    <row r="37" spans="1:14" x14ac:dyDescent="0.35">
      <c r="A37" s="1" t="s">
        <v>49</v>
      </c>
      <c r="B37" t="str">
        <f>HYPERLINK("https://www.suredividend.com/sure-analysis-research-database/","ADTRAN Holdings Inc")</f>
        <v>ADTRAN Holdings Inc</v>
      </c>
      <c r="C37" t="s">
        <v>1804</v>
      </c>
      <c r="D37">
        <v>7.3</v>
      </c>
      <c r="E37">
        <v>4.8345289321316001E-2</v>
      </c>
      <c r="F37">
        <v>0</v>
      </c>
      <c r="G37">
        <v>0</v>
      </c>
      <c r="H37">
        <v>0.35292061204560898</v>
      </c>
      <c r="I37">
        <v>574.37735199999997</v>
      </c>
      <c r="J37">
        <v>0</v>
      </c>
      <c r="K37" t="s">
        <v>1798</v>
      </c>
      <c r="L37">
        <v>1.2671748084337611</v>
      </c>
      <c r="M37">
        <v>22.27</v>
      </c>
      <c r="N37">
        <v>6.92</v>
      </c>
    </row>
    <row r="38" spans="1:14" x14ac:dyDescent="0.35">
      <c r="A38" s="1" t="s">
        <v>50</v>
      </c>
      <c r="B38" t="str">
        <f>HYPERLINK("https://www.suredividend.com/sure-analysis-research-database/","Addus HomeCare Corporation")</f>
        <v>Addus HomeCare Corporation</v>
      </c>
      <c r="C38" t="s">
        <v>1803</v>
      </c>
      <c r="D38">
        <v>80.27</v>
      </c>
      <c r="E38">
        <v>0</v>
      </c>
      <c r="F38" t="s">
        <v>1798</v>
      </c>
      <c r="G38" t="s">
        <v>1798</v>
      </c>
      <c r="H38">
        <v>0</v>
      </c>
      <c r="I38">
        <v>1300.374</v>
      </c>
      <c r="J38">
        <v>24.156152474364688</v>
      </c>
      <c r="K38">
        <v>0</v>
      </c>
      <c r="L38">
        <v>0.54749906342092303</v>
      </c>
      <c r="M38">
        <v>114.99</v>
      </c>
      <c r="N38">
        <v>77.3</v>
      </c>
    </row>
    <row r="39" spans="1:14" x14ac:dyDescent="0.35">
      <c r="A39" s="1" t="s">
        <v>51</v>
      </c>
      <c r="B39" t="str">
        <f>HYPERLINK("https://www.suredividend.com/sure-analysis-research-database/","Advantage Solutions Inc.")</f>
        <v>Advantage Solutions Inc.</v>
      </c>
      <c r="C39" t="s">
        <v>1798</v>
      </c>
      <c r="D39">
        <v>2.87</v>
      </c>
      <c r="E39">
        <v>0</v>
      </c>
      <c r="F39" t="s">
        <v>1798</v>
      </c>
      <c r="G39" t="s">
        <v>1798</v>
      </c>
      <c r="H39">
        <v>0</v>
      </c>
      <c r="I39">
        <v>931.45691599999998</v>
      </c>
      <c r="J39" t="s">
        <v>1798</v>
      </c>
      <c r="K39">
        <v>0</v>
      </c>
      <c r="L39">
        <v>0.87027871516927702</v>
      </c>
      <c r="M39">
        <v>3.55</v>
      </c>
      <c r="N39">
        <v>1.1299999999999999</v>
      </c>
    </row>
    <row r="40" spans="1:14" x14ac:dyDescent="0.35">
      <c r="A40" s="1" t="s">
        <v>52</v>
      </c>
      <c r="B40" t="str">
        <f>HYPERLINK("https://www.suredividend.com/sure-analysis-research-database/","Advanced Energy Industries Inc.")</f>
        <v>Advanced Energy Industries Inc.</v>
      </c>
      <c r="C40" t="s">
        <v>1799</v>
      </c>
      <c r="D40">
        <v>95.26</v>
      </c>
      <c r="E40">
        <v>4.1905215625770006E-3</v>
      </c>
      <c r="F40" t="s">
        <v>1798</v>
      </c>
      <c r="G40" t="s">
        <v>1798</v>
      </c>
      <c r="H40">
        <v>0.39918908405115899</v>
      </c>
      <c r="I40">
        <v>5513.3247250000004</v>
      </c>
      <c r="J40">
        <v>31.33051505333205</v>
      </c>
      <c r="K40">
        <v>8.5662893573210094E-2</v>
      </c>
      <c r="L40">
        <v>1.430786892203896</v>
      </c>
      <c r="M40">
        <v>126.27</v>
      </c>
      <c r="N40">
        <v>69.05</v>
      </c>
    </row>
    <row r="41" spans="1:14" x14ac:dyDescent="0.35">
      <c r="A41" s="1" t="s">
        <v>53</v>
      </c>
      <c r="B41" t="str">
        <f>HYPERLINK("https://www.suredividend.com/sure-analysis-AEL/","American Equity Investment Life Holding Co")</f>
        <v>American Equity Investment Life Holding Co</v>
      </c>
      <c r="C41" t="s">
        <v>1801</v>
      </c>
      <c r="D41">
        <v>53.31</v>
      </c>
      <c r="E41">
        <v>7.1281185518664424E-3</v>
      </c>
      <c r="F41" t="s">
        <v>1798</v>
      </c>
      <c r="G41" t="s">
        <v>1798</v>
      </c>
      <c r="H41">
        <v>0.36000001430511402</v>
      </c>
      <c r="I41">
        <v>4174.1729999999998</v>
      </c>
      <c r="J41">
        <v>9.2793424255560382</v>
      </c>
      <c r="K41">
        <v>6.7415733015938964E-2</v>
      </c>
      <c r="L41">
        <v>0.7712781715380701</v>
      </c>
      <c r="M41">
        <v>54.44</v>
      </c>
      <c r="N41">
        <v>28.05</v>
      </c>
    </row>
    <row r="42" spans="1:14" x14ac:dyDescent="0.35">
      <c r="A42" s="1" t="s">
        <v>54</v>
      </c>
      <c r="B42" t="str">
        <f>HYPERLINK("https://www.suredividend.com/sure-analysis-research-database/","American Eagle Outfitters Inc.")</f>
        <v>American Eagle Outfitters Inc.</v>
      </c>
      <c r="C42" t="s">
        <v>1802</v>
      </c>
      <c r="D42">
        <v>16.82</v>
      </c>
      <c r="E42">
        <v>1.7718162377377999E-2</v>
      </c>
      <c r="F42" t="s">
        <v>1798</v>
      </c>
      <c r="G42" t="s">
        <v>1798</v>
      </c>
      <c r="H42">
        <v>0.29801949118749999</v>
      </c>
      <c r="I42">
        <v>3321.6730080000002</v>
      </c>
      <c r="J42">
        <v>16.37219611228036</v>
      </c>
      <c r="K42">
        <v>0.29900621168606412</v>
      </c>
      <c r="L42">
        <v>1.401120784413721</v>
      </c>
      <c r="M42">
        <v>17.43</v>
      </c>
      <c r="N42">
        <v>9.64</v>
      </c>
    </row>
    <row r="43" spans="1:14" x14ac:dyDescent="0.35">
      <c r="A43" s="1" t="s">
        <v>55</v>
      </c>
      <c r="B43" t="str">
        <f>HYPERLINK("https://www.suredividend.com/sure-analysis-research-database/","Aeva Technologies Inc")</f>
        <v>Aeva Technologies Inc</v>
      </c>
      <c r="C43" t="s">
        <v>1798</v>
      </c>
      <c r="D43">
        <v>0.72020000000000006</v>
      </c>
      <c r="E43">
        <v>0</v>
      </c>
      <c r="F43" t="s">
        <v>1798</v>
      </c>
      <c r="G43" t="s">
        <v>1798</v>
      </c>
      <c r="H43">
        <v>0</v>
      </c>
      <c r="I43">
        <v>160.407186</v>
      </c>
      <c r="J43" t="s">
        <v>1798</v>
      </c>
      <c r="K43">
        <v>0</v>
      </c>
      <c r="L43">
        <v>2.4361867442182961</v>
      </c>
      <c r="M43">
        <v>2.38</v>
      </c>
      <c r="N43">
        <v>0.66990000000000005</v>
      </c>
    </row>
    <row r="44" spans="1:14" x14ac:dyDescent="0.35">
      <c r="A44" s="1" t="s">
        <v>56</v>
      </c>
      <c r="B44" t="str">
        <f>HYPERLINK("https://www.suredividend.com/sure-analysis-research-database/","AFC Gamma Inc")</f>
        <v>AFC Gamma Inc</v>
      </c>
      <c r="C44" t="s">
        <v>1798</v>
      </c>
      <c r="D44">
        <v>11.44</v>
      </c>
      <c r="E44">
        <v>0.16613196117659099</v>
      </c>
      <c r="F44" t="s">
        <v>1798</v>
      </c>
      <c r="G44" t="s">
        <v>1798</v>
      </c>
      <c r="H44">
        <v>1.900549635860207</v>
      </c>
      <c r="I44">
        <v>234.03605400000001</v>
      </c>
      <c r="J44">
        <v>6.3980618302565349</v>
      </c>
      <c r="K44">
        <v>1.0558609088112261</v>
      </c>
      <c r="L44">
        <v>0.84618584171357802</v>
      </c>
      <c r="M44">
        <v>14.57</v>
      </c>
      <c r="N44">
        <v>8.84</v>
      </c>
    </row>
    <row r="45" spans="1:14" x14ac:dyDescent="0.35">
      <c r="A45" s="1" t="s">
        <v>57</v>
      </c>
      <c r="B45" t="str">
        <f>HYPERLINK("https://www.suredividend.com/sure-analysis-research-database/","Affimed N.V.")</f>
        <v>Affimed N.V.</v>
      </c>
      <c r="C45" t="s">
        <v>1803</v>
      </c>
      <c r="D45">
        <v>0.3957</v>
      </c>
      <c r="E45">
        <v>0</v>
      </c>
      <c r="F45" t="s">
        <v>1798</v>
      </c>
      <c r="G45" t="s">
        <v>1798</v>
      </c>
      <c r="H45">
        <v>0</v>
      </c>
      <c r="I45">
        <v>59.093575000000001</v>
      </c>
      <c r="J45">
        <v>0</v>
      </c>
      <c r="K45" t="s">
        <v>1798</v>
      </c>
      <c r="L45">
        <v>1.3275750663550769</v>
      </c>
      <c r="M45">
        <v>2.5499999999999998</v>
      </c>
      <c r="N45">
        <v>0.3911</v>
      </c>
    </row>
    <row r="46" spans="1:14" x14ac:dyDescent="0.35">
      <c r="A46" s="1" t="s">
        <v>58</v>
      </c>
      <c r="B46" t="str">
        <f>HYPERLINK("https://www.suredividend.com/sure-analysis-research-database/","Agenus Inc")</f>
        <v>Agenus Inc</v>
      </c>
      <c r="C46" t="s">
        <v>1803</v>
      </c>
      <c r="D46">
        <v>1.05</v>
      </c>
      <c r="E46">
        <v>0</v>
      </c>
      <c r="F46" t="s">
        <v>1798</v>
      </c>
      <c r="G46" t="s">
        <v>1798</v>
      </c>
      <c r="H46">
        <v>0</v>
      </c>
      <c r="I46">
        <v>398.55079599999999</v>
      </c>
      <c r="J46" t="s">
        <v>1798</v>
      </c>
      <c r="K46">
        <v>0</v>
      </c>
      <c r="L46">
        <v>1.834476264002908</v>
      </c>
      <c r="M46">
        <v>3.24</v>
      </c>
      <c r="N46">
        <v>1</v>
      </c>
    </row>
    <row r="47" spans="1:14" x14ac:dyDescent="0.35">
      <c r="A47" s="1" t="s">
        <v>59</v>
      </c>
      <c r="B47" t="str">
        <f>HYPERLINK("https://www.suredividend.com/sure-analysis-research-database/","Agios Pharmaceuticals Inc")</f>
        <v>Agios Pharmaceuticals Inc</v>
      </c>
      <c r="C47" t="s">
        <v>1803</v>
      </c>
      <c r="D47">
        <v>23.12</v>
      </c>
      <c r="E47">
        <v>0</v>
      </c>
      <c r="F47" t="s">
        <v>1798</v>
      </c>
      <c r="G47" t="s">
        <v>1798</v>
      </c>
      <c r="H47">
        <v>0</v>
      </c>
      <c r="I47">
        <v>1288.692755</v>
      </c>
      <c r="J47">
        <v>0.80458564244529907</v>
      </c>
      <c r="K47">
        <v>0</v>
      </c>
      <c r="L47">
        <v>1.246628113581538</v>
      </c>
      <c r="M47">
        <v>31.87</v>
      </c>
      <c r="N47">
        <v>21.07</v>
      </c>
    </row>
    <row r="48" spans="1:14" x14ac:dyDescent="0.35">
      <c r="A48" s="1" t="s">
        <v>60</v>
      </c>
      <c r="B48" t="str">
        <f>HYPERLINK("https://www.suredividend.com/sure-analysis-AGM/","Federal Agricultural Mortgage Corp.")</f>
        <v>Federal Agricultural Mortgage Corp.</v>
      </c>
      <c r="C48" t="s">
        <v>1801</v>
      </c>
      <c r="D48">
        <v>145.94</v>
      </c>
      <c r="E48">
        <v>3.0149376456077841E-2</v>
      </c>
      <c r="F48">
        <v>0.15789473684210531</v>
      </c>
      <c r="G48">
        <v>0.1365614939721804</v>
      </c>
      <c r="H48">
        <v>4.2062397671787943</v>
      </c>
      <c r="I48">
        <v>1482.0469479999999</v>
      </c>
      <c r="J48">
        <v>9.7828755492626769</v>
      </c>
      <c r="K48">
        <v>0.30282503723389448</v>
      </c>
      <c r="L48">
        <v>1.0137768855187841</v>
      </c>
      <c r="M48">
        <v>178.97</v>
      </c>
      <c r="N48">
        <v>101.58</v>
      </c>
    </row>
    <row r="49" spans="1:14" x14ac:dyDescent="0.35">
      <c r="A49" s="1" t="s">
        <v>61</v>
      </c>
      <c r="B49" t="str">
        <f>HYPERLINK("https://www.suredividend.com/sure-analysis-research-database/","Agiliti Inc")</f>
        <v>Agiliti Inc</v>
      </c>
      <c r="C49" t="s">
        <v>1798</v>
      </c>
      <c r="D49">
        <v>5.41</v>
      </c>
      <c r="E49">
        <v>0</v>
      </c>
      <c r="F49" t="s">
        <v>1798</v>
      </c>
      <c r="G49" t="s">
        <v>1798</v>
      </c>
      <c r="H49">
        <v>0</v>
      </c>
      <c r="I49">
        <v>730.66705300000001</v>
      </c>
      <c r="J49">
        <v>169.5676614179624</v>
      </c>
      <c r="K49">
        <v>0</v>
      </c>
      <c r="L49">
        <v>1.2006152643915251</v>
      </c>
      <c r="M49">
        <v>20.170000000000002</v>
      </c>
      <c r="N49">
        <v>5.24</v>
      </c>
    </row>
    <row r="50" spans="1:14" x14ac:dyDescent="0.35">
      <c r="A50" s="1" t="s">
        <v>62</v>
      </c>
      <c r="B50" t="str">
        <f>HYPERLINK("https://www.suredividend.com/sure-analysis-research-database/","Argan, Inc.")</f>
        <v>Argan, Inc.</v>
      </c>
      <c r="C50" t="s">
        <v>1799</v>
      </c>
      <c r="D50">
        <v>45.9</v>
      </c>
      <c r="E50">
        <v>2.1576943575686E-2</v>
      </c>
      <c r="F50">
        <v>0</v>
      </c>
      <c r="G50">
        <v>0</v>
      </c>
      <c r="H50">
        <v>0.99038171012400811</v>
      </c>
      <c r="I50">
        <v>611.32617300000004</v>
      </c>
      <c r="J50">
        <v>16.856265274216231</v>
      </c>
      <c r="K50">
        <v>0.37232395117443912</v>
      </c>
      <c r="L50">
        <v>0.58306005084532309</v>
      </c>
      <c r="M50">
        <v>47.8</v>
      </c>
      <c r="N50">
        <v>31.03</v>
      </c>
    </row>
    <row r="51" spans="1:14" x14ac:dyDescent="0.35">
      <c r="A51" s="1" t="s">
        <v>63</v>
      </c>
      <c r="B51" t="str">
        <f>HYPERLINK("https://www.suredividend.com/sure-analysis-research-database/","Agilysys, Inc")</f>
        <v>Agilysys, Inc</v>
      </c>
      <c r="C51" t="s">
        <v>1804</v>
      </c>
      <c r="D51">
        <v>66.47</v>
      </c>
      <c r="E51">
        <v>0</v>
      </c>
      <c r="F51" t="s">
        <v>1798</v>
      </c>
      <c r="G51" t="s">
        <v>1798</v>
      </c>
      <c r="H51">
        <v>0</v>
      </c>
      <c r="I51">
        <v>1685.2749289999999</v>
      </c>
      <c r="J51">
        <v>149.73566676677029</v>
      </c>
      <c r="K51">
        <v>0</v>
      </c>
      <c r="L51">
        <v>0.52838648038422009</v>
      </c>
      <c r="M51">
        <v>88.16</v>
      </c>
      <c r="N51">
        <v>52.25</v>
      </c>
    </row>
    <row r="52" spans="1:14" x14ac:dyDescent="0.35">
      <c r="A52" s="1" t="s">
        <v>64</v>
      </c>
      <c r="B52" t="str">
        <f>HYPERLINK("https://www.suredividend.com/sure-analysis-research-database/","AdaptHealth Corp")</f>
        <v>AdaptHealth Corp</v>
      </c>
      <c r="C52" t="s">
        <v>1803</v>
      </c>
      <c r="D52">
        <v>7.44</v>
      </c>
      <c r="E52">
        <v>0</v>
      </c>
      <c r="F52" t="s">
        <v>1798</v>
      </c>
      <c r="G52" t="s">
        <v>1798</v>
      </c>
      <c r="H52">
        <v>0</v>
      </c>
      <c r="I52">
        <v>1012.6287139999999</v>
      </c>
      <c r="J52">
        <v>25.594053188424109</v>
      </c>
      <c r="K52">
        <v>0</v>
      </c>
      <c r="L52">
        <v>1.2162846464728689</v>
      </c>
      <c r="M52">
        <v>23.3</v>
      </c>
      <c r="N52">
        <v>7.31</v>
      </c>
    </row>
    <row r="53" spans="1:14" x14ac:dyDescent="0.35">
      <c r="A53" s="1" t="s">
        <v>65</v>
      </c>
      <c r="B53" t="str">
        <f>HYPERLINK("https://www.suredividend.com/sure-analysis-research-database/","Armada Hoffler Properties Inc")</f>
        <v>Armada Hoffler Properties Inc</v>
      </c>
      <c r="C53" t="s">
        <v>1800</v>
      </c>
      <c r="D53">
        <v>10.35</v>
      </c>
      <c r="E53">
        <v>7.2491565578433004E-2</v>
      </c>
      <c r="F53" t="s">
        <v>1798</v>
      </c>
      <c r="G53" t="s">
        <v>1798</v>
      </c>
      <c r="H53">
        <v>0.75028770373678311</v>
      </c>
      <c r="I53">
        <v>703.24931800000002</v>
      </c>
      <c r="J53">
        <v>15.416048882020251</v>
      </c>
      <c r="K53">
        <v>1.1150062471939119</v>
      </c>
      <c r="L53">
        <v>1.0544360139093709</v>
      </c>
      <c r="M53">
        <v>13.04</v>
      </c>
      <c r="N53">
        <v>9.93</v>
      </c>
    </row>
    <row r="54" spans="1:14" x14ac:dyDescent="0.35">
      <c r="A54" s="1" t="s">
        <v>66</v>
      </c>
      <c r="B54" t="str">
        <f>HYPERLINK("https://www.suredividend.com/sure-analysis-research-database/","Ashford Hospitality Trust Inc")</f>
        <v>Ashford Hospitality Trust Inc</v>
      </c>
      <c r="C54" t="s">
        <v>1800</v>
      </c>
      <c r="D54">
        <v>2.2000000000000002</v>
      </c>
      <c r="E54">
        <v>0</v>
      </c>
      <c r="F54" t="s">
        <v>1798</v>
      </c>
      <c r="G54" t="s">
        <v>1798</v>
      </c>
      <c r="H54">
        <v>0</v>
      </c>
      <c r="I54">
        <v>75.885356999999999</v>
      </c>
      <c r="J54" t="s">
        <v>1798</v>
      </c>
      <c r="K54">
        <v>0</v>
      </c>
      <c r="L54">
        <v>2.0484789711161628</v>
      </c>
      <c r="M54">
        <v>8.43</v>
      </c>
      <c r="N54">
        <v>2.06</v>
      </c>
    </row>
    <row r="55" spans="1:14" x14ac:dyDescent="0.35">
      <c r="A55" s="1" t="s">
        <v>67</v>
      </c>
      <c r="B55" t="str">
        <f>HYPERLINK("https://www.suredividend.com/sure-analysis-research-database/","C3.ai Inc")</f>
        <v>C3.ai Inc</v>
      </c>
      <c r="C55" t="s">
        <v>1800</v>
      </c>
      <c r="D55">
        <v>24.75</v>
      </c>
      <c r="E55">
        <v>0</v>
      </c>
      <c r="F55" t="s">
        <v>1798</v>
      </c>
      <c r="G55" t="s">
        <v>1798</v>
      </c>
      <c r="H55">
        <v>0</v>
      </c>
      <c r="I55">
        <v>2838.8688569999999</v>
      </c>
      <c r="J55" t="s">
        <v>1798</v>
      </c>
      <c r="K55">
        <v>0</v>
      </c>
      <c r="L55">
        <v>2.9271363909247148</v>
      </c>
      <c r="M55">
        <v>48.87</v>
      </c>
      <c r="N55">
        <v>10.16</v>
      </c>
    </row>
    <row r="56" spans="1:14" x14ac:dyDescent="0.35">
      <c r="A56" s="1" t="s">
        <v>68</v>
      </c>
      <c r="B56" t="str">
        <f>HYPERLINK("https://www.suredividend.com/sure-analysis-research-database/","Albany International Corp.")</f>
        <v>Albany International Corp.</v>
      </c>
      <c r="C56" t="s">
        <v>1802</v>
      </c>
      <c r="D56">
        <v>84.55</v>
      </c>
      <c r="E56">
        <v>1.1778366263554999E-2</v>
      </c>
      <c r="F56">
        <v>0.19047619047619049</v>
      </c>
      <c r="G56">
        <v>6.790716584560208E-2</v>
      </c>
      <c r="H56">
        <v>0.99586086758364112</v>
      </c>
      <c r="I56">
        <v>2636.2234279999998</v>
      </c>
      <c r="J56">
        <v>31.998827790859981</v>
      </c>
      <c r="K56">
        <v>0.37722002559986412</v>
      </c>
      <c r="L56">
        <v>0.94895537550705711</v>
      </c>
      <c r="M56">
        <v>114.43</v>
      </c>
      <c r="N56">
        <v>81.84</v>
      </c>
    </row>
    <row r="57" spans="1:14" x14ac:dyDescent="0.35">
      <c r="A57" s="1" t="s">
        <v>69</v>
      </c>
      <c r="B57" t="str">
        <f>HYPERLINK("https://www.suredividend.com/sure-analysis-research-database/","Arteris Inc")</f>
        <v>Arteris Inc</v>
      </c>
      <c r="C57" t="s">
        <v>1798</v>
      </c>
      <c r="D57">
        <v>5.96</v>
      </c>
      <c r="E57">
        <v>0</v>
      </c>
      <c r="F57" t="s">
        <v>1798</v>
      </c>
      <c r="G57" t="s">
        <v>1798</v>
      </c>
      <c r="H57">
        <v>0</v>
      </c>
      <c r="I57">
        <v>214.99983599999999</v>
      </c>
      <c r="J57" t="s">
        <v>1798</v>
      </c>
      <c r="K57">
        <v>0</v>
      </c>
      <c r="L57">
        <v>1.785307755147054</v>
      </c>
      <c r="M57">
        <v>8.08</v>
      </c>
      <c r="N57">
        <v>3.27</v>
      </c>
    </row>
    <row r="58" spans="1:14" x14ac:dyDescent="0.35">
      <c r="A58" s="1" t="s">
        <v>70</v>
      </c>
      <c r="B58" t="str">
        <f>HYPERLINK("https://www.suredividend.com/sure-analysis-research-database/","AAR Corp.")</f>
        <v>AAR Corp.</v>
      </c>
      <c r="C58" t="s">
        <v>1799</v>
      </c>
      <c r="D58">
        <v>58.07</v>
      </c>
      <c r="E58">
        <v>0</v>
      </c>
      <c r="F58" t="s">
        <v>1798</v>
      </c>
      <c r="G58" t="s">
        <v>1798</v>
      </c>
      <c r="H58">
        <v>0</v>
      </c>
      <c r="I58">
        <v>2049.5804760000001</v>
      </c>
      <c r="J58">
        <v>30.6364794587444</v>
      </c>
      <c r="K58">
        <v>0</v>
      </c>
      <c r="L58">
        <v>0.9126304030837521</v>
      </c>
      <c r="M58">
        <v>63.88</v>
      </c>
      <c r="N58">
        <v>38.9</v>
      </c>
    </row>
    <row r="59" spans="1:14" x14ac:dyDescent="0.35">
      <c r="A59" s="1" t="s">
        <v>71</v>
      </c>
      <c r="B59" t="str">
        <f>HYPERLINK("https://www.suredividend.com/sure-analysis-research-database/","Airsculpt Technologies Inc")</f>
        <v>Airsculpt Technologies Inc</v>
      </c>
      <c r="C59" t="s">
        <v>1798</v>
      </c>
      <c r="D59">
        <v>6.2549999999999999</v>
      </c>
      <c r="E59">
        <v>0</v>
      </c>
      <c r="F59" t="s">
        <v>1798</v>
      </c>
      <c r="G59" t="s">
        <v>1798</v>
      </c>
      <c r="H59">
        <v>0</v>
      </c>
      <c r="I59">
        <v>355.189975</v>
      </c>
      <c r="J59" t="s">
        <v>1798</v>
      </c>
      <c r="K59">
        <v>0</v>
      </c>
      <c r="L59">
        <v>1.5909562328171329</v>
      </c>
      <c r="M59">
        <v>9.94</v>
      </c>
      <c r="N59">
        <v>2.69</v>
      </c>
    </row>
    <row r="60" spans="1:14" x14ac:dyDescent="0.35">
      <c r="A60" s="1" t="s">
        <v>72</v>
      </c>
      <c r="B60" t="str">
        <f>HYPERLINK("https://www.suredividend.com/sure-analysis-AIT/","Applied Industrial Technologies Inc.")</f>
        <v>Applied Industrial Technologies Inc.</v>
      </c>
      <c r="C60" t="s">
        <v>1799</v>
      </c>
      <c r="D60">
        <v>159.43</v>
      </c>
      <c r="E60">
        <v>8.7812833218340325E-3</v>
      </c>
      <c r="F60">
        <v>2.941176470588247E-2</v>
      </c>
      <c r="G60">
        <v>2.4569138363080611E-2</v>
      </c>
      <c r="H60">
        <v>1.384903491137722</v>
      </c>
      <c r="I60">
        <v>6177.5364049999998</v>
      </c>
      <c r="J60">
        <v>17.816099154205329</v>
      </c>
      <c r="K60">
        <v>0.15666329085268349</v>
      </c>
      <c r="L60">
        <v>0.98446507926655613</v>
      </c>
      <c r="M60">
        <v>163.61000000000001</v>
      </c>
      <c r="N60">
        <v>106.54</v>
      </c>
    </row>
    <row r="61" spans="1:14" x14ac:dyDescent="0.35">
      <c r="A61" s="1" t="s">
        <v>73</v>
      </c>
      <c r="B61" t="str">
        <f>HYPERLINK("https://www.suredividend.com/sure-analysis-research-database/","Apartment Investment &amp; Management Co.")</f>
        <v>Apartment Investment &amp; Management Co.</v>
      </c>
      <c r="C61" t="s">
        <v>1800</v>
      </c>
      <c r="D61">
        <v>6.57</v>
      </c>
      <c r="E61">
        <v>0</v>
      </c>
      <c r="F61" t="s">
        <v>1798</v>
      </c>
      <c r="G61" t="s">
        <v>1798</v>
      </c>
      <c r="H61">
        <v>0</v>
      </c>
      <c r="I61">
        <v>971.233521</v>
      </c>
      <c r="J61" t="s">
        <v>1798</v>
      </c>
      <c r="K61">
        <v>0</v>
      </c>
      <c r="L61">
        <v>1.1300845138595039</v>
      </c>
      <c r="M61">
        <v>8.93</v>
      </c>
      <c r="N61">
        <v>5.82</v>
      </c>
    </row>
    <row r="62" spans="1:14" x14ac:dyDescent="0.35">
      <c r="A62" s="1" t="s">
        <v>74</v>
      </c>
      <c r="B62" t="str">
        <f>HYPERLINK("https://www.suredividend.com/sure-analysis-research-database/","Aerojet Rocketdyne Holdings Inc")</f>
        <v>Aerojet Rocketdyne Holdings Inc</v>
      </c>
      <c r="C62" t="s">
        <v>1799</v>
      </c>
      <c r="D62">
        <v>57.99</v>
      </c>
      <c r="E62">
        <v>0</v>
      </c>
      <c r="F62" t="s">
        <v>1798</v>
      </c>
      <c r="G62" t="s">
        <v>1798</v>
      </c>
      <c r="H62">
        <v>0</v>
      </c>
      <c r="I62">
        <v>4683.2080889999997</v>
      </c>
      <c r="J62">
        <v>63.458104188211379</v>
      </c>
      <c r="K62">
        <v>0</v>
      </c>
      <c r="L62">
        <v>0.46933273692429611</v>
      </c>
      <c r="M62">
        <v>58.01</v>
      </c>
      <c r="N62">
        <v>39.18</v>
      </c>
    </row>
    <row r="63" spans="1:14" x14ac:dyDescent="0.35">
      <c r="A63" s="1" t="s">
        <v>75</v>
      </c>
      <c r="B63" t="str">
        <f>HYPERLINK("https://www.suredividend.com/sure-analysis-research-database/","a.k.a. Brands Holding Corp")</f>
        <v>a.k.a. Brands Holding Corp</v>
      </c>
      <c r="C63" t="s">
        <v>1798</v>
      </c>
      <c r="D63">
        <v>5.2</v>
      </c>
      <c r="E63">
        <v>0</v>
      </c>
      <c r="F63" t="s">
        <v>1798</v>
      </c>
      <c r="G63" t="s">
        <v>1798</v>
      </c>
      <c r="H63">
        <v>0</v>
      </c>
      <c r="I63">
        <v>666.69613900000002</v>
      </c>
      <c r="J63">
        <v>0</v>
      </c>
      <c r="K63" t="s">
        <v>1798</v>
      </c>
      <c r="L63">
        <v>0.72889738936819304</v>
      </c>
      <c r="M63">
        <v>25.8</v>
      </c>
      <c r="N63">
        <v>3.6</v>
      </c>
    </row>
    <row r="64" spans="1:14" x14ac:dyDescent="0.35">
      <c r="A64" s="1" t="s">
        <v>76</v>
      </c>
      <c r="B64" t="str">
        <f>HYPERLINK("https://www.suredividend.com/sure-analysis-AKR/","Acadia Realty Trust")</f>
        <v>Acadia Realty Trust</v>
      </c>
      <c r="C64" t="s">
        <v>1800</v>
      </c>
      <c r="D64">
        <v>13.96</v>
      </c>
      <c r="E64">
        <v>5.1575931232091678E-2</v>
      </c>
      <c r="F64" t="s">
        <v>1798</v>
      </c>
      <c r="G64" t="s">
        <v>1798</v>
      </c>
      <c r="H64">
        <v>0.70644172199105104</v>
      </c>
      <c r="I64">
        <v>1330.4626579999999</v>
      </c>
      <c r="J64" t="s">
        <v>1798</v>
      </c>
      <c r="K64" t="s">
        <v>1798</v>
      </c>
      <c r="L64">
        <v>1.194847853895554</v>
      </c>
      <c r="M64">
        <v>16.16</v>
      </c>
      <c r="N64">
        <v>12.05</v>
      </c>
    </row>
    <row r="65" spans="1:14" x14ac:dyDescent="0.35">
      <c r="A65" s="1" t="s">
        <v>77</v>
      </c>
      <c r="B65" t="str">
        <f>HYPERLINK("https://www.suredividend.com/sure-analysis-research-database/","Akero Therapeutics Inc")</f>
        <v>Akero Therapeutics Inc</v>
      </c>
      <c r="C65" t="s">
        <v>1803</v>
      </c>
      <c r="D65">
        <v>14.63</v>
      </c>
      <c r="E65">
        <v>0</v>
      </c>
      <c r="F65" t="s">
        <v>1798</v>
      </c>
      <c r="G65" t="s">
        <v>1798</v>
      </c>
      <c r="H65">
        <v>0</v>
      </c>
      <c r="I65">
        <v>813.45982000000004</v>
      </c>
      <c r="J65">
        <v>0</v>
      </c>
      <c r="K65" t="s">
        <v>1798</v>
      </c>
      <c r="L65">
        <v>0.57545339263724005</v>
      </c>
      <c r="M65">
        <v>58.38</v>
      </c>
      <c r="N65">
        <v>14.03</v>
      </c>
    </row>
    <row r="66" spans="1:14" x14ac:dyDescent="0.35">
      <c r="A66" s="1" t="s">
        <v>78</v>
      </c>
      <c r="B66" t="str">
        <f>HYPERLINK("https://www.suredividend.com/sure-analysis-research-database/","Akoustis Technologies Inc")</f>
        <v>Akoustis Technologies Inc</v>
      </c>
      <c r="C66" t="s">
        <v>1804</v>
      </c>
      <c r="D66">
        <v>0.74990000000000001</v>
      </c>
      <c r="E66">
        <v>0</v>
      </c>
      <c r="F66" t="s">
        <v>1798</v>
      </c>
      <c r="G66" t="s">
        <v>1798</v>
      </c>
      <c r="H66">
        <v>0</v>
      </c>
      <c r="I66">
        <v>54.258884999999999</v>
      </c>
      <c r="J66">
        <v>0</v>
      </c>
      <c r="K66" t="s">
        <v>1798</v>
      </c>
      <c r="L66">
        <v>2.295726779679844</v>
      </c>
      <c r="M66">
        <v>4.96</v>
      </c>
      <c r="N66">
        <v>0.70000000000000007</v>
      </c>
    </row>
    <row r="67" spans="1:14" x14ac:dyDescent="0.35">
      <c r="A67" s="1" t="s">
        <v>79</v>
      </c>
      <c r="B67" t="str">
        <f>HYPERLINK("https://www.suredividend.com/sure-analysis-research-database/","Akoya Biosciences Inc")</f>
        <v>Akoya Biosciences Inc</v>
      </c>
      <c r="C67" t="s">
        <v>1798</v>
      </c>
      <c r="D67">
        <v>3.5750000000000002</v>
      </c>
      <c r="E67">
        <v>0</v>
      </c>
      <c r="F67" t="s">
        <v>1798</v>
      </c>
      <c r="G67" t="s">
        <v>1798</v>
      </c>
      <c r="H67">
        <v>0</v>
      </c>
      <c r="I67">
        <v>174.96360000000001</v>
      </c>
      <c r="J67" t="s">
        <v>1798</v>
      </c>
      <c r="K67">
        <v>0</v>
      </c>
      <c r="L67">
        <v>1.4166713491089731</v>
      </c>
      <c r="M67">
        <v>14.38</v>
      </c>
      <c r="N67">
        <v>3.32</v>
      </c>
    </row>
    <row r="68" spans="1:14" x14ac:dyDescent="0.35">
      <c r="A68" s="1" t="s">
        <v>80</v>
      </c>
      <c r="B68" t="str">
        <f>HYPERLINK("https://www.suredividend.com/sure-analysis-research-database/","Alico Inc.")</f>
        <v>Alico Inc.</v>
      </c>
      <c r="C68" t="s">
        <v>1805</v>
      </c>
      <c r="D68">
        <v>24.42</v>
      </c>
      <c r="E68">
        <v>8.1454607383760012E-3</v>
      </c>
      <c r="F68">
        <v>-0.9</v>
      </c>
      <c r="G68">
        <v>-3.5807495997372762E-2</v>
      </c>
      <c r="H68">
        <v>0.19891215123115</v>
      </c>
      <c r="I68">
        <v>185.84965500000001</v>
      </c>
      <c r="J68" t="s">
        <v>1798</v>
      </c>
      <c r="K68" t="s">
        <v>1798</v>
      </c>
      <c r="L68">
        <v>0.67026628842404201</v>
      </c>
      <c r="M68">
        <v>32.799999999999997</v>
      </c>
      <c r="N68">
        <v>22.4</v>
      </c>
    </row>
    <row r="69" spans="1:14" x14ac:dyDescent="0.35">
      <c r="A69" s="1" t="s">
        <v>81</v>
      </c>
      <c r="B69" t="str">
        <f>HYPERLINK("https://www.suredividend.com/sure-analysis-ALE/","Allete, Inc.")</f>
        <v>Allete, Inc.</v>
      </c>
      <c r="C69" t="s">
        <v>1806</v>
      </c>
      <c r="D69">
        <v>53.81</v>
      </c>
      <c r="E69">
        <v>5.0362386173573692E-2</v>
      </c>
      <c r="F69">
        <v>4.2307692307692157E-2</v>
      </c>
      <c r="G69">
        <v>3.8829453512362333E-2</v>
      </c>
      <c r="H69">
        <v>2.6375360690022291</v>
      </c>
      <c r="I69">
        <v>3088.5948819999999</v>
      </c>
      <c r="J69">
        <v>15.83082973849308</v>
      </c>
      <c r="K69">
        <v>0.77574590264771448</v>
      </c>
      <c r="L69">
        <v>0.54762303584020799</v>
      </c>
      <c r="M69">
        <v>65.19</v>
      </c>
      <c r="N69">
        <v>47.53</v>
      </c>
    </row>
    <row r="70" spans="1:14" x14ac:dyDescent="0.35">
      <c r="A70" s="1" t="s">
        <v>82</v>
      </c>
      <c r="B70" t="str">
        <f>HYPERLINK("https://www.suredividend.com/sure-analysis-research-database/","Alector Inc")</f>
        <v>Alector Inc</v>
      </c>
      <c r="C70" t="s">
        <v>1803</v>
      </c>
      <c r="D70">
        <v>6</v>
      </c>
      <c r="E70">
        <v>0</v>
      </c>
      <c r="F70" t="s">
        <v>1798</v>
      </c>
      <c r="G70" t="s">
        <v>1798</v>
      </c>
      <c r="H70">
        <v>0</v>
      </c>
      <c r="I70">
        <v>502.98180000000002</v>
      </c>
      <c r="J70" t="s">
        <v>1798</v>
      </c>
      <c r="K70">
        <v>0</v>
      </c>
      <c r="L70">
        <v>1.544895086804839</v>
      </c>
      <c r="M70">
        <v>9.86</v>
      </c>
      <c r="N70">
        <v>4.9800000000000004</v>
      </c>
    </row>
    <row r="71" spans="1:14" x14ac:dyDescent="0.35">
      <c r="A71" s="1" t="s">
        <v>83</v>
      </c>
      <c r="B71" t="str">
        <f>HYPERLINK("https://www.suredividend.com/sure-analysis-research-database/","Alexander &amp; Baldwin Inc.")</f>
        <v>Alexander &amp; Baldwin Inc.</v>
      </c>
      <c r="C71" t="s">
        <v>1800</v>
      </c>
      <c r="D71">
        <v>16.100000000000001</v>
      </c>
      <c r="E71">
        <v>5.3655464550907007E-2</v>
      </c>
      <c r="F71" t="s">
        <v>1798</v>
      </c>
      <c r="G71" t="s">
        <v>1798</v>
      </c>
      <c r="H71">
        <v>0.86385297926961302</v>
      </c>
      <c r="I71">
        <v>1169.2625</v>
      </c>
      <c r="J71" t="s">
        <v>1798</v>
      </c>
      <c r="K71" t="s">
        <v>1798</v>
      </c>
      <c r="L71">
        <v>0.99157105331285811</v>
      </c>
      <c r="M71">
        <v>19.77</v>
      </c>
      <c r="N71">
        <v>16.03</v>
      </c>
    </row>
    <row r="72" spans="1:14" x14ac:dyDescent="0.35">
      <c r="A72" s="1" t="s">
        <v>84</v>
      </c>
      <c r="B72" t="str">
        <f>HYPERLINK("https://www.suredividend.com/sure-analysis-research-database/","Alamo Group Inc.")</f>
        <v>Alamo Group Inc.</v>
      </c>
      <c r="C72" t="s">
        <v>1799</v>
      </c>
      <c r="D72">
        <v>170.44</v>
      </c>
      <c r="E72">
        <v>6.2043952460760004E-3</v>
      </c>
      <c r="F72">
        <v>0.22222222222222229</v>
      </c>
      <c r="G72">
        <v>0.12888132073019751</v>
      </c>
      <c r="H72">
        <v>1.057477125741356</v>
      </c>
      <c r="I72">
        <v>2047.0750740000001</v>
      </c>
      <c r="J72">
        <v>16.414814280284499</v>
      </c>
      <c r="K72">
        <v>0.1013880273961032</v>
      </c>
      <c r="L72">
        <v>0.79724083971966708</v>
      </c>
      <c r="M72">
        <v>200.56</v>
      </c>
      <c r="N72">
        <v>136.77000000000001</v>
      </c>
    </row>
    <row r="73" spans="1:14" x14ac:dyDescent="0.35">
      <c r="A73" s="1" t="s">
        <v>85</v>
      </c>
      <c r="B73" t="str">
        <f>HYPERLINK("https://www.suredividend.com/sure-analysis-research-database/","Allegiant Travel")</f>
        <v>Allegiant Travel</v>
      </c>
      <c r="C73" t="s">
        <v>1799</v>
      </c>
      <c r="D73">
        <v>72.760000000000005</v>
      </c>
      <c r="E73">
        <v>8.2462894975510008E-3</v>
      </c>
      <c r="F73" t="s">
        <v>1798</v>
      </c>
      <c r="G73" t="s">
        <v>1798</v>
      </c>
      <c r="H73">
        <v>0.60000002384185702</v>
      </c>
      <c r="I73">
        <v>1342.2119419999999</v>
      </c>
      <c r="J73">
        <v>9.2104547673389288</v>
      </c>
      <c r="K73">
        <v>7.3710076639048772E-2</v>
      </c>
      <c r="L73">
        <v>1.402173593735569</v>
      </c>
      <c r="M73">
        <v>129.44</v>
      </c>
      <c r="N73">
        <v>62.22</v>
      </c>
    </row>
    <row r="74" spans="1:14" x14ac:dyDescent="0.35">
      <c r="A74" s="1" t="s">
        <v>86</v>
      </c>
      <c r="B74" t="str">
        <f>HYPERLINK("https://www.suredividend.com/sure-analysis-research-database/","Alignment Healthcare Inc")</f>
        <v>Alignment Healthcare Inc</v>
      </c>
      <c r="C74" t="s">
        <v>1798</v>
      </c>
      <c r="D74">
        <v>6.62</v>
      </c>
      <c r="E74">
        <v>0</v>
      </c>
      <c r="F74" t="s">
        <v>1798</v>
      </c>
      <c r="G74" t="s">
        <v>1798</v>
      </c>
      <c r="H74">
        <v>0</v>
      </c>
      <c r="I74">
        <v>1247.240067</v>
      </c>
      <c r="J74" t="s">
        <v>1798</v>
      </c>
      <c r="K74">
        <v>0</v>
      </c>
      <c r="L74">
        <v>0.93805276714271202</v>
      </c>
      <c r="M74">
        <v>13.92</v>
      </c>
      <c r="N74">
        <v>4.88</v>
      </c>
    </row>
    <row r="75" spans="1:14" x14ac:dyDescent="0.35">
      <c r="A75" s="1" t="s">
        <v>87</v>
      </c>
      <c r="B75" t="str">
        <f>HYPERLINK("https://www.suredividend.com/sure-analysis-research-database/","Alight Inc.")</f>
        <v>Alight Inc.</v>
      </c>
      <c r="C75" t="s">
        <v>1798</v>
      </c>
      <c r="D75">
        <v>6.72</v>
      </c>
      <c r="E75">
        <v>0</v>
      </c>
      <c r="F75" t="s">
        <v>1798</v>
      </c>
      <c r="G75" t="s">
        <v>1798</v>
      </c>
      <c r="H75">
        <v>0</v>
      </c>
      <c r="I75">
        <v>3340.907244</v>
      </c>
      <c r="J75" t="s">
        <v>1798</v>
      </c>
      <c r="K75">
        <v>0</v>
      </c>
      <c r="L75">
        <v>1.4303564363252721</v>
      </c>
      <c r="M75">
        <v>10.19</v>
      </c>
      <c r="N75">
        <v>6.33</v>
      </c>
    </row>
    <row r="76" spans="1:14" x14ac:dyDescent="0.35">
      <c r="A76" s="1" t="s">
        <v>88</v>
      </c>
      <c r="B76" t="str">
        <f>HYPERLINK("https://www.suredividend.com/sure-analysis-research-database/","Alkermes plc")</f>
        <v>Alkermes plc</v>
      </c>
      <c r="C76" t="s">
        <v>1803</v>
      </c>
      <c r="D76">
        <v>27.73</v>
      </c>
      <c r="E76">
        <v>0</v>
      </c>
      <c r="F76" t="s">
        <v>1798</v>
      </c>
      <c r="G76" t="s">
        <v>1798</v>
      </c>
      <c r="H76">
        <v>0</v>
      </c>
      <c r="I76">
        <v>4618.6737220000005</v>
      </c>
      <c r="J76">
        <v>44.844975547129877</v>
      </c>
      <c r="K76">
        <v>0</v>
      </c>
      <c r="L76">
        <v>0.43547175605137511</v>
      </c>
      <c r="M76">
        <v>33.71</v>
      </c>
      <c r="N76">
        <v>21.76</v>
      </c>
    </row>
    <row r="77" spans="1:14" x14ac:dyDescent="0.35">
      <c r="A77" s="1" t="s">
        <v>89</v>
      </c>
      <c r="B77" t="str">
        <f>HYPERLINK("https://www.suredividend.com/sure-analysis-research-database/","Alkami Technology Inc")</f>
        <v>Alkami Technology Inc</v>
      </c>
      <c r="C77" t="s">
        <v>1798</v>
      </c>
      <c r="D77">
        <v>16.690000000000001</v>
      </c>
      <c r="E77">
        <v>0</v>
      </c>
      <c r="F77" t="s">
        <v>1798</v>
      </c>
      <c r="G77" t="s">
        <v>1798</v>
      </c>
      <c r="H77">
        <v>0</v>
      </c>
      <c r="I77">
        <v>1572.67994</v>
      </c>
      <c r="J77" t="s">
        <v>1798</v>
      </c>
      <c r="K77">
        <v>0</v>
      </c>
      <c r="L77">
        <v>1.2504603481709951</v>
      </c>
      <c r="M77">
        <v>18.600000000000001</v>
      </c>
      <c r="N77">
        <v>10.7</v>
      </c>
    </row>
    <row r="78" spans="1:14" x14ac:dyDescent="0.35">
      <c r="A78" s="1" t="s">
        <v>90</v>
      </c>
      <c r="B78" t="str">
        <f>HYPERLINK("https://www.suredividend.com/sure-analysis-research-database/","Allogene Therapeutics Inc")</f>
        <v>Allogene Therapeutics Inc</v>
      </c>
      <c r="C78" t="s">
        <v>1803</v>
      </c>
      <c r="D78">
        <v>3.19</v>
      </c>
      <c r="E78">
        <v>0</v>
      </c>
      <c r="F78" t="s">
        <v>1798</v>
      </c>
      <c r="G78" t="s">
        <v>1798</v>
      </c>
      <c r="H78">
        <v>0</v>
      </c>
      <c r="I78">
        <v>534.72810400000003</v>
      </c>
      <c r="J78" t="s">
        <v>1798</v>
      </c>
      <c r="K78">
        <v>0</v>
      </c>
      <c r="L78">
        <v>1.358237023860841</v>
      </c>
      <c r="M78">
        <v>11.1</v>
      </c>
      <c r="N78">
        <v>2.88</v>
      </c>
    </row>
    <row r="79" spans="1:14" x14ac:dyDescent="0.35">
      <c r="A79" s="1" t="s">
        <v>91</v>
      </c>
      <c r="B79" t="str">
        <f>HYPERLINK("https://www.suredividend.com/sure-analysis-research-database/","Alpine Immune Sciences Inc")</f>
        <v>Alpine Immune Sciences Inc</v>
      </c>
      <c r="C79" t="s">
        <v>1803</v>
      </c>
      <c r="D79">
        <v>10.26</v>
      </c>
      <c r="E79">
        <v>0</v>
      </c>
      <c r="F79" t="s">
        <v>1798</v>
      </c>
      <c r="G79" t="s">
        <v>1798</v>
      </c>
      <c r="H79">
        <v>0</v>
      </c>
      <c r="I79">
        <v>504.80787199999997</v>
      </c>
      <c r="J79">
        <v>0</v>
      </c>
      <c r="K79" t="s">
        <v>1798</v>
      </c>
      <c r="L79">
        <v>0.89321810872837903</v>
      </c>
      <c r="M79">
        <v>14.92</v>
      </c>
      <c r="N79">
        <v>4.82</v>
      </c>
    </row>
    <row r="80" spans="1:14" x14ac:dyDescent="0.35">
      <c r="A80" s="1" t="s">
        <v>92</v>
      </c>
      <c r="B80" t="str">
        <f>HYPERLINK("https://www.suredividend.com/sure-analysis-research-database/","Alarm.com Holdings Inc")</f>
        <v>Alarm.com Holdings Inc</v>
      </c>
      <c r="C80" t="s">
        <v>1804</v>
      </c>
      <c r="D80">
        <v>57.74</v>
      </c>
      <c r="E80">
        <v>0</v>
      </c>
      <c r="F80" t="s">
        <v>1798</v>
      </c>
      <c r="G80" t="s">
        <v>1798</v>
      </c>
      <c r="H80">
        <v>0</v>
      </c>
      <c r="I80">
        <v>2881.5806389999998</v>
      </c>
      <c r="J80">
        <v>43.246197608956663</v>
      </c>
      <c r="K80">
        <v>0</v>
      </c>
      <c r="L80">
        <v>1.36046180775409</v>
      </c>
      <c r="M80">
        <v>67.67</v>
      </c>
      <c r="N80">
        <v>44.92</v>
      </c>
    </row>
    <row r="81" spans="1:14" x14ac:dyDescent="0.35">
      <c r="A81" s="1" t="s">
        <v>93</v>
      </c>
      <c r="B81" t="str">
        <f>HYPERLINK("https://www.suredividend.com/sure-analysis-ALRS/","Alerus Financial Corp")</f>
        <v>Alerus Financial Corp</v>
      </c>
      <c r="C81" t="s">
        <v>1801</v>
      </c>
      <c r="D81">
        <v>17.48</v>
      </c>
      <c r="E81">
        <v>4.3478260869565223E-2</v>
      </c>
      <c r="F81">
        <v>5.555555555555558E-2</v>
      </c>
      <c r="G81">
        <v>6.2980048262344379E-2</v>
      </c>
      <c r="H81">
        <v>0.71969186894194803</v>
      </c>
      <c r="I81">
        <v>349.423295</v>
      </c>
      <c r="J81">
        <v>9.2396026939552591</v>
      </c>
      <c r="K81">
        <v>0.38486196200104172</v>
      </c>
      <c r="L81">
        <v>0.99718253628190712</v>
      </c>
      <c r="M81">
        <v>22.75</v>
      </c>
      <c r="N81">
        <v>12.58</v>
      </c>
    </row>
    <row r="82" spans="1:14" x14ac:dyDescent="0.35">
      <c r="A82" s="1" t="s">
        <v>94</v>
      </c>
      <c r="B82" t="str">
        <f>HYPERLINK("https://www.suredividend.com/sure-analysis-research-database/","Alta Equipment Group Inc")</f>
        <v>Alta Equipment Group Inc</v>
      </c>
      <c r="C82" t="s">
        <v>1799</v>
      </c>
      <c r="D82">
        <v>10.93</v>
      </c>
      <c r="E82">
        <v>2.0740379692077999E-2</v>
      </c>
      <c r="F82" t="s">
        <v>1798</v>
      </c>
      <c r="G82" t="s">
        <v>1798</v>
      </c>
      <c r="H82">
        <v>0.22669235003442201</v>
      </c>
      <c r="I82">
        <v>353.78346399999998</v>
      </c>
      <c r="J82">
        <v>73.704888366666665</v>
      </c>
      <c r="K82">
        <v>1.5327407034105609</v>
      </c>
      <c r="L82">
        <v>1.2168738481729251</v>
      </c>
      <c r="M82">
        <v>20.440000000000001</v>
      </c>
      <c r="N82">
        <v>10.51</v>
      </c>
    </row>
    <row r="83" spans="1:14" x14ac:dyDescent="0.35">
      <c r="A83" s="1" t="s">
        <v>95</v>
      </c>
      <c r="B83" t="str">
        <f>HYPERLINK("https://www.suredividend.com/sure-analysis-research-database/","Alto Ingredients Inc")</f>
        <v>Alto Ingredients Inc</v>
      </c>
      <c r="C83" t="s">
        <v>1798</v>
      </c>
      <c r="D83">
        <v>4.12</v>
      </c>
      <c r="E83">
        <v>0</v>
      </c>
      <c r="F83" t="s">
        <v>1798</v>
      </c>
      <c r="G83" t="s">
        <v>1798</v>
      </c>
      <c r="H83">
        <v>0</v>
      </c>
      <c r="I83">
        <v>312.75486100000001</v>
      </c>
      <c r="J83" t="s">
        <v>1798</v>
      </c>
      <c r="K83">
        <v>0</v>
      </c>
      <c r="L83">
        <v>1.732395657580776</v>
      </c>
      <c r="M83">
        <v>4.58</v>
      </c>
      <c r="N83">
        <v>1.2</v>
      </c>
    </row>
    <row r="84" spans="1:14" x14ac:dyDescent="0.35">
      <c r="A84" s="1" t="s">
        <v>96</v>
      </c>
      <c r="B84" t="str">
        <f>HYPERLINK("https://www.suredividend.com/sure-analysis-research-database/","Altair Engineering Inc")</f>
        <v>Altair Engineering Inc</v>
      </c>
      <c r="C84" t="s">
        <v>1804</v>
      </c>
      <c r="D84">
        <v>65.569999999999993</v>
      </c>
      <c r="E84">
        <v>0</v>
      </c>
      <c r="F84" t="s">
        <v>1798</v>
      </c>
      <c r="G84" t="s">
        <v>1798</v>
      </c>
      <c r="H84">
        <v>0</v>
      </c>
      <c r="I84">
        <v>3545.5529059999999</v>
      </c>
      <c r="J84" t="s">
        <v>1798</v>
      </c>
      <c r="K84">
        <v>0</v>
      </c>
      <c r="L84">
        <v>1.216750582323711</v>
      </c>
      <c r="M84">
        <v>78.489999999999995</v>
      </c>
      <c r="N84">
        <v>43.68</v>
      </c>
    </row>
    <row r="85" spans="1:14" x14ac:dyDescent="0.35">
      <c r="A85" s="1" t="s">
        <v>97</v>
      </c>
      <c r="B85" t="str">
        <f>HYPERLINK("https://www.suredividend.com/sure-analysis-research-database/","AlloVir Inc")</f>
        <v>AlloVir Inc</v>
      </c>
      <c r="C85" t="s">
        <v>1798</v>
      </c>
      <c r="D85">
        <v>1.72</v>
      </c>
      <c r="E85">
        <v>0</v>
      </c>
      <c r="F85" t="s">
        <v>1798</v>
      </c>
      <c r="G85" t="s">
        <v>1798</v>
      </c>
      <c r="H85">
        <v>0</v>
      </c>
      <c r="I85">
        <v>196.02657500000001</v>
      </c>
      <c r="J85">
        <v>0</v>
      </c>
      <c r="K85" t="s">
        <v>1798</v>
      </c>
      <c r="L85">
        <v>2.0049835890708589</v>
      </c>
      <c r="M85">
        <v>10.29</v>
      </c>
      <c r="N85">
        <v>1.66</v>
      </c>
    </row>
    <row r="86" spans="1:14" x14ac:dyDescent="0.35">
      <c r="A86" s="1" t="s">
        <v>98</v>
      </c>
      <c r="B86" t="str">
        <f>HYPERLINK("https://www.suredividend.com/sure-analysis-research-database/","Alexander`s Inc.")</f>
        <v>Alexander`s Inc.</v>
      </c>
      <c r="C86" t="s">
        <v>1800</v>
      </c>
      <c r="D86">
        <v>175.78</v>
      </c>
      <c r="E86">
        <v>9.8877263433801002E-2</v>
      </c>
      <c r="F86">
        <v>0</v>
      </c>
      <c r="G86">
        <v>0</v>
      </c>
      <c r="H86">
        <v>17.38064536639358</v>
      </c>
      <c r="I86">
        <v>897.75943600000005</v>
      </c>
      <c r="J86">
        <v>8.6606993719792786</v>
      </c>
      <c r="K86">
        <v>0.85957692217574588</v>
      </c>
      <c r="L86">
        <v>0.62639470658034302</v>
      </c>
      <c r="M86">
        <v>231.01</v>
      </c>
      <c r="N86">
        <v>151.97</v>
      </c>
    </row>
    <row r="87" spans="1:14" x14ac:dyDescent="0.35">
      <c r="A87" s="1" t="s">
        <v>99</v>
      </c>
      <c r="B87" t="str">
        <f>HYPERLINK("https://www.suredividend.com/sure-analysis-research-database/","Alx Oncology Holdings Inc")</f>
        <v>Alx Oncology Holdings Inc</v>
      </c>
      <c r="C87" t="s">
        <v>1798</v>
      </c>
      <c r="D87">
        <v>9.1300000000000008</v>
      </c>
      <c r="E87">
        <v>0</v>
      </c>
      <c r="F87" t="s">
        <v>1798</v>
      </c>
      <c r="G87" t="s">
        <v>1798</v>
      </c>
      <c r="H87">
        <v>0</v>
      </c>
      <c r="I87">
        <v>375.71610700000002</v>
      </c>
      <c r="J87">
        <v>0</v>
      </c>
      <c r="K87" t="s">
        <v>1798</v>
      </c>
      <c r="L87">
        <v>0.7907970146257961</v>
      </c>
      <c r="M87">
        <v>13.64</v>
      </c>
      <c r="N87">
        <v>3.94</v>
      </c>
    </row>
    <row r="88" spans="1:14" x14ac:dyDescent="0.35">
      <c r="A88" s="1" t="s">
        <v>100</v>
      </c>
      <c r="B88" t="str">
        <f>HYPERLINK("https://www.suredividend.com/sure-analysis-research-database/","Amalgamated Financial Corp")</f>
        <v>Amalgamated Financial Corp</v>
      </c>
      <c r="C88" t="s">
        <v>1801</v>
      </c>
      <c r="D88">
        <v>16.64</v>
      </c>
      <c r="E88">
        <v>2.3763047703182001E-2</v>
      </c>
      <c r="F88">
        <v>0</v>
      </c>
      <c r="G88">
        <v>0.10756634324829011</v>
      </c>
      <c r="H88">
        <v>0.39541711378094802</v>
      </c>
      <c r="I88">
        <v>506.79131799999999</v>
      </c>
      <c r="J88">
        <v>5.5888498743920874</v>
      </c>
      <c r="K88">
        <v>0.13495464634162049</v>
      </c>
      <c r="L88">
        <v>0.67176264287120402</v>
      </c>
      <c r="M88">
        <v>26.72</v>
      </c>
      <c r="N88">
        <v>13.93</v>
      </c>
    </row>
    <row r="89" spans="1:14" x14ac:dyDescent="0.35">
      <c r="A89" s="1" t="s">
        <v>101</v>
      </c>
      <c r="B89" t="str">
        <f>HYPERLINK("https://www.suredividend.com/sure-analysis-research-database/","Ambarella Inc")</f>
        <v>Ambarella Inc</v>
      </c>
      <c r="C89" t="s">
        <v>1804</v>
      </c>
      <c r="D89">
        <v>52.85</v>
      </c>
      <c r="E89">
        <v>0</v>
      </c>
      <c r="F89" t="s">
        <v>1798</v>
      </c>
      <c r="G89" t="s">
        <v>1798</v>
      </c>
      <c r="H89">
        <v>0</v>
      </c>
      <c r="I89">
        <v>2107.5645079999999</v>
      </c>
      <c r="J89" t="s">
        <v>1798</v>
      </c>
      <c r="K89">
        <v>0</v>
      </c>
      <c r="L89">
        <v>1.954786990348276</v>
      </c>
      <c r="M89">
        <v>99.86</v>
      </c>
      <c r="N89">
        <v>49.74</v>
      </c>
    </row>
    <row r="90" spans="1:14" x14ac:dyDescent="0.35">
      <c r="A90" s="1" t="s">
        <v>102</v>
      </c>
      <c r="B90" t="str">
        <f>HYPERLINK("https://www.suredividend.com/sure-analysis-research-database/","AMBAC Financial Group Inc.")</f>
        <v>AMBAC Financial Group Inc.</v>
      </c>
      <c r="C90" t="s">
        <v>1801</v>
      </c>
      <c r="D90">
        <v>11.47</v>
      </c>
      <c r="E90">
        <v>0</v>
      </c>
      <c r="F90" t="s">
        <v>1798</v>
      </c>
      <c r="G90" t="s">
        <v>1798</v>
      </c>
      <c r="H90">
        <v>0</v>
      </c>
      <c r="I90">
        <v>519.63685699999996</v>
      </c>
      <c r="J90">
        <v>1.1009255446186439</v>
      </c>
      <c r="K90">
        <v>0</v>
      </c>
      <c r="L90">
        <v>0.77176628399052305</v>
      </c>
      <c r="M90">
        <v>17.75</v>
      </c>
      <c r="N90">
        <v>11.33</v>
      </c>
    </row>
    <row r="91" spans="1:14" x14ac:dyDescent="0.35">
      <c r="A91" s="1" t="s">
        <v>103</v>
      </c>
      <c r="B91" t="str">
        <f>HYPERLINK("https://www.suredividend.com/sure-analysis-research-database/","AMC Networks Inc")</f>
        <v>AMC Networks Inc</v>
      </c>
      <c r="C91" t="s">
        <v>1807</v>
      </c>
      <c r="D91">
        <v>11.57</v>
      </c>
      <c r="E91">
        <v>0</v>
      </c>
      <c r="F91" t="s">
        <v>1798</v>
      </c>
      <c r="G91" t="s">
        <v>1798</v>
      </c>
      <c r="H91">
        <v>0</v>
      </c>
      <c r="I91">
        <v>370.47452399999997</v>
      </c>
      <c r="J91" t="s">
        <v>1798</v>
      </c>
      <c r="K91">
        <v>0</v>
      </c>
      <c r="L91">
        <v>1.5499366011930229</v>
      </c>
      <c r="M91">
        <v>27.46</v>
      </c>
      <c r="N91">
        <v>9.9600000000000009</v>
      </c>
    </row>
    <row r="92" spans="1:14" x14ac:dyDescent="0.35">
      <c r="A92" s="1" t="s">
        <v>104</v>
      </c>
      <c r="B92" t="str">
        <f>HYPERLINK("https://www.suredividend.com/sure-analysis-research-database/","Apollo Medical Holdings Inc")</f>
        <v>Apollo Medical Holdings Inc</v>
      </c>
      <c r="C92" t="s">
        <v>1803</v>
      </c>
      <c r="D92">
        <v>31</v>
      </c>
      <c r="E92">
        <v>0</v>
      </c>
      <c r="F92" t="s">
        <v>1798</v>
      </c>
      <c r="G92" t="s">
        <v>1798</v>
      </c>
      <c r="H92">
        <v>0</v>
      </c>
      <c r="I92">
        <v>1784.428138</v>
      </c>
      <c r="J92">
        <v>39.503844014965352</v>
      </c>
      <c r="K92">
        <v>0</v>
      </c>
      <c r="L92">
        <v>1.1485263517480451</v>
      </c>
      <c r="M92">
        <v>40.81</v>
      </c>
      <c r="N92">
        <v>26.89</v>
      </c>
    </row>
    <row r="93" spans="1:14" x14ac:dyDescent="0.35">
      <c r="A93" s="1" t="s">
        <v>105</v>
      </c>
      <c r="B93" t="str">
        <f>HYPERLINK("https://www.suredividend.com/sure-analysis-research-database/","Assetmark Financial Holdings Inc")</f>
        <v>Assetmark Financial Holdings Inc</v>
      </c>
      <c r="C93" t="s">
        <v>1801</v>
      </c>
      <c r="D93">
        <v>24.08</v>
      </c>
      <c r="E93">
        <v>0</v>
      </c>
      <c r="F93" t="s">
        <v>1798</v>
      </c>
      <c r="G93" t="s">
        <v>1798</v>
      </c>
      <c r="H93">
        <v>0</v>
      </c>
      <c r="I93">
        <v>1788.2297550000001</v>
      </c>
      <c r="J93">
        <v>0</v>
      </c>
      <c r="K93" t="s">
        <v>1798</v>
      </c>
      <c r="L93">
        <v>0.7700033781976221</v>
      </c>
      <c r="M93">
        <v>33</v>
      </c>
      <c r="N93">
        <v>18</v>
      </c>
    </row>
    <row r="94" spans="1:14" x14ac:dyDescent="0.35">
      <c r="A94" s="1" t="s">
        <v>106</v>
      </c>
      <c r="B94" t="str">
        <f>HYPERLINK("https://www.suredividend.com/sure-analysis-research-database/","AMKOR Technology Inc.")</f>
        <v>AMKOR Technology Inc.</v>
      </c>
      <c r="C94" t="s">
        <v>1804</v>
      </c>
      <c r="D94">
        <v>22.78</v>
      </c>
      <c r="E94">
        <v>1.3133202842821001E-2</v>
      </c>
      <c r="F94" t="s">
        <v>1798</v>
      </c>
      <c r="G94" t="s">
        <v>1798</v>
      </c>
      <c r="H94">
        <v>0.29917436075946402</v>
      </c>
      <c r="I94">
        <v>5598.4746249999998</v>
      </c>
      <c r="J94">
        <v>9.6522262631396565</v>
      </c>
      <c r="K94">
        <v>0.12730823862104851</v>
      </c>
      <c r="L94">
        <v>1.595997334371241</v>
      </c>
      <c r="M94">
        <v>31.2</v>
      </c>
      <c r="N94">
        <v>17.45</v>
      </c>
    </row>
    <row r="95" spans="1:14" x14ac:dyDescent="0.35">
      <c r="A95" s="1" t="s">
        <v>107</v>
      </c>
      <c r="B95" t="str">
        <f>HYPERLINK("https://www.suredividend.com/sure-analysis-research-database/","Amylyx Pharmaceuticals Inc")</f>
        <v>Amylyx Pharmaceuticals Inc</v>
      </c>
      <c r="C95" t="s">
        <v>1798</v>
      </c>
      <c r="D95">
        <v>17.32</v>
      </c>
      <c r="E95">
        <v>0</v>
      </c>
      <c r="F95" t="s">
        <v>1798</v>
      </c>
      <c r="G95" t="s">
        <v>1798</v>
      </c>
      <c r="H95">
        <v>0</v>
      </c>
      <c r="I95">
        <v>1166.9825089999999</v>
      </c>
      <c r="J95" t="s">
        <v>1798</v>
      </c>
      <c r="K95">
        <v>0</v>
      </c>
      <c r="L95">
        <v>0.93789896311325505</v>
      </c>
      <c r="M95">
        <v>41.93</v>
      </c>
      <c r="N95">
        <v>16.760000000000002</v>
      </c>
    </row>
    <row r="96" spans="1:14" x14ac:dyDescent="0.35">
      <c r="A96" s="1" t="s">
        <v>108</v>
      </c>
      <c r="B96" t="str">
        <f>HYPERLINK("https://www.suredividend.com/sure-analysis-research-database/","AMN Healthcare Services Inc.")</f>
        <v>AMN Healthcare Services Inc.</v>
      </c>
      <c r="C96" t="s">
        <v>1803</v>
      </c>
      <c r="D96">
        <v>73.89</v>
      </c>
      <c r="E96">
        <v>0</v>
      </c>
      <c r="F96" t="s">
        <v>1798</v>
      </c>
      <c r="G96" t="s">
        <v>1798</v>
      </c>
      <c r="H96">
        <v>0</v>
      </c>
      <c r="I96">
        <v>2806.9427780000001</v>
      </c>
      <c r="J96">
        <v>8.7920828230459378</v>
      </c>
      <c r="K96">
        <v>0</v>
      </c>
      <c r="L96">
        <v>0.69567448503482809</v>
      </c>
      <c r="M96">
        <v>129.04</v>
      </c>
      <c r="N96">
        <v>72.099999999999994</v>
      </c>
    </row>
    <row r="97" spans="1:14" x14ac:dyDescent="0.35">
      <c r="A97" s="1" t="s">
        <v>109</v>
      </c>
      <c r="B97" t="str">
        <f>HYPERLINK("https://www.suredividend.com/sure-analysis-research-database/","American National Bankshares Inc.")</f>
        <v>American National Bankshares Inc.</v>
      </c>
      <c r="C97" t="s">
        <v>1801</v>
      </c>
      <c r="D97">
        <v>37.880000000000003</v>
      </c>
      <c r="E97">
        <v>3.0911726609903E-2</v>
      </c>
      <c r="F97">
        <v>7.1428571428571397E-2</v>
      </c>
      <c r="G97">
        <v>3.7137289336648172E-2</v>
      </c>
      <c r="H97">
        <v>1.170936203983135</v>
      </c>
      <c r="I97">
        <v>402.63072499999998</v>
      </c>
      <c r="J97">
        <v>11.98805230393616</v>
      </c>
      <c r="K97">
        <v>0.37054943164023257</v>
      </c>
      <c r="L97">
        <v>0.81252974209776807</v>
      </c>
      <c r="M97">
        <v>43.27</v>
      </c>
      <c r="N97">
        <v>24.34</v>
      </c>
    </row>
    <row r="98" spans="1:14" x14ac:dyDescent="0.35">
      <c r="A98" s="1" t="s">
        <v>110</v>
      </c>
      <c r="B98" t="str">
        <f>HYPERLINK("https://www.suredividend.com/sure-analysis-research-database/","Amphastar Pharmaceuticals Inc")</f>
        <v>Amphastar Pharmaceuticals Inc</v>
      </c>
      <c r="C98" t="s">
        <v>1803</v>
      </c>
      <c r="D98">
        <v>45.76</v>
      </c>
      <c r="E98">
        <v>0</v>
      </c>
      <c r="F98" t="s">
        <v>1798</v>
      </c>
      <c r="G98" t="s">
        <v>1798</v>
      </c>
      <c r="H98">
        <v>0</v>
      </c>
      <c r="I98">
        <v>2208.8352</v>
      </c>
      <c r="J98">
        <v>21.667355286777902</v>
      </c>
      <c r="K98">
        <v>0</v>
      </c>
      <c r="L98">
        <v>0.60106010887795103</v>
      </c>
      <c r="M98">
        <v>67.66</v>
      </c>
      <c r="N98">
        <v>26.76</v>
      </c>
    </row>
    <row r="99" spans="1:14" x14ac:dyDescent="0.35">
      <c r="A99" s="1" t="s">
        <v>111</v>
      </c>
      <c r="B99" t="str">
        <f>HYPERLINK("https://www.suredividend.com/sure-analysis-research-database/","Amplitude Inc")</f>
        <v>Amplitude Inc</v>
      </c>
      <c r="C99" t="s">
        <v>1798</v>
      </c>
      <c r="D99">
        <v>10.050000000000001</v>
      </c>
      <c r="E99">
        <v>0</v>
      </c>
      <c r="F99" t="s">
        <v>1798</v>
      </c>
      <c r="G99" t="s">
        <v>1798</v>
      </c>
      <c r="H99">
        <v>0</v>
      </c>
      <c r="I99">
        <v>828.20039999999995</v>
      </c>
      <c r="J99" t="s">
        <v>1798</v>
      </c>
      <c r="K99">
        <v>0</v>
      </c>
      <c r="L99">
        <v>1.6748571990057839</v>
      </c>
      <c r="M99">
        <v>17.440000000000001</v>
      </c>
      <c r="N99">
        <v>8.5</v>
      </c>
    </row>
    <row r="100" spans="1:14" x14ac:dyDescent="0.35">
      <c r="A100" s="1" t="s">
        <v>112</v>
      </c>
      <c r="B100" t="str">
        <f>HYPERLINK("https://www.suredividend.com/sure-analysis-research-database/","Altus Power Inc")</f>
        <v>Altus Power Inc</v>
      </c>
      <c r="C100" t="s">
        <v>1798</v>
      </c>
      <c r="D100">
        <v>5.26</v>
      </c>
      <c r="E100">
        <v>0</v>
      </c>
      <c r="F100" t="s">
        <v>1798</v>
      </c>
      <c r="G100" t="s">
        <v>1798</v>
      </c>
      <c r="H100">
        <v>0</v>
      </c>
      <c r="I100">
        <v>836.28715299999999</v>
      </c>
      <c r="J100" t="s">
        <v>1798</v>
      </c>
      <c r="K100">
        <v>0</v>
      </c>
      <c r="L100">
        <v>1.517673800707682</v>
      </c>
      <c r="M100">
        <v>11.29</v>
      </c>
      <c r="N100">
        <v>4.08</v>
      </c>
    </row>
    <row r="101" spans="1:14" x14ac:dyDescent="0.35">
      <c r="A101" s="1" t="s">
        <v>113</v>
      </c>
      <c r="B101" t="str">
        <f>HYPERLINK("https://www.suredividend.com/sure-analysis-research-database/","Amplify Energy Corp.")</f>
        <v>Amplify Energy Corp.</v>
      </c>
      <c r="C101" t="s">
        <v>1808</v>
      </c>
      <c r="D101">
        <v>7.34</v>
      </c>
      <c r="E101">
        <v>0</v>
      </c>
      <c r="F101" t="s">
        <v>1798</v>
      </c>
      <c r="G101" t="s">
        <v>1798</v>
      </c>
      <c r="H101">
        <v>0</v>
      </c>
      <c r="I101">
        <v>286.71730400000001</v>
      </c>
      <c r="J101">
        <v>0</v>
      </c>
      <c r="K101" t="s">
        <v>1798</v>
      </c>
      <c r="L101">
        <v>1.1266840333058541</v>
      </c>
      <c r="M101">
        <v>10.38</v>
      </c>
      <c r="N101">
        <v>5.97</v>
      </c>
    </row>
    <row r="102" spans="1:14" x14ac:dyDescent="0.35">
      <c r="A102" s="1" t="s">
        <v>114</v>
      </c>
      <c r="B102" t="str">
        <f>HYPERLINK("https://www.suredividend.com/sure-analysis-research-database/","Alpha Metallurgical Resources Inc")</f>
        <v>Alpha Metallurgical Resources Inc</v>
      </c>
      <c r="C102" t="s">
        <v>1798</v>
      </c>
      <c r="D102">
        <v>223.59</v>
      </c>
      <c r="E102">
        <v>8.2787199049370007E-3</v>
      </c>
      <c r="F102" t="s">
        <v>1798</v>
      </c>
      <c r="G102" t="s">
        <v>1798</v>
      </c>
      <c r="H102">
        <v>1.8510389835450221</v>
      </c>
      <c r="I102">
        <v>3391.961139</v>
      </c>
      <c r="J102">
        <v>3.6645169135706439</v>
      </c>
      <c r="K102">
        <v>3.2502879430114519E-2</v>
      </c>
      <c r="L102">
        <v>0.88993405716444307</v>
      </c>
      <c r="M102">
        <v>267.60000000000002</v>
      </c>
      <c r="N102">
        <v>129.46</v>
      </c>
    </row>
    <row r="103" spans="1:14" x14ac:dyDescent="0.35">
      <c r="A103" s="1" t="s">
        <v>115</v>
      </c>
      <c r="B103" t="str">
        <f>HYPERLINK("https://www.suredividend.com/sure-analysis-research-database/","Ameresco Inc.")</f>
        <v>Ameresco Inc.</v>
      </c>
      <c r="C103" t="s">
        <v>1799</v>
      </c>
      <c r="D103">
        <v>33.299999999999997</v>
      </c>
      <c r="E103">
        <v>0</v>
      </c>
      <c r="F103" t="s">
        <v>1798</v>
      </c>
      <c r="G103" t="s">
        <v>1798</v>
      </c>
      <c r="H103">
        <v>0</v>
      </c>
      <c r="I103">
        <v>1138.8599999999999</v>
      </c>
      <c r="J103">
        <v>0</v>
      </c>
      <c r="K103" t="s">
        <v>1798</v>
      </c>
      <c r="L103">
        <v>2.0090546774342761</v>
      </c>
      <c r="M103">
        <v>68.86</v>
      </c>
      <c r="N103">
        <v>31.63</v>
      </c>
    </row>
    <row r="104" spans="1:14" x14ac:dyDescent="0.35">
      <c r="A104" s="1" t="s">
        <v>116</v>
      </c>
      <c r="B104" t="str">
        <f>HYPERLINK("https://www.suredividend.com/sure-analysis-research-database/","A-Mark Precious Metals Inc")</f>
        <v>A-Mark Precious Metals Inc</v>
      </c>
      <c r="C104" t="s">
        <v>1801</v>
      </c>
      <c r="D104">
        <v>30.57</v>
      </c>
      <c r="E104">
        <v>2.4655182259867001E-2</v>
      </c>
      <c r="F104" t="s">
        <v>1798</v>
      </c>
      <c r="G104" t="s">
        <v>1798</v>
      </c>
      <c r="H104">
        <v>0.75370892168416304</v>
      </c>
      <c r="I104">
        <v>718.60721699999999</v>
      </c>
      <c r="J104">
        <v>0</v>
      </c>
      <c r="K104" t="s">
        <v>1798</v>
      </c>
      <c r="L104">
        <v>0.75501195127285003</v>
      </c>
      <c r="M104">
        <v>39.270000000000003</v>
      </c>
      <c r="N104">
        <v>24.41</v>
      </c>
    </row>
    <row r="105" spans="1:14" x14ac:dyDescent="0.35">
      <c r="A105" s="1" t="s">
        <v>117</v>
      </c>
      <c r="B105" t="str">
        <f>HYPERLINK("https://www.suredividend.com/sure-analysis-research-database/","Amyris Inc")</f>
        <v>Amyris Inc</v>
      </c>
      <c r="C105" t="s">
        <v>1809</v>
      </c>
      <c r="D105">
        <v>0.05</v>
      </c>
      <c r="E105">
        <v>0</v>
      </c>
      <c r="F105" t="s">
        <v>1798</v>
      </c>
      <c r="G105" t="s">
        <v>1798</v>
      </c>
      <c r="H105">
        <v>0</v>
      </c>
      <c r="I105">
        <v>0</v>
      </c>
      <c r="J105">
        <v>0</v>
      </c>
      <c r="K105" t="s">
        <v>1798</v>
      </c>
    </row>
    <row r="106" spans="1:14" x14ac:dyDescent="0.35">
      <c r="A106" s="1" t="s">
        <v>118</v>
      </c>
      <c r="B106" t="str">
        <f>HYPERLINK("https://www.suredividend.com/sure-analysis-research-database/","Amneal Pharmaceuticals Inc")</f>
        <v>Amneal Pharmaceuticals Inc</v>
      </c>
      <c r="C106" t="s">
        <v>1803</v>
      </c>
      <c r="D106">
        <v>3.84</v>
      </c>
      <c r="E106">
        <v>0</v>
      </c>
      <c r="F106" t="s">
        <v>1798</v>
      </c>
      <c r="G106" t="s">
        <v>1798</v>
      </c>
      <c r="H106">
        <v>0</v>
      </c>
      <c r="I106">
        <v>592.10864600000002</v>
      </c>
      <c r="J106" t="s">
        <v>1798</v>
      </c>
      <c r="K106">
        <v>0</v>
      </c>
      <c r="L106">
        <v>1.435920168918964</v>
      </c>
      <c r="M106">
        <v>4.74</v>
      </c>
      <c r="N106">
        <v>1.24</v>
      </c>
    </row>
    <row r="107" spans="1:14" x14ac:dyDescent="0.35">
      <c r="A107" s="1" t="s">
        <v>119</v>
      </c>
      <c r="B107" t="str">
        <f>HYPERLINK("https://www.suredividend.com/sure-analysis-research-database/","Amerisafe Inc")</f>
        <v>Amerisafe Inc</v>
      </c>
      <c r="C107" t="s">
        <v>1801</v>
      </c>
      <c r="D107">
        <v>51.9</v>
      </c>
      <c r="E107">
        <v>2.5180299043694999E-2</v>
      </c>
      <c r="F107">
        <v>9.6774193548387233E-2</v>
      </c>
      <c r="G107">
        <v>-0.37269005225670382</v>
      </c>
      <c r="H107">
        <v>1.306857520367791</v>
      </c>
      <c r="I107">
        <v>995.44272699999999</v>
      </c>
      <c r="J107">
        <v>15.289804571077489</v>
      </c>
      <c r="K107">
        <v>0.38664423679520438</v>
      </c>
      <c r="L107">
        <v>0.55473884096541404</v>
      </c>
      <c r="M107">
        <v>58.24</v>
      </c>
      <c r="N107">
        <v>46.27</v>
      </c>
    </row>
    <row r="108" spans="1:14" x14ac:dyDescent="0.35">
      <c r="A108" s="1" t="s">
        <v>120</v>
      </c>
      <c r="B108" t="str">
        <f>HYPERLINK("https://www.suredividend.com/sure-analysis-research-database/","American Software Inc.")</f>
        <v>American Software Inc.</v>
      </c>
      <c r="C108" t="s">
        <v>1804</v>
      </c>
      <c r="D108">
        <v>11.19</v>
      </c>
      <c r="E108">
        <v>3.8789154030910003E-2</v>
      </c>
      <c r="F108">
        <v>0</v>
      </c>
      <c r="G108">
        <v>0</v>
      </c>
      <c r="H108">
        <v>0.43405063360589102</v>
      </c>
      <c r="I108">
        <v>361.93901699999998</v>
      </c>
      <c r="J108">
        <v>0</v>
      </c>
      <c r="K108" t="s">
        <v>1798</v>
      </c>
      <c r="L108">
        <v>0.86653992535744806</v>
      </c>
      <c r="M108">
        <v>16.96</v>
      </c>
      <c r="N108">
        <v>10.01</v>
      </c>
    </row>
    <row r="109" spans="1:14" x14ac:dyDescent="0.35">
      <c r="A109" s="1" t="s">
        <v>121</v>
      </c>
      <c r="B109" t="str">
        <f>HYPERLINK("https://www.suredividend.com/sure-analysis-research-database/","Amerant Bancorp Inc")</f>
        <v>Amerant Bancorp Inc</v>
      </c>
      <c r="C109" t="s">
        <v>1801</v>
      </c>
      <c r="D109">
        <v>18.38</v>
      </c>
      <c r="E109">
        <v>1.9387275579795998E-2</v>
      </c>
      <c r="F109" t="s">
        <v>1798</v>
      </c>
      <c r="G109" t="s">
        <v>1798</v>
      </c>
      <c r="H109">
        <v>0.35633812515665902</v>
      </c>
      <c r="I109">
        <v>619.34176200000002</v>
      </c>
      <c r="J109">
        <v>9.2191390577552834</v>
      </c>
      <c r="K109">
        <v>0.1790643845008337</v>
      </c>
      <c r="L109">
        <v>1.0556123946252789</v>
      </c>
      <c r="M109">
        <v>30.45</v>
      </c>
      <c r="N109">
        <v>15.56</v>
      </c>
    </row>
    <row r="110" spans="1:14" x14ac:dyDescent="0.35">
      <c r="A110" s="1" t="s">
        <v>122</v>
      </c>
      <c r="B110" t="str">
        <f>HYPERLINK("https://www.suredividend.com/sure-analysis-research-database/","Aemetis Inc")</f>
        <v>Aemetis Inc</v>
      </c>
      <c r="C110" t="s">
        <v>1808</v>
      </c>
      <c r="D110">
        <v>4.4800000000000004</v>
      </c>
      <c r="E110">
        <v>0</v>
      </c>
      <c r="F110" t="s">
        <v>1798</v>
      </c>
      <c r="G110" t="s">
        <v>1798</v>
      </c>
      <c r="H110">
        <v>0</v>
      </c>
      <c r="I110">
        <v>174.048</v>
      </c>
      <c r="J110">
        <v>0</v>
      </c>
      <c r="K110" t="s">
        <v>1798</v>
      </c>
      <c r="L110">
        <v>2.8342561469700471</v>
      </c>
      <c r="M110">
        <v>8.99</v>
      </c>
      <c r="N110">
        <v>1.1599999999999999</v>
      </c>
    </row>
    <row r="111" spans="1:14" x14ac:dyDescent="0.35">
      <c r="A111" s="1" t="s">
        <v>123</v>
      </c>
      <c r="B111" t="str">
        <f>HYPERLINK("https://www.suredividend.com/sure-analysis-research-database/","American Woodmark Corp.")</f>
        <v>American Woodmark Corp.</v>
      </c>
      <c r="C111" t="s">
        <v>1802</v>
      </c>
      <c r="D111">
        <v>75.86</v>
      </c>
      <c r="E111">
        <v>0</v>
      </c>
      <c r="F111" t="s">
        <v>1798</v>
      </c>
      <c r="G111" t="s">
        <v>1798</v>
      </c>
      <c r="H111">
        <v>0</v>
      </c>
      <c r="I111">
        <v>1245.668081</v>
      </c>
      <c r="J111">
        <v>11.17161046321624</v>
      </c>
      <c r="K111">
        <v>0</v>
      </c>
      <c r="L111">
        <v>1.476919675197478</v>
      </c>
      <c r="M111">
        <v>80.27</v>
      </c>
      <c r="N111">
        <v>41.05</v>
      </c>
    </row>
    <row r="112" spans="1:14" x14ac:dyDescent="0.35">
      <c r="A112" s="1" t="s">
        <v>124</v>
      </c>
      <c r="B112" t="str">
        <f>HYPERLINK("https://www.suredividend.com/sure-analysis-research-database/","American Well Corporation")</f>
        <v>American Well Corporation</v>
      </c>
      <c r="C112" t="s">
        <v>1798</v>
      </c>
      <c r="D112">
        <v>1.03</v>
      </c>
      <c r="E112">
        <v>0</v>
      </c>
      <c r="F112" t="s">
        <v>1798</v>
      </c>
      <c r="G112" t="s">
        <v>1798</v>
      </c>
      <c r="H112">
        <v>0</v>
      </c>
      <c r="I112">
        <v>259.27941299999998</v>
      </c>
      <c r="J112" t="s">
        <v>1798</v>
      </c>
      <c r="K112">
        <v>0</v>
      </c>
      <c r="L112">
        <v>1.8624855636359889</v>
      </c>
      <c r="M112">
        <v>4.3899999999999997</v>
      </c>
      <c r="N112">
        <v>1.02</v>
      </c>
    </row>
    <row r="113" spans="1:14" x14ac:dyDescent="0.35">
      <c r="A113" s="1" t="s">
        <v>125</v>
      </c>
      <c r="B113" t="str">
        <f>HYPERLINK("https://www.suredividend.com/sure-analysis-research-database/","AnaptysBio Inc")</f>
        <v>AnaptysBio Inc</v>
      </c>
      <c r="C113" t="s">
        <v>1803</v>
      </c>
      <c r="D113">
        <v>18.84</v>
      </c>
      <c r="E113">
        <v>0</v>
      </c>
      <c r="F113" t="s">
        <v>1798</v>
      </c>
      <c r="G113" t="s">
        <v>1798</v>
      </c>
      <c r="H113">
        <v>0</v>
      </c>
      <c r="I113">
        <v>500.11869000000002</v>
      </c>
      <c r="J113" t="s">
        <v>1798</v>
      </c>
      <c r="K113">
        <v>0</v>
      </c>
      <c r="L113">
        <v>0.45703970649212611</v>
      </c>
      <c r="M113">
        <v>32.44</v>
      </c>
      <c r="N113">
        <v>16.510000000000002</v>
      </c>
    </row>
    <row r="114" spans="1:14" x14ac:dyDescent="0.35">
      <c r="A114" s="1" t="s">
        <v>126</v>
      </c>
      <c r="B114" t="str">
        <f>HYPERLINK("https://www.suredividend.com/sure-analysis-ANDE/","Andersons Inc.")</f>
        <v>Andersons Inc.</v>
      </c>
      <c r="C114" t="s">
        <v>1805</v>
      </c>
      <c r="D114">
        <v>50.51</v>
      </c>
      <c r="E114">
        <v>1.4650564244704021E-2</v>
      </c>
      <c r="F114">
        <v>2.7777777777777901E-2</v>
      </c>
      <c r="G114">
        <v>1.7055286171035359E-2</v>
      </c>
      <c r="H114">
        <v>0.73230627635373902</v>
      </c>
      <c r="I114">
        <v>1704.822915</v>
      </c>
      <c r="J114">
        <v>19.807860236789509</v>
      </c>
      <c r="K114">
        <v>0.29059772871180117</v>
      </c>
      <c r="L114">
        <v>0.80928965858641311</v>
      </c>
      <c r="M114">
        <v>53.07</v>
      </c>
      <c r="N114">
        <v>32.380000000000003</v>
      </c>
    </row>
    <row r="115" spans="1:14" x14ac:dyDescent="0.35">
      <c r="A115" s="1" t="s">
        <v>127</v>
      </c>
      <c r="B115" t="str">
        <f>HYPERLINK("https://www.suredividend.com/sure-analysis-research-database/","Abercrombie &amp; Fitch Co.")</f>
        <v>Abercrombie &amp; Fitch Co.</v>
      </c>
      <c r="C115" t="s">
        <v>1802</v>
      </c>
      <c r="D115">
        <v>60.39</v>
      </c>
      <c r="E115">
        <v>0</v>
      </c>
      <c r="F115" t="s">
        <v>1798</v>
      </c>
      <c r="G115" t="s">
        <v>1798</v>
      </c>
      <c r="H115">
        <v>0</v>
      </c>
      <c r="I115">
        <v>3041.0635179999999</v>
      </c>
      <c r="J115">
        <v>27.750981144053881</v>
      </c>
      <c r="K115">
        <v>0</v>
      </c>
      <c r="L115">
        <v>1.401988799204049</v>
      </c>
      <c r="M115">
        <v>63.04</v>
      </c>
      <c r="N115">
        <v>15.95</v>
      </c>
    </row>
    <row r="116" spans="1:14" x14ac:dyDescent="0.35">
      <c r="A116" s="1" t="s">
        <v>128</v>
      </c>
      <c r="B116" t="str">
        <f>HYPERLINK("https://www.suredividend.com/sure-analysis-research-database/","Angiodynamic Inc")</f>
        <v>Angiodynamic Inc</v>
      </c>
      <c r="C116" t="s">
        <v>1803</v>
      </c>
      <c r="D116">
        <v>6.57</v>
      </c>
      <c r="E116">
        <v>0</v>
      </c>
      <c r="F116" t="s">
        <v>1798</v>
      </c>
      <c r="G116" t="s">
        <v>1798</v>
      </c>
      <c r="H116">
        <v>0</v>
      </c>
      <c r="I116">
        <v>261.79243100000002</v>
      </c>
      <c r="J116">
        <v>40.613160311821282</v>
      </c>
      <c r="K116">
        <v>0</v>
      </c>
      <c r="L116">
        <v>0.57496788126827902</v>
      </c>
      <c r="M116">
        <v>15.96</v>
      </c>
      <c r="N116">
        <v>6.32</v>
      </c>
    </row>
    <row r="117" spans="1:14" x14ac:dyDescent="0.35">
      <c r="A117" s="1" t="s">
        <v>129</v>
      </c>
      <c r="B117" t="str">
        <f>HYPERLINK("https://www.suredividend.com/sure-analysis-research-database/","Anika Therapeutics Inc.")</f>
        <v>Anika Therapeutics Inc.</v>
      </c>
      <c r="C117" t="s">
        <v>1803</v>
      </c>
      <c r="D117">
        <v>18.68</v>
      </c>
      <c r="E117">
        <v>0</v>
      </c>
      <c r="F117" t="s">
        <v>1798</v>
      </c>
      <c r="G117" t="s">
        <v>1798</v>
      </c>
      <c r="H117">
        <v>0</v>
      </c>
      <c r="I117">
        <v>273.30917199999999</v>
      </c>
      <c r="J117" t="s">
        <v>1798</v>
      </c>
      <c r="K117">
        <v>0</v>
      </c>
      <c r="L117">
        <v>0.8531540933753331</v>
      </c>
      <c r="M117">
        <v>32.51</v>
      </c>
      <c r="N117">
        <v>16.54</v>
      </c>
    </row>
    <row r="118" spans="1:14" x14ac:dyDescent="0.35">
      <c r="A118" s="1" t="s">
        <v>130</v>
      </c>
      <c r="B118" t="str">
        <f>HYPERLINK("https://www.suredividend.com/sure-analysis-research-database/","ANI Pharmaceuticals Inc")</f>
        <v>ANI Pharmaceuticals Inc</v>
      </c>
      <c r="C118" t="s">
        <v>1803</v>
      </c>
      <c r="D118">
        <v>57.66</v>
      </c>
      <c r="E118">
        <v>0</v>
      </c>
      <c r="F118" t="s">
        <v>1798</v>
      </c>
      <c r="G118" t="s">
        <v>1798</v>
      </c>
      <c r="H118">
        <v>0</v>
      </c>
      <c r="I118">
        <v>1169.390813</v>
      </c>
      <c r="J118" t="s">
        <v>1798</v>
      </c>
      <c r="K118">
        <v>0</v>
      </c>
      <c r="L118">
        <v>0.94556254906441106</v>
      </c>
      <c r="M118">
        <v>65.89</v>
      </c>
      <c r="N118">
        <v>32.159999999999997</v>
      </c>
    </row>
    <row r="119" spans="1:14" x14ac:dyDescent="0.35">
      <c r="A119" s="1" t="s">
        <v>131</v>
      </c>
      <c r="B119" t="str">
        <f>HYPERLINK("https://www.suredividend.com/sure-analysis-research-database/","AN2 Therapeutics Inc")</f>
        <v>AN2 Therapeutics Inc</v>
      </c>
      <c r="C119" t="s">
        <v>1798</v>
      </c>
      <c r="D119">
        <v>13.92</v>
      </c>
      <c r="E119">
        <v>0</v>
      </c>
      <c r="F119" t="s">
        <v>1798</v>
      </c>
      <c r="G119" t="s">
        <v>1798</v>
      </c>
      <c r="H119">
        <v>0</v>
      </c>
      <c r="I119">
        <v>305.24405200000001</v>
      </c>
      <c r="J119">
        <v>0</v>
      </c>
      <c r="K119" t="s">
        <v>1798</v>
      </c>
      <c r="L119">
        <v>0.31485414464163203</v>
      </c>
      <c r="M119">
        <v>19.25</v>
      </c>
      <c r="N119">
        <v>4.87</v>
      </c>
    </row>
    <row r="120" spans="1:14" x14ac:dyDescent="0.35">
      <c r="A120" s="1" t="s">
        <v>132</v>
      </c>
      <c r="B120" t="str">
        <f>HYPERLINK("https://www.suredividend.com/sure-analysis-research-database/","Angel Oak Mortgage REIT Inc")</f>
        <v>Angel Oak Mortgage REIT Inc</v>
      </c>
      <c r="C120" t="s">
        <v>1798</v>
      </c>
      <c r="D120">
        <v>8.0500000000000007</v>
      </c>
      <c r="E120">
        <v>0.150465266008174</v>
      </c>
      <c r="F120" t="s">
        <v>1798</v>
      </c>
      <c r="G120" t="s">
        <v>1798</v>
      </c>
      <c r="H120">
        <v>1.2112453913658059</v>
      </c>
      <c r="I120">
        <v>200.89230599999999</v>
      </c>
      <c r="J120" t="s">
        <v>1798</v>
      </c>
      <c r="K120" t="s">
        <v>1798</v>
      </c>
      <c r="L120">
        <v>1.4986546796697391</v>
      </c>
      <c r="M120">
        <v>9.67</v>
      </c>
      <c r="N120">
        <v>3.94</v>
      </c>
    </row>
    <row r="121" spans="1:14" x14ac:dyDescent="0.35">
      <c r="A121" s="1" t="s">
        <v>133</v>
      </c>
      <c r="B121" t="str">
        <f>HYPERLINK("https://www.suredividend.com/sure-analysis-research-database/","Artivion Inc")</f>
        <v>Artivion Inc</v>
      </c>
      <c r="C121" t="s">
        <v>1798</v>
      </c>
      <c r="D121">
        <v>13.41</v>
      </c>
      <c r="E121">
        <v>0</v>
      </c>
      <c r="F121" t="s">
        <v>1798</v>
      </c>
      <c r="G121" t="s">
        <v>1798</v>
      </c>
      <c r="H121">
        <v>0</v>
      </c>
      <c r="I121">
        <v>550.34319500000004</v>
      </c>
      <c r="J121" t="s">
        <v>1798</v>
      </c>
      <c r="K121">
        <v>0</v>
      </c>
      <c r="L121">
        <v>1.3446362678986381</v>
      </c>
      <c r="M121">
        <v>17.97</v>
      </c>
      <c r="N121">
        <v>9.83</v>
      </c>
    </row>
    <row r="122" spans="1:14" x14ac:dyDescent="0.35">
      <c r="A122" s="1" t="s">
        <v>134</v>
      </c>
      <c r="B122" t="str">
        <f>HYPERLINK("https://www.suredividend.com/sure-analysis-research-database/","Alpha &amp; Omega Semiconductor Ltd")</f>
        <v>Alpha &amp; Omega Semiconductor Ltd</v>
      </c>
      <c r="C122" t="s">
        <v>1804</v>
      </c>
      <c r="D122">
        <v>27.37</v>
      </c>
      <c r="E122">
        <v>0</v>
      </c>
      <c r="F122" t="s">
        <v>1798</v>
      </c>
      <c r="G122" t="s">
        <v>1798</v>
      </c>
      <c r="H122">
        <v>0</v>
      </c>
      <c r="I122">
        <v>758.32247099999995</v>
      </c>
      <c r="J122">
        <v>61.333101832740212</v>
      </c>
      <c r="K122">
        <v>0</v>
      </c>
      <c r="L122">
        <v>1.7905036451734719</v>
      </c>
      <c r="M122">
        <v>38.869999999999997</v>
      </c>
      <c r="N122">
        <v>20.64</v>
      </c>
    </row>
    <row r="123" spans="1:14" x14ac:dyDescent="0.35">
      <c r="A123" s="1" t="s">
        <v>135</v>
      </c>
      <c r="B123" t="str">
        <f>HYPERLINK("https://www.suredividend.com/sure-analysis-APAM/","Artisan Partners Asset Management Inc")</f>
        <v>Artisan Partners Asset Management Inc</v>
      </c>
      <c r="C123" t="s">
        <v>1801</v>
      </c>
      <c r="D123">
        <v>35.5</v>
      </c>
      <c r="E123">
        <v>6.8732394366197186E-2</v>
      </c>
      <c r="F123">
        <v>8.9285714285714191E-2</v>
      </c>
      <c r="G123">
        <v>-1.2622342621668061E-2</v>
      </c>
      <c r="H123">
        <v>2.1716720305805688</v>
      </c>
      <c r="I123">
        <v>2430.6000490000001</v>
      </c>
      <c r="J123">
        <v>13.21682226675077</v>
      </c>
      <c r="K123">
        <v>0.7437232981440306</v>
      </c>
      <c r="L123">
        <v>1.3267010110513271</v>
      </c>
      <c r="M123">
        <v>42.27</v>
      </c>
      <c r="N123">
        <v>24.49</v>
      </c>
    </row>
    <row r="124" spans="1:14" x14ac:dyDescent="0.35">
      <c r="A124" s="1" t="s">
        <v>136</v>
      </c>
      <c r="B124" t="str">
        <f>HYPERLINK("https://www.suredividend.com/sure-analysis-research-database/","American Public Education Inc")</f>
        <v>American Public Education Inc</v>
      </c>
      <c r="C124" t="s">
        <v>1805</v>
      </c>
      <c r="D124">
        <v>4.41</v>
      </c>
      <c r="E124">
        <v>0</v>
      </c>
      <c r="F124" t="s">
        <v>1798</v>
      </c>
      <c r="G124" t="s">
        <v>1798</v>
      </c>
      <c r="H124">
        <v>0</v>
      </c>
      <c r="I124">
        <v>78.385099999999994</v>
      </c>
      <c r="J124" t="s">
        <v>1798</v>
      </c>
      <c r="K124">
        <v>0</v>
      </c>
      <c r="L124">
        <v>0.79665973329988204</v>
      </c>
      <c r="M124">
        <v>14.22</v>
      </c>
      <c r="N124">
        <v>3.76</v>
      </c>
    </row>
    <row r="125" spans="1:14" x14ac:dyDescent="0.35">
      <c r="A125" s="1" t="s">
        <v>137</v>
      </c>
      <c r="B125" t="str">
        <f>HYPERLINK("https://www.suredividend.com/sure-analysis-research-database/","APi Group Corporation")</f>
        <v>APi Group Corporation</v>
      </c>
      <c r="C125" t="s">
        <v>1798</v>
      </c>
      <c r="D125">
        <v>25.66</v>
      </c>
      <c r="E125">
        <v>0</v>
      </c>
      <c r="F125" t="s">
        <v>1798</v>
      </c>
      <c r="G125" t="s">
        <v>1798</v>
      </c>
      <c r="H125">
        <v>0</v>
      </c>
      <c r="I125">
        <v>6050.2686059999996</v>
      </c>
      <c r="J125">
        <v>75.628357575500004</v>
      </c>
      <c r="K125">
        <v>0</v>
      </c>
      <c r="L125">
        <v>1.1805204848018289</v>
      </c>
      <c r="M125">
        <v>29.57</v>
      </c>
      <c r="N125">
        <v>14.38</v>
      </c>
    </row>
    <row r="126" spans="1:14" x14ac:dyDescent="0.35">
      <c r="A126" s="1" t="s">
        <v>138</v>
      </c>
      <c r="B126" t="str">
        <f>HYPERLINK("https://www.suredividend.com/sure-analysis-research-database/","Applied Digital Corporation")</f>
        <v>Applied Digital Corporation</v>
      </c>
      <c r="C126" t="s">
        <v>1799</v>
      </c>
      <c r="D126">
        <v>5.13</v>
      </c>
      <c r="E126">
        <v>0</v>
      </c>
      <c r="F126" t="s">
        <v>1798</v>
      </c>
      <c r="G126" t="s">
        <v>1798</v>
      </c>
      <c r="H126">
        <v>0</v>
      </c>
      <c r="I126">
        <v>545.32025699999997</v>
      </c>
      <c r="J126" t="s">
        <v>1798</v>
      </c>
      <c r="K126">
        <v>0</v>
      </c>
      <c r="L126">
        <v>1.694890871171296</v>
      </c>
      <c r="M126">
        <v>11.62</v>
      </c>
      <c r="N126">
        <v>1.45</v>
      </c>
    </row>
    <row r="127" spans="1:14" x14ac:dyDescent="0.35">
      <c r="A127" s="1" t="s">
        <v>139</v>
      </c>
      <c r="B127" t="str">
        <f>HYPERLINK("https://www.suredividend.com/sure-analysis-APLE/","Apple Hospitality REIT Inc")</f>
        <v>Apple Hospitality REIT Inc</v>
      </c>
      <c r="C127" t="s">
        <v>1800</v>
      </c>
      <c r="D127">
        <v>15.64</v>
      </c>
      <c r="E127">
        <v>6.1381074168797949E-2</v>
      </c>
      <c r="F127">
        <v>0</v>
      </c>
      <c r="G127">
        <v>9.8560543306117632E-2</v>
      </c>
      <c r="H127">
        <v>0.93271225796883006</v>
      </c>
      <c r="I127">
        <v>3578.4177989999998</v>
      </c>
      <c r="J127">
        <v>22.411334620655101</v>
      </c>
      <c r="K127">
        <v>1.3379891808475539</v>
      </c>
      <c r="L127">
        <v>0.94835486738111707</v>
      </c>
      <c r="M127">
        <v>17.46</v>
      </c>
      <c r="N127">
        <v>13.16</v>
      </c>
    </row>
    <row r="128" spans="1:14" x14ac:dyDescent="0.35">
      <c r="A128" s="1" t="s">
        <v>140</v>
      </c>
      <c r="B128" t="str">
        <f>HYPERLINK("https://www.suredividend.com/sure-analysis-research-database/","Apellis Pharmaceuticals Inc")</f>
        <v>Apellis Pharmaceuticals Inc</v>
      </c>
      <c r="C128" t="s">
        <v>1803</v>
      </c>
      <c r="D128">
        <v>48.44</v>
      </c>
      <c r="E128">
        <v>0</v>
      </c>
      <c r="F128" t="s">
        <v>1798</v>
      </c>
      <c r="G128" t="s">
        <v>1798</v>
      </c>
      <c r="H128">
        <v>0</v>
      </c>
      <c r="I128">
        <v>5703.1942790000003</v>
      </c>
      <c r="J128">
        <v>0</v>
      </c>
      <c r="K128" t="s">
        <v>1798</v>
      </c>
      <c r="L128">
        <v>0.65937117966099801</v>
      </c>
      <c r="M128">
        <v>94.75</v>
      </c>
      <c r="N128">
        <v>19.829999999999998</v>
      </c>
    </row>
    <row r="129" spans="1:14" x14ac:dyDescent="0.35">
      <c r="A129" s="1" t="s">
        <v>141</v>
      </c>
      <c r="B129" t="str">
        <f>HYPERLINK("https://www.suredividend.com/sure-analysis-APOG/","Apogee Enterprises Inc.")</f>
        <v>Apogee Enterprises Inc.</v>
      </c>
      <c r="C129" t="s">
        <v>1799</v>
      </c>
      <c r="D129">
        <v>44.78</v>
      </c>
      <c r="E129">
        <v>2.143814202769093E-2</v>
      </c>
      <c r="F129">
        <v>9.0909090909090828E-2</v>
      </c>
      <c r="G129">
        <v>8.7892885777757002E-2</v>
      </c>
      <c r="H129">
        <v>0.92636603727455002</v>
      </c>
      <c r="I129">
        <v>988.40014599999995</v>
      </c>
      <c r="J129">
        <v>9.7968098568738249</v>
      </c>
      <c r="K129">
        <v>0.20449581396789179</v>
      </c>
      <c r="L129">
        <v>1.078533365142927</v>
      </c>
      <c r="M129">
        <v>51.69</v>
      </c>
      <c r="N129">
        <v>36.25</v>
      </c>
    </row>
    <row r="130" spans="1:14" x14ac:dyDescent="0.35">
      <c r="A130" s="1" t="s">
        <v>142</v>
      </c>
      <c r="B130" t="str">
        <f>HYPERLINK("https://www.suredividend.com/sure-analysis-research-database/","Appfolio Inc")</f>
        <v>Appfolio Inc</v>
      </c>
      <c r="C130" t="s">
        <v>1804</v>
      </c>
      <c r="D130">
        <v>180.67</v>
      </c>
      <c r="E130">
        <v>0</v>
      </c>
      <c r="F130" t="s">
        <v>1798</v>
      </c>
      <c r="G130" t="s">
        <v>1798</v>
      </c>
      <c r="H130">
        <v>0</v>
      </c>
      <c r="I130">
        <v>3780.570338</v>
      </c>
      <c r="J130" t="s">
        <v>1798</v>
      </c>
      <c r="K130">
        <v>0</v>
      </c>
      <c r="L130">
        <v>1.419776429707444</v>
      </c>
      <c r="M130">
        <v>201.91</v>
      </c>
      <c r="N130">
        <v>94.73</v>
      </c>
    </row>
    <row r="131" spans="1:14" x14ac:dyDescent="0.35">
      <c r="A131" s="1" t="s">
        <v>143</v>
      </c>
      <c r="B131" t="str">
        <f>HYPERLINK("https://www.suredividend.com/sure-analysis-research-database/","AppHarvest Inc")</f>
        <v>AppHarvest Inc</v>
      </c>
      <c r="C131" t="s">
        <v>1798</v>
      </c>
      <c r="D131">
        <v>6.6600000000000006E-2</v>
      </c>
      <c r="E131">
        <v>0</v>
      </c>
      <c r="F131" t="s">
        <v>1798</v>
      </c>
      <c r="G131" t="s">
        <v>1798</v>
      </c>
      <c r="H131">
        <v>0</v>
      </c>
      <c r="I131">
        <v>0</v>
      </c>
      <c r="J131">
        <v>0</v>
      </c>
      <c r="K131" t="s">
        <v>1798</v>
      </c>
    </row>
    <row r="132" spans="1:14" x14ac:dyDescent="0.35">
      <c r="A132" s="1" t="s">
        <v>144</v>
      </c>
      <c r="B132" t="str">
        <f>HYPERLINK("https://www.suredividend.com/sure-analysis-research-database/","Appian Corp")</f>
        <v>Appian Corp</v>
      </c>
      <c r="C132" t="s">
        <v>1804</v>
      </c>
      <c r="D132">
        <v>41.27</v>
      </c>
      <c r="E132">
        <v>0</v>
      </c>
      <c r="F132" t="s">
        <v>1798</v>
      </c>
      <c r="G132" t="s">
        <v>1798</v>
      </c>
      <c r="H132">
        <v>0</v>
      </c>
      <c r="I132">
        <v>1717.6304090000001</v>
      </c>
      <c r="J132" t="s">
        <v>1798</v>
      </c>
      <c r="K132">
        <v>0</v>
      </c>
      <c r="L132">
        <v>1.6509976034307929</v>
      </c>
      <c r="M132">
        <v>54.26</v>
      </c>
      <c r="N132">
        <v>29.8</v>
      </c>
    </row>
    <row r="133" spans="1:14" x14ac:dyDescent="0.35">
      <c r="A133" s="1" t="s">
        <v>145</v>
      </c>
      <c r="B133" t="str">
        <f>HYPERLINK("https://www.suredividend.com/sure-analysis-research-database/","Digital Turbine Inc")</f>
        <v>Digital Turbine Inc</v>
      </c>
      <c r="C133" t="s">
        <v>1804</v>
      </c>
      <c r="D133">
        <v>5.35</v>
      </c>
      <c r="E133">
        <v>0</v>
      </c>
      <c r="F133" t="s">
        <v>1798</v>
      </c>
      <c r="G133" t="s">
        <v>1798</v>
      </c>
      <c r="H133">
        <v>0</v>
      </c>
      <c r="I133">
        <v>537.76670999999999</v>
      </c>
      <c r="J133" t="s">
        <v>1798</v>
      </c>
      <c r="K133">
        <v>0</v>
      </c>
      <c r="L133">
        <v>3.6207407464777539</v>
      </c>
      <c r="M133">
        <v>20.399999999999999</v>
      </c>
      <c r="N133">
        <v>5.3</v>
      </c>
    </row>
    <row r="134" spans="1:14" x14ac:dyDescent="0.35">
      <c r="A134" s="1" t="s">
        <v>146</v>
      </c>
      <c r="B134" t="str">
        <f>HYPERLINK("https://www.suredividend.com/sure-analysis-research-database/","ArcBest Corp")</f>
        <v>ArcBest Corp</v>
      </c>
      <c r="C134" t="s">
        <v>1799</v>
      </c>
      <c r="D134">
        <v>95.9</v>
      </c>
      <c r="E134">
        <v>4.9868458248780003E-3</v>
      </c>
      <c r="F134">
        <v>0</v>
      </c>
      <c r="G134">
        <v>8.4471771197698553E-2</v>
      </c>
      <c r="H134">
        <v>0.47823851460588801</v>
      </c>
      <c r="I134">
        <v>2303.9931849999998</v>
      </c>
      <c r="J134">
        <v>9.6845092978289635</v>
      </c>
      <c r="K134">
        <v>5.0393942529598307E-2</v>
      </c>
      <c r="L134">
        <v>1.5108424494927519</v>
      </c>
      <c r="M134">
        <v>122.6</v>
      </c>
      <c r="N134">
        <v>67.59</v>
      </c>
    </row>
    <row r="135" spans="1:14" x14ac:dyDescent="0.35">
      <c r="A135" s="1" t="s">
        <v>147</v>
      </c>
      <c r="B135" t="str">
        <f>HYPERLINK("https://www.suredividend.com/sure-analysis-research-database/","Arch Resources Inc")</f>
        <v>Arch Resources Inc</v>
      </c>
      <c r="C135" t="s">
        <v>1808</v>
      </c>
      <c r="D135">
        <v>154.47999999999999</v>
      </c>
      <c r="E135">
        <v>0.130763524051798</v>
      </c>
      <c r="F135">
        <v>0</v>
      </c>
      <c r="G135">
        <v>-8.9717898486959879E-2</v>
      </c>
      <c r="H135">
        <v>20.20034919552181</v>
      </c>
      <c r="I135">
        <v>2800.305613</v>
      </c>
      <c r="J135">
        <v>3.0210214393164598</v>
      </c>
      <c r="K135">
        <v>0.43657551751722079</v>
      </c>
      <c r="L135">
        <v>0.65614578931415202</v>
      </c>
      <c r="M135">
        <v>175.1</v>
      </c>
      <c r="N135">
        <v>102.23</v>
      </c>
    </row>
    <row r="136" spans="1:14" x14ac:dyDescent="0.35">
      <c r="A136" s="1" t="s">
        <v>148</v>
      </c>
      <c r="B136" t="str">
        <f>HYPERLINK("https://www.suredividend.com/sure-analysis-research-database/","Arcturus Therapeutics Holdings Inc")</f>
        <v>Arcturus Therapeutics Holdings Inc</v>
      </c>
      <c r="C136" t="s">
        <v>1803</v>
      </c>
      <c r="D136">
        <v>22.92</v>
      </c>
      <c r="E136">
        <v>0</v>
      </c>
      <c r="F136" t="s">
        <v>1798</v>
      </c>
      <c r="G136" t="s">
        <v>1798</v>
      </c>
      <c r="H136">
        <v>0</v>
      </c>
      <c r="I136">
        <v>609.63851399999999</v>
      </c>
      <c r="J136">
        <v>7.5934298297315816</v>
      </c>
      <c r="K136">
        <v>0</v>
      </c>
      <c r="L136">
        <v>1.294488926821975</v>
      </c>
      <c r="M136">
        <v>37.75</v>
      </c>
      <c r="N136">
        <v>13.83</v>
      </c>
    </row>
    <row r="137" spans="1:14" x14ac:dyDescent="0.35">
      <c r="A137" s="1" t="s">
        <v>149</v>
      </c>
      <c r="B137" t="str">
        <f>HYPERLINK("https://www.suredividend.com/sure-analysis-research-database/","Arena Group Holdings Inc (The)")</f>
        <v>Arena Group Holdings Inc (The)</v>
      </c>
      <c r="C137" t="s">
        <v>1798</v>
      </c>
      <c r="D137">
        <v>4.32</v>
      </c>
      <c r="E137">
        <v>0</v>
      </c>
      <c r="F137" t="s">
        <v>1798</v>
      </c>
      <c r="G137" t="s">
        <v>1798</v>
      </c>
      <c r="H137">
        <v>0</v>
      </c>
      <c r="I137">
        <v>102.776545</v>
      </c>
      <c r="J137">
        <v>0</v>
      </c>
      <c r="K137" t="s">
        <v>1798</v>
      </c>
      <c r="L137">
        <v>0.93360681472219809</v>
      </c>
      <c r="M137">
        <v>16.5</v>
      </c>
      <c r="N137">
        <v>3.27</v>
      </c>
    </row>
    <row r="138" spans="1:14" x14ac:dyDescent="0.35">
      <c r="A138" s="1" t="s">
        <v>150</v>
      </c>
      <c r="B138" t="str">
        <f>HYPERLINK("https://www.suredividend.com/sure-analysis-research-database/","Argo Group International Holdings Ltd")</f>
        <v>Argo Group International Holdings Ltd</v>
      </c>
      <c r="C138" t="s">
        <v>1801</v>
      </c>
      <c r="D138">
        <v>29.72</v>
      </c>
      <c r="E138">
        <v>1.0430686486681001E-2</v>
      </c>
      <c r="F138" t="s">
        <v>1798</v>
      </c>
      <c r="G138" t="s">
        <v>1798</v>
      </c>
      <c r="H138">
        <v>0.31000000238418501</v>
      </c>
      <c r="I138">
        <v>1046.0934460000001</v>
      </c>
      <c r="J138" t="s">
        <v>1798</v>
      </c>
      <c r="K138" t="s">
        <v>1798</v>
      </c>
      <c r="L138">
        <v>0.45559189667264399</v>
      </c>
      <c r="M138">
        <v>30.13</v>
      </c>
      <c r="N138">
        <v>21.43</v>
      </c>
    </row>
    <row r="139" spans="1:14" x14ac:dyDescent="0.35">
      <c r="A139" s="1" t="s">
        <v>151</v>
      </c>
      <c r="B139" t="str">
        <f>HYPERLINK("https://www.suredividend.com/sure-analysis-ARI/","Apollo Commercial Real Estate Finance Inc")</f>
        <v>Apollo Commercial Real Estate Finance Inc</v>
      </c>
      <c r="C139" t="s">
        <v>1800</v>
      </c>
      <c r="D139">
        <v>10.09</v>
      </c>
      <c r="E139">
        <v>0.1387512388503469</v>
      </c>
      <c r="F139">
        <v>0</v>
      </c>
      <c r="G139">
        <v>-5.3191730288527077E-2</v>
      </c>
      <c r="H139">
        <v>1.3314296791100899</v>
      </c>
      <c r="I139">
        <v>1426.2531120000001</v>
      </c>
      <c r="J139">
        <v>11.129125761538759</v>
      </c>
      <c r="K139">
        <v>1.6806736671422491</v>
      </c>
      <c r="L139">
        <v>1.4844442700233269</v>
      </c>
      <c r="M139">
        <v>11.78</v>
      </c>
      <c r="N139">
        <v>7.84</v>
      </c>
    </row>
    <row r="140" spans="1:14" x14ac:dyDescent="0.35">
      <c r="A140" s="1" t="s">
        <v>152</v>
      </c>
      <c r="B140" t="str">
        <f>HYPERLINK("https://www.suredividend.com/sure-analysis-research-database/","Aris Water Solutions Inc")</f>
        <v>Aris Water Solutions Inc</v>
      </c>
      <c r="C140" t="s">
        <v>1798</v>
      </c>
      <c r="D140">
        <v>9.1</v>
      </c>
      <c r="E140">
        <v>3.9000803687939997E-2</v>
      </c>
      <c r="F140" t="s">
        <v>1798</v>
      </c>
      <c r="G140" t="s">
        <v>1798</v>
      </c>
      <c r="H140">
        <v>0.35490731356025601</v>
      </c>
      <c r="I140">
        <v>273.67447399999998</v>
      </c>
      <c r="J140">
        <v>25.808607487740471</v>
      </c>
      <c r="K140">
        <v>0.9421484299449322</v>
      </c>
      <c r="L140">
        <v>1.131155243033741</v>
      </c>
      <c r="M140">
        <v>17.21</v>
      </c>
      <c r="N140">
        <v>6.57</v>
      </c>
    </row>
    <row r="141" spans="1:14" x14ac:dyDescent="0.35">
      <c r="A141" s="1" t="s">
        <v>153</v>
      </c>
      <c r="B141" t="str">
        <f>HYPERLINK("https://www.suredividend.com/sure-analysis-research-database/","ARKO Corp")</f>
        <v>ARKO Corp</v>
      </c>
      <c r="C141" t="s">
        <v>1798</v>
      </c>
      <c r="D141">
        <v>7.61</v>
      </c>
      <c r="E141">
        <v>1.5636699481221001E-2</v>
      </c>
      <c r="F141" t="s">
        <v>1798</v>
      </c>
      <c r="G141" t="s">
        <v>1798</v>
      </c>
      <c r="H141">
        <v>0.118995283052095</v>
      </c>
      <c r="I141">
        <v>902.97866699999997</v>
      </c>
      <c r="J141">
        <v>0</v>
      </c>
      <c r="K141" t="s">
        <v>1798</v>
      </c>
      <c r="L141">
        <v>0.63061442835723602</v>
      </c>
      <c r="M141">
        <v>10.61</v>
      </c>
      <c r="N141">
        <v>6.62</v>
      </c>
    </row>
    <row r="142" spans="1:14" x14ac:dyDescent="0.35">
      <c r="A142" s="1" t="s">
        <v>154</v>
      </c>
      <c r="B142" t="str">
        <f>HYPERLINK("https://www.suredividend.com/sure-analysis-research-database/","American Realty Investors Inc.")</f>
        <v>American Realty Investors Inc.</v>
      </c>
      <c r="C142" t="s">
        <v>1800</v>
      </c>
      <c r="D142">
        <v>14.7</v>
      </c>
      <c r="E142">
        <v>0</v>
      </c>
      <c r="F142" t="s">
        <v>1798</v>
      </c>
      <c r="G142" t="s">
        <v>1798</v>
      </c>
      <c r="H142">
        <v>0</v>
      </c>
      <c r="I142">
        <v>237.43503200000001</v>
      </c>
      <c r="J142">
        <v>0.68066896418271505</v>
      </c>
      <c r="K142">
        <v>0</v>
      </c>
      <c r="L142">
        <v>0.249042076470226</v>
      </c>
      <c r="M142">
        <v>31.59</v>
      </c>
      <c r="N142">
        <v>14.01</v>
      </c>
    </row>
    <row r="143" spans="1:14" x14ac:dyDescent="0.35">
      <c r="A143" s="1" t="s">
        <v>155</v>
      </c>
      <c r="B143" t="str">
        <f>HYPERLINK("https://www.suredividend.com/sure-analysis-research-database/","Arlo Technologies Inc")</f>
        <v>Arlo Technologies Inc</v>
      </c>
      <c r="C143" t="s">
        <v>1799</v>
      </c>
      <c r="D143">
        <v>8.44</v>
      </c>
      <c r="E143">
        <v>0</v>
      </c>
      <c r="F143" t="s">
        <v>1798</v>
      </c>
      <c r="G143" t="s">
        <v>1798</v>
      </c>
      <c r="H143">
        <v>0</v>
      </c>
      <c r="I143">
        <v>793.82371899999998</v>
      </c>
      <c r="J143" t="s">
        <v>1798</v>
      </c>
      <c r="K143">
        <v>0</v>
      </c>
      <c r="L143">
        <v>1.7767463716373051</v>
      </c>
      <c r="M143">
        <v>11.54</v>
      </c>
      <c r="N143">
        <v>2.93</v>
      </c>
    </row>
    <row r="144" spans="1:14" x14ac:dyDescent="0.35">
      <c r="A144" s="1" t="s">
        <v>156</v>
      </c>
      <c r="B144" t="str">
        <f>HYPERLINK("https://www.suredividend.com/sure-analysis-research-database/","Arconic Corporation")</f>
        <v>Arconic Corporation</v>
      </c>
      <c r="C144" t="s">
        <v>1799</v>
      </c>
      <c r="D144">
        <v>29.99</v>
      </c>
      <c r="E144">
        <v>0</v>
      </c>
      <c r="F144" t="s">
        <v>1798</v>
      </c>
      <c r="G144" t="s">
        <v>1798</v>
      </c>
      <c r="H144">
        <v>0</v>
      </c>
      <c r="I144">
        <v>3009.3904550000002</v>
      </c>
      <c r="J144" t="s">
        <v>1798</v>
      </c>
      <c r="K144">
        <v>0</v>
      </c>
      <c r="L144">
        <v>1.237765426568983</v>
      </c>
      <c r="M144">
        <v>30.02</v>
      </c>
      <c r="N144">
        <v>16.329999999999998</v>
      </c>
    </row>
    <row r="145" spans="1:14" x14ac:dyDescent="0.35">
      <c r="A145" s="1" t="s">
        <v>157</v>
      </c>
      <c r="B145" t="str">
        <f>HYPERLINK("https://www.suredividend.com/sure-analysis-research-database/","Archrock Inc")</f>
        <v>Archrock Inc</v>
      </c>
      <c r="C145" t="s">
        <v>1808</v>
      </c>
      <c r="D145">
        <v>12.95</v>
      </c>
      <c r="E145">
        <v>4.5410143883488012E-2</v>
      </c>
      <c r="F145">
        <v>6.8965517241379448E-2</v>
      </c>
      <c r="G145">
        <v>3.2646205137032647E-2</v>
      </c>
      <c r="H145">
        <v>0.58806136329117309</v>
      </c>
      <c r="I145">
        <v>2026.6695090000001</v>
      </c>
      <c r="J145">
        <v>30.923578827550429</v>
      </c>
      <c r="K145">
        <v>1.3826977740210979</v>
      </c>
      <c r="L145">
        <v>0.90369939271835409</v>
      </c>
      <c r="M145">
        <v>13.79</v>
      </c>
      <c r="N145">
        <v>6.47</v>
      </c>
    </row>
    <row r="146" spans="1:14" x14ac:dyDescent="0.35">
      <c r="A146" s="1" t="s">
        <v>158</v>
      </c>
      <c r="B146" t="str">
        <f>HYPERLINK("https://www.suredividend.com/sure-analysis-AROW/","Arrow Financial Corp.")</f>
        <v>Arrow Financial Corp.</v>
      </c>
      <c r="C146" t="s">
        <v>1801</v>
      </c>
      <c r="D146">
        <v>17.850000000000001</v>
      </c>
      <c r="E146">
        <v>6.0504201680672269E-2</v>
      </c>
      <c r="F146">
        <v>-1</v>
      </c>
      <c r="G146">
        <v>-1</v>
      </c>
      <c r="H146">
        <v>1.0195766808018309</v>
      </c>
      <c r="I146">
        <v>295.47208499999999</v>
      </c>
      <c r="J146">
        <v>7.6036976067320321</v>
      </c>
      <c r="K146">
        <v>0.43386241736248121</v>
      </c>
      <c r="L146">
        <v>0.86966544596626605</v>
      </c>
      <c r="M146">
        <v>33.340000000000003</v>
      </c>
      <c r="N146">
        <v>16.14</v>
      </c>
    </row>
    <row r="147" spans="1:14" x14ac:dyDescent="0.35">
      <c r="A147" s="1" t="s">
        <v>159</v>
      </c>
      <c r="B147" t="str">
        <f>HYPERLINK("https://www.suredividend.com/sure-analysis-research-database/","Arcutis Biotherapeutics Inc")</f>
        <v>Arcutis Biotherapeutics Inc</v>
      </c>
      <c r="C147" t="s">
        <v>1803</v>
      </c>
      <c r="D147">
        <v>3.88</v>
      </c>
      <c r="E147">
        <v>0</v>
      </c>
      <c r="F147" t="s">
        <v>1798</v>
      </c>
      <c r="G147" t="s">
        <v>1798</v>
      </c>
      <c r="H147">
        <v>0</v>
      </c>
      <c r="I147">
        <v>239.21743499999999</v>
      </c>
      <c r="J147" t="s">
        <v>1798</v>
      </c>
      <c r="K147">
        <v>0</v>
      </c>
      <c r="L147">
        <v>1.123500301970195</v>
      </c>
      <c r="M147">
        <v>20.11</v>
      </c>
      <c r="N147">
        <v>3.16</v>
      </c>
    </row>
    <row r="148" spans="1:14" x14ac:dyDescent="0.35">
      <c r="A148" s="1" t="s">
        <v>160</v>
      </c>
      <c r="B148" t="str">
        <f>HYPERLINK("https://www.suredividend.com/sure-analysis-ARR/","ARMOUR Residential REIT Inc")</f>
        <v>ARMOUR Residential REIT Inc</v>
      </c>
      <c r="C148" t="s">
        <v>1800</v>
      </c>
      <c r="D148">
        <v>18.190000000000001</v>
      </c>
      <c r="E148">
        <v>0.26388125343595381</v>
      </c>
      <c r="F148">
        <v>4</v>
      </c>
      <c r="G148">
        <v>0.3195079107728942</v>
      </c>
      <c r="H148">
        <v>4.726452103772453</v>
      </c>
      <c r="I148">
        <v>4152.944966</v>
      </c>
      <c r="J148" t="s">
        <v>1798</v>
      </c>
      <c r="K148" t="s">
        <v>1798</v>
      </c>
      <c r="L148">
        <v>0.96047818049667311</v>
      </c>
      <c r="M148">
        <v>28.79</v>
      </c>
      <c r="N148">
        <v>18.02</v>
      </c>
    </row>
    <row r="149" spans="1:14" x14ac:dyDescent="0.35">
      <c r="A149" s="1" t="s">
        <v>161</v>
      </c>
      <c r="B149" t="str">
        <f>HYPERLINK("https://www.suredividend.com/sure-analysis-research-database/","Array Technologies Inc")</f>
        <v>Array Technologies Inc</v>
      </c>
      <c r="C149" t="s">
        <v>1798</v>
      </c>
      <c r="D149">
        <v>19.440000000000001</v>
      </c>
      <c r="E149">
        <v>0</v>
      </c>
      <c r="F149" t="s">
        <v>1798</v>
      </c>
      <c r="G149" t="s">
        <v>1798</v>
      </c>
      <c r="H149">
        <v>0</v>
      </c>
      <c r="I149">
        <v>2936.7930240000001</v>
      </c>
      <c r="J149">
        <v>40.165116988976727</v>
      </c>
      <c r="K149">
        <v>0</v>
      </c>
      <c r="L149">
        <v>1.4913043119111999</v>
      </c>
      <c r="M149">
        <v>26.64</v>
      </c>
      <c r="N149">
        <v>13.86</v>
      </c>
    </row>
    <row r="150" spans="1:14" x14ac:dyDescent="0.35">
      <c r="A150" s="1" t="s">
        <v>162</v>
      </c>
      <c r="B150" t="str">
        <f>HYPERLINK("https://www.suredividend.com/sure-analysis-ARTNA/","Artesian Resources Corp.")</f>
        <v>Artesian Resources Corp.</v>
      </c>
      <c r="C150" t="s">
        <v>1806</v>
      </c>
      <c r="D150">
        <v>40.86</v>
      </c>
      <c r="E150">
        <v>2.7900146842878119E-2</v>
      </c>
      <c r="F150">
        <v>2.0114942528735691E-2</v>
      </c>
      <c r="G150">
        <v>3.2269237483088409E-2</v>
      </c>
      <c r="H150">
        <v>1.114188688692443</v>
      </c>
      <c r="I150">
        <v>383.82396699999998</v>
      </c>
      <c r="J150">
        <v>23.098270864777039</v>
      </c>
      <c r="K150">
        <v>0.64403970444649883</v>
      </c>
      <c r="L150">
        <v>0.56001603616643902</v>
      </c>
      <c r="M150">
        <v>62.01</v>
      </c>
      <c r="N150">
        <v>40.380000000000003</v>
      </c>
    </row>
    <row r="151" spans="1:14" x14ac:dyDescent="0.35">
      <c r="A151" s="1" t="s">
        <v>163</v>
      </c>
      <c r="B151" t="str">
        <f>HYPERLINK("https://www.suredividend.com/sure-analysis-research-database/","Arvinas Inc")</f>
        <v>Arvinas Inc</v>
      </c>
      <c r="C151" t="s">
        <v>1803</v>
      </c>
      <c r="D151">
        <v>16.84</v>
      </c>
      <c r="E151">
        <v>0</v>
      </c>
      <c r="F151" t="s">
        <v>1798</v>
      </c>
      <c r="G151" t="s">
        <v>1798</v>
      </c>
      <c r="H151">
        <v>0</v>
      </c>
      <c r="I151">
        <v>900.68778699999996</v>
      </c>
      <c r="J151" t="s">
        <v>1798</v>
      </c>
      <c r="K151">
        <v>0</v>
      </c>
      <c r="L151">
        <v>1.663433228908499</v>
      </c>
      <c r="M151">
        <v>57.96</v>
      </c>
      <c r="N151">
        <v>16.5</v>
      </c>
    </row>
    <row r="152" spans="1:14" x14ac:dyDescent="0.35">
      <c r="A152" s="1" t="s">
        <v>164</v>
      </c>
      <c r="B152" t="str">
        <f>HYPERLINK("https://www.suredividend.com/sure-analysis-research-database/","Arrowhead Pharmaceuticals Inc.")</f>
        <v>Arrowhead Pharmaceuticals Inc.</v>
      </c>
      <c r="C152" t="s">
        <v>1803</v>
      </c>
      <c r="D152">
        <v>26.6</v>
      </c>
      <c r="E152">
        <v>0</v>
      </c>
      <c r="F152" t="s">
        <v>1798</v>
      </c>
      <c r="G152" t="s">
        <v>1798</v>
      </c>
      <c r="H152">
        <v>0</v>
      </c>
      <c r="I152">
        <v>2851.3311669999998</v>
      </c>
      <c r="J152" t="s">
        <v>1798</v>
      </c>
      <c r="K152">
        <v>0</v>
      </c>
      <c r="L152">
        <v>1.381298817650358</v>
      </c>
      <c r="M152">
        <v>42.48</v>
      </c>
      <c r="N152">
        <v>23.09</v>
      </c>
    </row>
    <row r="153" spans="1:14" x14ac:dyDescent="0.35">
      <c r="A153" s="1" t="s">
        <v>165</v>
      </c>
      <c r="B153" t="str">
        <f>HYPERLINK("https://www.suredividend.com/sure-analysis-research-database/","Asana Inc")</f>
        <v>Asana Inc</v>
      </c>
      <c r="C153" t="s">
        <v>1798</v>
      </c>
      <c r="D153">
        <v>17.579999999999998</v>
      </c>
      <c r="E153">
        <v>0</v>
      </c>
      <c r="F153" t="s">
        <v>1798</v>
      </c>
      <c r="G153" t="s">
        <v>1798</v>
      </c>
      <c r="H153">
        <v>0</v>
      </c>
      <c r="I153">
        <v>3740.568221</v>
      </c>
      <c r="J153" t="s">
        <v>1798</v>
      </c>
      <c r="K153">
        <v>0</v>
      </c>
      <c r="L153">
        <v>2.3700889717716471</v>
      </c>
      <c r="M153">
        <v>26.27</v>
      </c>
      <c r="N153">
        <v>11.32</v>
      </c>
    </row>
    <row r="154" spans="1:14" x14ac:dyDescent="0.35">
      <c r="A154" s="1" t="s">
        <v>166</v>
      </c>
      <c r="B154" t="str">
        <f>HYPERLINK("https://www.suredividend.com/sure-analysis-ASB/","Associated Banc-Corp.")</f>
        <v>Associated Banc-Corp.</v>
      </c>
      <c r="C154" t="s">
        <v>1801</v>
      </c>
      <c r="D154">
        <v>16</v>
      </c>
      <c r="E154">
        <v>5.2499999999999998E-2</v>
      </c>
      <c r="F154">
        <v>4.9999999999999822E-2</v>
      </c>
      <c r="G154">
        <v>4.3167563810134979E-2</v>
      </c>
      <c r="H154">
        <v>0.82479105428921407</v>
      </c>
      <c r="I154">
        <v>2414.7374399999999</v>
      </c>
      <c r="J154">
        <v>6.3239675360557719</v>
      </c>
      <c r="K154">
        <v>0.32600436928427429</v>
      </c>
      <c r="L154">
        <v>1.191158179764096</v>
      </c>
      <c r="M154">
        <v>24.41</v>
      </c>
      <c r="N154">
        <v>14.1</v>
      </c>
    </row>
    <row r="155" spans="1:14" x14ac:dyDescent="0.35">
      <c r="A155" s="1" t="s">
        <v>167</v>
      </c>
      <c r="B155" t="str">
        <f>HYPERLINK("https://www.suredividend.com/sure-analysis-research-database/","Ardmore Shipping Corp")</f>
        <v>Ardmore Shipping Corp</v>
      </c>
      <c r="C155" t="s">
        <v>1808</v>
      </c>
      <c r="D155">
        <v>13.15</v>
      </c>
      <c r="E155">
        <v>7.3479333970064009E-2</v>
      </c>
      <c r="F155" t="s">
        <v>1798</v>
      </c>
      <c r="G155" t="s">
        <v>1798</v>
      </c>
      <c r="H155">
        <v>0.96625324170634108</v>
      </c>
      <c r="I155">
        <v>560.84749999999997</v>
      </c>
      <c r="J155">
        <v>0</v>
      </c>
      <c r="K155" t="s">
        <v>1798</v>
      </c>
      <c r="L155">
        <v>0.83373230938006904</v>
      </c>
      <c r="M155">
        <v>18.600000000000001</v>
      </c>
      <c r="N155">
        <v>9.65</v>
      </c>
    </row>
    <row r="156" spans="1:14" x14ac:dyDescent="0.35">
      <c r="A156" s="1" t="s">
        <v>168</v>
      </c>
      <c r="B156" t="str">
        <f>HYPERLINK("https://www.suredividend.com/sure-analysis-research-database/","ASGN Inc")</f>
        <v>ASGN Inc</v>
      </c>
      <c r="C156" t="s">
        <v>1799</v>
      </c>
      <c r="D156">
        <v>82.25</v>
      </c>
      <c r="E156">
        <v>0</v>
      </c>
      <c r="F156" t="s">
        <v>1798</v>
      </c>
      <c r="G156" t="s">
        <v>1798</v>
      </c>
      <c r="H156">
        <v>0</v>
      </c>
      <c r="I156">
        <v>3980.9</v>
      </c>
      <c r="J156">
        <v>16.698406040268459</v>
      </c>
      <c r="K156">
        <v>0</v>
      </c>
      <c r="L156">
        <v>1.3944762239236439</v>
      </c>
      <c r="M156">
        <v>99.69</v>
      </c>
      <c r="N156">
        <v>63.27</v>
      </c>
    </row>
    <row r="157" spans="1:14" x14ac:dyDescent="0.35">
      <c r="A157" s="1" t="s">
        <v>169</v>
      </c>
      <c r="B157" t="str">
        <f>HYPERLINK("https://www.suredividend.com/sure-analysis-research-database/","AdvanSix Inc")</f>
        <v>AdvanSix Inc</v>
      </c>
      <c r="C157" t="s">
        <v>1809</v>
      </c>
      <c r="D157">
        <v>28.79</v>
      </c>
      <c r="E157">
        <v>2.0541865962131999E-2</v>
      </c>
      <c r="F157" t="s">
        <v>1798</v>
      </c>
      <c r="G157" t="s">
        <v>1798</v>
      </c>
      <c r="H157">
        <v>0.59140032104978302</v>
      </c>
      <c r="I157">
        <v>783.46393999999998</v>
      </c>
      <c r="J157">
        <v>7.0368062999155727</v>
      </c>
      <c r="K157">
        <v>0.15164110796148281</v>
      </c>
      <c r="L157">
        <v>1.1923273182261771</v>
      </c>
      <c r="M157">
        <v>44.03</v>
      </c>
      <c r="N157">
        <v>28.13</v>
      </c>
    </row>
    <row r="158" spans="1:14" x14ac:dyDescent="0.35">
      <c r="A158" s="1" t="s">
        <v>170</v>
      </c>
      <c r="B158" t="str">
        <f>HYPERLINK("https://www.suredividend.com/sure-analysis-research-database/","AerSale Corp")</f>
        <v>AerSale Corp</v>
      </c>
      <c r="C158" t="s">
        <v>1798</v>
      </c>
      <c r="D158">
        <v>15.54</v>
      </c>
      <c r="E158">
        <v>0</v>
      </c>
      <c r="F158" t="s">
        <v>1798</v>
      </c>
      <c r="G158" t="s">
        <v>1798</v>
      </c>
      <c r="H158">
        <v>0</v>
      </c>
      <c r="I158">
        <v>797.64955199999997</v>
      </c>
      <c r="J158" t="s">
        <v>1798</v>
      </c>
      <c r="K158">
        <v>0</v>
      </c>
      <c r="L158">
        <v>1.0684933080143431</v>
      </c>
      <c r="M158">
        <v>21.37</v>
      </c>
      <c r="N158">
        <v>10.39</v>
      </c>
    </row>
    <row r="159" spans="1:14" x14ac:dyDescent="0.35">
      <c r="A159" s="1" t="s">
        <v>171</v>
      </c>
      <c r="B159" t="str">
        <f>HYPERLINK("https://www.suredividend.com/sure-analysis-research-database/","Academy Sports and Outdoors Inc")</f>
        <v>Academy Sports and Outdoors Inc</v>
      </c>
      <c r="C159" t="s">
        <v>1798</v>
      </c>
      <c r="D159">
        <v>43.25</v>
      </c>
      <c r="E159">
        <v>7.9464142108350011E-3</v>
      </c>
      <c r="F159" t="s">
        <v>1798</v>
      </c>
      <c r="G159" t="s">
        <v>1798</v>
      </c>
      <c r="H159">
        <v>0.34368241461862198</v>
      </c>
      <c r="I159">
        <v>3223.6298409999999</v>
      </c>
      <c r="J159">
        <v>5.9648356993111156</v>
      </c>
      <c r="K159">
        <v>5.0765496989456732E-2</v>
      </c>
      <c r="L159">
        <v>0.97705217405988809</v>
      </c>
      <c r="M159">
        <v>68.650000000000006</v>
      </c>
      <c r="N159">
        <v>40.340000000000003</v>
      </c>
    </row>
    <row r="160" spans="1:14" x14ac:dyDescent="0.35">
      <c r="A160" s="1" t="s">
        <v>172</v>
      </c>
      <c r="B160" t="str">
        <f>HYPERLINK("https://www.suredividend.com/sure-analysis-research-database/","Aspen Aerogels Inc.")</f>
        <v>Aspen Aerogels Inc.</v>
      </c>
      <c r="C160" t="s">
        <v>1799</v>
      </c>
      <c r="D160">
        <v>8.32</v>
      </c>
      <c r="E160">
        <v>0</v>
      </c>
      <c r="F160" t="s">
        <v>1798</v>
      </c>
      <c r="G160" t="s">
        <v>1798</v>
      </c>
      <c r="H160">
        <v>0</v>
      </c>
      <c r="I160">
        <v>584.12589200000002</v>
      </c>
      <c r="J160">
        <v>0</v>
      </c>
      <c r="K160" t="s">
        <v>1798</v>
      </c>
      <c r="L160">
        <v>2.3378972680333141</v>
      </c>
      <c r="M160">
        <v>14.44</v>
      </c>
      <c r="N160">
        <v>5.33</v>
      </c>
    </row>
    <row r="161" spans="1:14" x14ac:dyDescent="0.35">
      <c r="A161" s="1" t="s">
        <v>173</v>
      </c>
      <c r="B161" t="str">
        <f>HYPERLINK("https://www.suredividend.com/sure-analysis-research-database/","Astec Industries Inc.")</f>
        <v>Astec Industries Inc.</v>
      </c>
      <c r="C161" t="s">
        <v>1799</v>
      </c>
      <c r="D161">
        <v>43.96</v>
      </c>
      <c r="E161">
        <v>1.1749407689058E-2</v>
      </c>
      <c r="F161">
        <v>0</v>
      </c>
      <c r="G161">
        <v>3.3975226531950183E-2</v>
      </c>
      <c r="H161">
        <v>0.516503962011027</v>
      </c>
      <c r="I161">
        <v>999.49961699999994</v>
      </c>
      <c r="J161">
        <v>40.140546875501997</v>
      </c>
      <c r="K161">
        <v>0.46954905637366079</v>
      </c>
      <c r="L161">
        <v>1.202500154916613</v>
      </c>
      <c r="M161">
        <v>56.33</v>
      </c>
      <c r="N161">
        <v>33.450000000000003</v>
      </c>
    </row>
    <row r="162" spans="1:14" x14ac:dyDescent="0.35">
      <c r="A162" s="1" t="s">
        <v>174</v>
      </c>
      <c r="B162" t="str">
        <f>HYPERLINK("https://www.suredividend.com/sure-analysis-research-database/","Astra Space Inc")</f>
        <v>Astra Space Inc</v>
      </c>
      <c r="C162" t="s">
        <v>1798</v>
      </c>
      <c r="D162">
        <v>0.72810000000000008</v>
      </c>
      <c r="E162">
        <v>0</v>
      </c>
      <c r="F162" t="s">
        <v>1798</v>
      </c>
      <c r="G162" t="s">
        <v>1798</v>
      </c>
      <c r="H162">
        <v>0</v>
      </c>
      <c r="I162">
        <v>10.81175</v>
      </c>
      <c r="J162" t="s">
        <v>1798</v>
      </c>
      <c r="K162">
        <v>0</v>
      </c>
      <c r="L162">
        <v>2.0185791754335098</v>
      </c>
      <c r="M162">
        <v>11.1</v>
      </c>
      <c r="N162">
        <v>0.72499999999999998</v>
      </c>
    </row>
    <row r="163" spans="1:14" x14ac:dyDescent="0.35">
      <c r="A163" s="1" t="s">
        <v>175</v>
      </c>
      <c r="B163" t="str">
        <f>HYPERLINK("https://www.suredividend.com/sure-analysis-research-database/","Alphatec Holdings Inc")</f>
        <v>Alphatec Holdings Inc</v>
      </c>
      <c r="C163" t="s">
        <v>1803</v>
      </c>
      <c r="D163">
        <v>11.21</v>
      </c>
      <c r="E163">
        <v>0</v>
      </c>
      <c r="F163" t="s">
        <v>1798</v>
      </c>
      <c r="G163" t="s">
        <v>1798</v>
      </c>
      <c r="H163">
        <v>0</v>
      </c>
      <c r="I163">
        <v>1348.778568</v>
      </c>
      <c r="J163" t="s">
        <v>1798</v>
      </c>
      <c r="K163">
        <v>0</v>
      </c>
      <c r="L163">
        <v>1.2755949624423291</v>
      </c>
      <c r="M163">
        <v>19.14</v>
      </c>
      <c r="N163">
        <v>8.83</v>
      </c>
    </row>
    <row r="164" spans="1:14" x14ac:dyDescent="0.35">
      <c r="A164" s="1" t="s">
        <v>176</v>
      </c>
      <c r="B164" t="str">
        <f>HYPERLINK("https://www.suredividend.com/sure-analysis-research-database/","A10 Networks Inc")</f>
        <v>A10 Networks Inc</v>
      </c>
      <c r="C164" t="s">
        <v>1804</v>
      </c>
      <c r="D164">
        <v>10.91</v>
      </c>
      <c r="E164">
        <v>2.1864013629480001E-2</v>
      </c>
      <c r="F164" t="s">
        <v>1798</v>
      </c>
      <c r="G164" t="s">
        <v>1798</v>
      </c>
      <c r="H164">
        <v>0.23853638869763599</v>
      </c>
      <c r="I164">
        <v>808.43100000000004</v>
      </c>
      <c r="J164">
        <v>17.67951101100007</v>
      </c>
      <c r="K164">
        <v>0.39696520002934937</v>
      </c>
      <c r="L164">
        <v>0.71448475304988801</v>
      </c>
      <c r="M164">
        <v>19.48</v>
      </c>
      <c r="N164">
        <v>10.039999999999999</v>
      </c>
    </row>
    <row r="165" spans="1:14" x14ac:dyDescent="0.35">
      <c r="A165" s="1" t="s">
        <v>177</v>
      </c>
      <c r="B165" t="str">
        <f>HYPERLINK("https://www.suredividend.com/sure-analysis-research-database/","Aterian Inc")</f>
        <v>Aterian Inc</v>
      </c>
      <c r="C165" t="s">
        <v>1798</v>
      </c>
      <c r="D165">
        <v>0.30259999999999998</v>
      </c>
      <c r="E165">
        <v>0</v>
      </c>
      <c r="F165" t="s">
        <v>1798</v>
      </c>
      <c r="G165" t="s">
        <v>1798</v>
      </c>
      <c r="H165">
        <v>0</v>
      </c>
      <c r="I165">
        <v>25.818586</v>
      </c>
      <c r="J165" t="s">
        <v>1798</v>
      </c>
      <c r="K165">
        <v>0</v>
      </c>
      <c r="L165">
        <v>2.0069439138566199</v>
      </c>
      <c r="M165">
        <v>1.68</v>
      </c>
      <c r="N165">
        <v>0.29899999999999999</v>
      </c>
    </row>
    <row r="166" spans="1:14" x14ac:dyDescent="0.35">
      <c r="A166" s="1" t="s">
        <v>178</v>
      </c>
      <c r="B166" t="str">
        <f>HYPERLINK("https://www.suredividend.com/sure-analysis-research-database/","Anterix Inc")</f>
        <v>Anterix Inc</v>
      </c>
      <c r="C166" t="s">
        <v>1807</v>
      </c>
      <c r="D166">
        <v>31.56</v>
      </c>
      <c r="E166">
        <v>0</v>
      </c>
      <c r="F166" t="s">
        <v>1798</v>
      </c>
      <c r="G166" t="s">
        <v>1798</v>
      </c>
      <c r="H166">
        <v>0</v>
      </c>
      <c r="I166">
        <v>601.12833799999999</v>
      </c>
      <c r="J166">
        <v>0</v>
      </c>
      <c r="K166" t="s">
        <v>1798</v>
      </c>
      <c r="L166">
        <v>0.74846933191897103</v>
      </c>
      <c r="M166">
        <v>40.93</v>
      </c>
      <c r="N166">
        <v>27.2</v>
      </c>
    </row>
    <row r="167" spans="1:14" x14ac:dyDescent="0.35">
      <c r="A167" s="1" t="s">
        <v>179</v>
      </c>
      <c r="B167" t="str">
        <f>HYPERLINK("https://www.suredividend.com/sure-analysis-research-database/","Adtalem Global Education Inc")</f>
        <v>Adtalem Global Education Inc</v>
      </c>
      <c r="C167" t="s">
        <v>1805</v>
      </c>
      <c r="D167">
        <v>44.41</v>
      </c>
      <c r="E167">
        <v>0</v>
      </c>
      <c r="F167" t="s">
        <v>1798</v>
      </c>
      <c r="G167" t="s">
        <v>1798</v>
      </c>
      <c r="H167">
        <v>0</v>
      </c>
      <c r="I167">
        <v>1819.5575940000001</v>
      </c>
      <c r="J167">
        <v>19.490108973949742</v>
      </c>
      <c r="K167">
        <v>0</v>
      </c>
      <c r="L167">
        <v>0.49402581331743611</v>
      </c>
      <c r="M167">
        <v>47.25</v>
      </c>
      <c r="N167">
        <v>33.590000000000003</v>
      </c>
    </row>
    <row r="168" spans="1:14" x14ac:dyDescent="0.35">
      <c r="A168" s="1" t="s">
        <v>180</v>
      </c>
      <c r="B168" t="str">
        <f>HYPERLINK("https://www.suredividend.com/sure-analysis-research-database/","Athira Pharma Inc")</f>
        <v>Athira Pharma Inc</v>
      </c>
      <c r="C168" t="s">
        <v>1798</v>
      </c>
      <c r="D168">
        <v>1.79</v>
      </c>
      <c r="E168">
        <v>0</v>
      </c>
      <c r="F168" t="s">
        <v>1798</v>
      </c>
      <c r="G168" t="s">
        <v>1798</v>
      </c>
      <c r="H168">
        <v>0</v>
      </c>
      <c r="I168">
        <v>68.117704000000003</v>
      </c>
      <c r="J168">
        <v>0</v>
      </c>
      <c r="K168" t="s">
        <v>1798</v>
      </c>
      <c r="L168">
        <v>1.587591317535938</v>
      </c>
      <c r="M168">
        <v>4.41</v>
      </c>
      <c r="N168">
        <v>1.69</v>
      </c>
    </row>
    <row r="169" spans="1:14" x14ac:dyDescent="0.35">
      <c r="A169" s="1" t="s">
        <v>181</v>
      </c>
      <c r="B169" t="str">
        <f>HYPERLINK("https://www.suredividend.com/sure-analysis-research-database/","ATI Inc")</f>
        <v>ATI Inc</v>
      </c>
      <c r="C169" t="s">
        <v>1799</v>
      </c>
      <c r="D169">
        <v>37.479999999999997</v>
      </c>
      <c r="E169">
        <v>0</v>
      </c>
      <c r="F169" t="s">
        <v>1798</v>
      </c>
      <c r="G169" t="s">
        <v>1798</v>
      </c>
      <c r="H169">
        <v>0</v>
      </c>
      <c r="I169">
        <v>4819.3555679999999</v>
      </c>
      <c r="J169">
        <v>16.963588764378741</v>
      </c>
      <c r="K169">
        <v>0</v>
      </c>
      <c r="L169">
        <v>1.3062389947867119</v>
      </c>
      <c r="M169">
        <v>47.92</v>
      </c>
      <c r="N169">
        <v>25.39</v>
      </c>
    </row>
    <row r="170" spans="1:14" x14ac:dyDescent="0.35">
      <c r="A170" s="1" t="s">
        <v>182</v>
      </c>
      <c r="B170" t="str">
        <f>HYPERLINK("https://www.suredividend.com/sure-analysis-research-database/","ATI Physical Therapy Inc")</f>
        <v>ATI Physical Therapy Inc</v>
      </c>
      <c r="C170" t="s">
        <v>1798</v>
      </c>
      <c r="D170">
        <v>7.45</v>
      </c>
      <c r="E170">
        <v>0</v>
      </c>
      <c r="F170" t="s">
        <v>1798</v>
      </c>
      <c r="G170" t="s">
        <v>1798</v>
      </c>
      <c r="H170">
        <v>0</v>
      </c>
      <c r="I170">
        <v>31.333746000000001</v>
      </c>
      <c r="J170">
        <v>0</v>
      </c>
      <c r="K170" t="s">
        <v>1798</v>
      </c>
      <c r="L170">
        <v>0.74771543208665703</v>
      </c>
      <c r="M170">
        <v>59</v>
      </c>
      <c r="N170">
        <v>6</v>
      </c>
    </row>
    <row r="171" spans="1:14" x14ac:dyDescent="0.35">
      <c r="A171" s="1" t="s">
        <v>183</v>
      </c>
      <c r="B171" t="str">
        <f>HYPERLINK("https://www.suredividend.com/sure-analysis-research-database/","Atkore Inc")</f>
        <v>Atkore Inc</v>
      </c>
      <c r="C171" t="s">
        <v>1799</v>
      </c>
      <c r="D171">
        <v>137.26</v>
      </c>
      <c r="E171">
        <v>0</v>
      </c>
      <c r="F171" t="s">
        <v>1798</v>
      </c>
      <c r="G171" t="s">
        <v>1798</v>
      </c>
      <c r="H171">
        <v>0</v>
      </c>
      <c r="I171">
        <v>5187.581792</v>
      </c>
      <c r="J171">
        <v>6.8464489986855019</v>
      </c>
      <c r="K171">
        <v>0</v>
      </c>
      <c r="L171">
        <v>1.4040181675188721</v>
      </c>
      <c r="M171">
        <v>164.76</v>
      </c>
      <c r="N171">
        <v>85.5</v>
      </c>
    </row>
    <row r="172" spans="1:14" x14ac:dyDescent="0.35">
      <c r="A172" s="1" t="s">
        <v>184</v>
      </c>
      <c r="B172" t="str">
        <f>HYPERLINK("https://www.suredividend.com/sure-analysis-research-database/","Atlanticus Holdings Corp")</f>
        <v>Atlanticus Holdings Corp</v>
      </c>
      <c r="C172" t="s">
        <v>1801</v>
      </c>
      <c r="D172">
        <v>28.19</v>
      </c>
      <c r="E172">
        <v>0</v>
      </c>
      <c r="F172" t="s">
        <v>1798</v>
      </c>
      <c r="G172" t="s">
        <v>1798</v>
      </c>
      <c r="H172">
        <v>0</v>
      </c>
      <c r="I172">
        <v>406.81191999999999</v>
      </c>
      <c r="J172">
        <v>4.9171068687601229</v>
      </c>
      <c r="K172">
        <v>0</v>
      </c>
      <c r="L172">
        <v>1.9123965639297169</v>
      </c>
      <c r="M172">
        <v>43.7</v>
      </c>
      <c r="N172">
        <v>21.65</v>
      </c>
    </row>
    <row r="173" spans="1:14" x14ac:dyDescent="0.35">
      <c r="A173" s="1" t="s">
        <v>185</v>
      </c>
      <c r="B173" t="str">
        <f>HYPERLINK("https://www.suredividend.com/sure-analysis-research-database/","ATN International Inc")</f>
        <v>ATN International Inc</v>
      </c>
      <c r="C173" t="s">
        <v>1807</v>
      </c>
      <c r="D173">
        <v>33.090000000000003</v>
      </c>
      <c r="E173">
        <v>2.4958593074645E-2</v>
      </c>
      <c r="F173">
        <v>0.23529411764705871</v>
      </c>
      <c r="G173">
        <v>4.3167563810134979E-2</v>
      </c>
      <c r="H173">
        <v>0.82587984484000609</v>
      </c>
      <c r="I173">
        <v>516.26359500000001</v>
      </c>
      <c r="J173" t="s">
        <v>1798</v>
      </c>
      <c r="K173" t="s">
        <v>1798</v>
      </c>
      <c r="L173">
        <v>0.44991381765643401</v>
      </c>
      <c r="M173">
        <v>48.78</v>
      </c>
      <c r="N173">
        <v>30.68</v>
      </c>
    </row>
    <row r="174" spans="1:14" x14ac:dyDescent="0.35">
      <c r="A174" s="1" t="s">
        <v>186</v>
      </c>
      <c r="B174" t="str">
        <f>HYPERLINK("https://www.suredividend.com/sure-analysis-research-database/","Atomera Inc")</f>
        <v>Atomera Inc</v>
      </c>
      <c r="C174" t="s">
        <v>1804</v>
      </c>
      <c r="D174">
        <v>6.27</v>
      </c>
      <c r="E174">
        <v>0</v>
      </c>
      <c r="F174" t="s">
        <v>1798</v>
      </c>
      <c r="G174" t="s">
        <v>1798</v>
      </c>
      <c r="H174">
        <v>0</v>
      </c>
      <c r="I174">
        <v>161.72779700000001</v>
      </c>
      <c r="J174" t="s">
        <v>1798</v>
      </c>
      <c r="K174">
        <v>0</v>
      </c>
      <c r="L174">
        <v>2.4477692343738391</v>
      </c>
      <c r="M174">
        <v>10.72</v>
      </c>
      <c r="N174">
        <v>5.03</v>
      </c>
    </row>
    <row r="175" spans="1:14" x14ac:dyDescent="0.35">
      <c r="A175" s="1" t="s">
        <v>187</v>
      </c>
      <c r="B175" t="str">
        <f>HYPERLINK("https://www.suredividend.com/sure-analysis-research-database/","Atara Biotherapeutics Inc")</f>
        <v>Atara Biotherapeutics Inc</v>
      </c>
      <c r="C175" t="s">
        <v>1803</v>
      </c>
      <c r="D175">
        <v>1.54</v>
      </c>
      <c r="E175">
        <v>0</v>
      </c>
      <c r="F175" t="s">
        <v>1798</v>
      </c>
      <c r="G175" t="s">
        <v>1798</v>
      </c>
      <c r="H175">
        <v>0</v>
      </c>
      <c r="I175">
        <v>155.69731400000001</v>
      </c>
      <c r="J175">
        <v>0</v>
      </c>
      <c r="K175" t="s">
        <v>1798</v>
      </c>
      <c r="L175">
        <v>2.6078694763906038</v>
      </c>
      <c r="M175">
        <v>5.64</v>
      </c>
      <c r="N175">
        <v>1.25</v>
      </c>
    </row>
    <row r="176" spans="1:14" x14ac:dyDescent="0.35">
      <c r="A176" s="1" t="s">
        <v>188</v>
      </c>
      <c r="B176" t="str">
        <f>HYPERLINK("https://www.suredividend.com/sure-analysis-research-database/","Atricure Inc")</f>
        <v>Atricure Inc</v>
      </c>
      <c r="C176" t="s">
        <v>1803</v>
      </c>
      <c r="D176">
        <v>36.590000000000003</v>
      </c>
      <c r="E176">
        <v>0</v>
      </c>
      <c r="F176" t="s">
        <v>1798</v>
      </c>
      <c r="G176" t="s">
        <v>1798</v>
      </c>
      <c r="H176">
        <v>0</v>
      </c>
      <c r="I176">
        <v>1734.366</v>
      </c>
      <c r="J176">
        <v>0</v>
      </c>
      <c r="K176" t="s">
        <v>1798</v>
      </c>
      <c r="L176">
        <v>1.136091660431152</v>
      </c>
      <c r="M176">
        <v>59.61</v>
      </c>
      <c r="N176">
        <v>33.979999999999997</v>
      </c>
    </row>
    <row r="177" spans="1:14" x14ac:dyDescent="0.35">
      <c r="A177" s="1" t="s">
        <v>189</v>
      </c>
      <c r="B177" t="str">
        <f>HYPERLINK("https://www.suredividend.com/sure-analysis-ATRI/","Atrion Corp.")</f>
        <v>Atrion Corp.</v>
      </c>
      <c r="C177" t="s">
        <v>1803</v>
      </c>
      <c r="D177">
        <v>399.3</v>
      </c>
      <c r="E177">
        <v>2.2038567493112948E-2</v>
      </c>
      <c r="F177">
        <v>2.325581395348841E-2</v>
      </c>
      <c r="G177">
        <v>0.1025994778190622</v>
      </c>
      <c r="H177">
        <v>8.5573288070648861</v>
      </c>
      <c r="I177">
        <v>702.62824499999999</v>
      </c>
      <c r="J177">
        <v>25.823376272556882</v>
      </c>
      <c r="K177">
        <v>0.55675528998470314</v>
      </c>
      <c r="L177">
        <v>0.642436441809356</v>
      </c>
      <c r="M177">
        <v>692.25</v>
      </c>
      <c r="N177">
        <v>394.56</v>
      </c>
    </row>
    <row r="178" spans="1:14" x14ac:dyDescent="0.35">
      <c r="A178" s="1" t="s">
        <v>190</v>
      </c>
      <c r="B178" t="str">
        <f>HYPERLINK("https://www.suredividend.com/sure-analysis-research-database/","Astronics Corp.")</f>
        <v>Astronics Corp.</v>
      </c>
      <c r="C178" t="s">
        <v>1799</v>
      </c>
      <c r="D178">
        <v>15.27</v>
      </c>
      <c r="E178">
        <v>0</v>
      </c>
      <c r="F178" t="s">
        <v>1798</v>
      </c>
      <c r="G178" t="s">
        <v>1798</v>
      </c>
      <c r="H178">
        <v>0</v>
      </c>
      <c r="I178">
        <v>404.87264299999998</v>
      </c>
      <c r="J178" t="s">
        <v>1798</v>
      </c>
      <c r="K178">
        <v>0</v>
      </c>
      <c r="L178">
        <v>1.7039691534316579</v>
      </c>
      <c r="M178">
        <v>22.44</v>
      </c>
      <c r="N178">
        <v>7.46</v>
      </c>
    </row>
    <row r="179" spans="1:14" x14ac:dyDescent="0.35">
      <c r="A179" s="1" t="s">
        <v>191</v>
      </c>
      <c r="B179" t="str">
        <f>HYPERLINK("https://www.suredividend.com/sure-analysis-research-database/","Air Transport Services Group Inc")</f>
        <v>Air Transport Services Group Inc</v>
      </c>
      <c r="C179" t="s">
        <v>1799</v>
      </c>
      <c r="D179">
        <v>20.16</v>
      </c>
      <c r="E179">
        <v>0</v>
      </c>
      <c r="F179" t="s">
        <v>1798</v>
      </c>
      <c r="G179" t="s">
        <v>1798</v>
      </c>
      <c r="H179">
        <v>0</v>
      </c>
      <c r="I179">
        <v>1426.5466590000001</v>
      </c>
      <c r="J179">
        <v>9.3940750374038569</v>
      </c>
      <c r="K179">
        <v>0</v>
      </c>
      <c r="L179">
        <v>0.73750457049521101</v>
      </c>
      <c r="M179">
        <v>29.55</v>
      </c>
      <c r="N179">
        <v>14.39</v>
      </c>
    </row>
    <row r="180" spans="1:14" x14ac:dyDescent="0.35">
      <c r="A180" s="1" t="s">
        <v>192</v>
      </c>
      <c r="B180" t="str">
        <f>HYPERLINK("https://www.suredividend.com/sure-analysis-research-database/","Atlantic Union Bankshares Corp")</f>
        <v>Atlantic Union Bankshares Corp</v>
      </c>
      <c r="C180" t="s">
        <v>1801</v>
      </c>
      <c r="D180">
        <v>28.65</v>
      </c>
      <c r="E180">
        <v>3.1101171886585E-2</v>
      </c>
      <c r="F180">
        <v>0</v>
      </c>
      <c r="G180">
        <v>5.4577943305794463E-2</v>
      </c>
      <c r="H180">
        <v>0.8910485745506731</v>
      </c>
      <c r="I180">
        <v>2148.8848269999999</v>
      </c>
      <c r="J180">
        <v>10.3500858631153</v>
      </c>
      <c r="K180">
        <v>0.32052106998225649</v>
      </c>
      <c r="L180">
        <v>1.215542717962957</v>
      </c>
      <c r="M180">
        <v>40.19</v>
      </c>
      <c r="N180">
        <v>22.84</v>
      </c>
    </row>
    <row r="181" spans="1:14" x14ac:dyDescent="0.35">
      <c r="A181" s="1" t="s">
        <v>193</v>
      </c>
      <c r="B181" t="str">
        <f>HYPERLINK("https://www.suredividend.com/sure-analysis-research-database/","Aurinia Pharmaceuticals Inc")</f>
        <v>Aurinia Pharmaceuticals Inc</v>
      </c>
      <c r="C181" t="s">
        <v>1803</v>
      </c>
      <c r="D181">
        <v>7.52</v>
      </c>
      <c r="E181">
        <v>0</v>
      </c>
      <c r="F181" t="s">
        <v>1798</v>
      </c>
      <c r="G181" t="s">
        <v>1798</v>
      </c>
      <c r="H181">
        <v>0</v>
      </c>
      <c r="I181">
        <v>1078.5369290000001</v>
      </c>
      <c r="J181">
        <v>0</v>
      </c>
      <c r="K181" t="s">
        <v>1798</v>
      </c>
      <c r="L181">
        <v>1.263287205351787</v>
      </c>
      <c r="M181">
        <v>12.43</v>
      </c>
      <c r="N181">
        <v>4.07</v>
      </c>
    </row>
    <row r="182" spans="1:14" x14ac:dyDescent="0.35">
      <c r="A182" s="1" t="s">
        <v>194</v>
      </c>
      <c r="B182" t="str">
        <f>HYPERLINK("https://www.suredividend.com/sure-analysis-research-database/","Aura Biosciences Inc")</f>
        <v>Aura Biosciences Inc</v>
      </c>
      <c r="C182" t="s">
        <v>1798</v>
      </c>
      <c r="D182">
        <v>8.4700000000000006</v>
      </c>
      <c r="E182">
        <v>0</v>
      </c>
      <c r="F182" t="s">
        <v>1798</v>
      </c>
      <c r="G182" t="s">
        <v>1798</v>
      </c>
      <c r="H182">
        <v>0</v>
      </c>
      <c r="I182">
        <v>323.52942000000002</v>
      </c>
      <c r="J182">
        <v>0</v>
      </c>
      <c r="K182" t="s">
        <v>1798</v>
      </c>
      <c r="L182">
        <v>1.0726848206941559</v>
      </c>
      <c r="M182">
        <v>14.38</v>
      </c>
      <c r="N182">
        <v>7.94</v>
      </c>
    </row>
    <row r="183" spans="1:14" x14ac:dyDescent="0.35">
      <c r="A183" s="1" t="s">
        <v>195</v>
      </c>
      <c r="B183" t="str">
        <f>HYPERLINK("https://www.suredividend.com/sure-analysis-AVA/","Avista Corp.")</f>
        <v>Avista Corp.</v>
      </c>
      <c r="C183" t="s">
        <v>1806</v>
      </c>
      <c r="D183">
        <v>32.729999999999997</v>
      </c>
      <c r="E183">
        <v>5.6217537427436612E-2</v>
      </c>
      <c r="F183">
        <v>4.5454545454545407E-2</v>
      </c>
      <c r="G183">
        <v>4.3100877907665147E-2</v>
      </c>
      <c r="H183">
        <v>1.786961746803267</v>
      </c>
      <c r="I183">
        <v>2504.6680289999999</v>
      </c>
      <c r="J183">
        <v>17.334902299722469</v>
      </c>
      <c r="K183">
        <v>0.92588691544210722</v>
      </c>
      <c r="L183">
        <v>0.622553717949902</v>
      </c>
      <c r="M183">
        <v>44.03</v>
      </c>
      <c r="N183">
        <v>30.53</v>
      </c>
    </row>
    <row r="184" spans="1:14" x14ac:dyDescent="0.35">
      <c r="A184" s="1" t="s">
        <v>196</v>
      </c>
      <c r="B184" t="str">
        <f>HYPERLINK("https://www.suredividend.com/sure-analysis-research-database/","Aveanna Healthcare Holdings Inc")</f>
        <v>Aveanna Healthcare Holdings Inc</v>
      </c>
      <c r="C184" t="s">
        <v>1798</v>
      </c>
      <c r="D184">
        <v>1.17</v>
      </c>
      <c r="E184">
        <v>0</v>
      </c>
      <c r="F184" t="s">
        <v>1798</v>
      </c>
      <c r="G184" t="s">
        <v>1798</v>
      </c>
      <c r="H184">
        <v>0</v>
      </c>
      <c r="I184">
        <v>222.79736500000001</v>
      </c>
      <c r="J184">
        <v>0</v>
      </c>
      <c r="K184" t="s">
        <v>1798</v>
      </c>
      <c r="L184">
        <v>0.90230192233734308</v>
      </c>
      <c r="M184">
        <v>2.0499999999999998</v>
      </c>
      <c r="N184">
        <v>0.66639999999999999</v>
      </c>
    </row>
    <row r="185" spans="1:14" x14ac:dyDescent="0.35">
      <c r="A185" s="1" t="s">
        <v>197</v>
      </c>
      <c r="B185" t="str">
        <f>HYPERLINK("https://www.suredividend.com/sure-analysis-research-database/","AeroVironment Inc.")</f>
        <v>AeroVironment Inc.</v>
      </c>
      <c r="C185" t="s">
        <v>1799</v>
      </c>
      <c r="D185">
        <v>111.52</v>
      </c>
      <c r="E185">
        <v>0</v>
      </c>
      <c r="F185" t="s">
        <v>1798</v>
      </c>
      <c r="G185" t="s">
        <v>1798</v>
      </c>
      <c r="H185">
        <v>0</v>
      </c>
      <c r="I185">
        <v>2931.9098690000001</v>
      </c>
      <c r="J185" t="s">
        <v>1798</v>
      </c>
      <c r="K185">
        <v>0</v>
      </c>
      <c r="L185">
        <v>1.0657870906940849</v>
      </c>
      <c r="M185">
        <v>124.33</v>
      </c>
      <c r="N185">
        <v>76.03</v>
      </c>
    </row>
    <row r="186" spans="1:14" x14ac:dyDescent="0.35">
      <c r="A186" s="1" t="s">
        <v>198</v>
      </c>
      <c r="B186" t="str">
        <f>HYPERLINK("https://www.suredividend.com/sure-analysis-research-database/","American Vanguard Corp.")</f>
        <v>American Vanguard Corp.</v>
      </c>
      <c r="C186" t="s">
        <v>1809</v>
      </c>
      <c r="D186">
        <v>10.15</v>
      </c>
      <c r="E186">
        <v>1.1786114324808999E-2</v>
      </c>
      <c r="F186" t="s">
        <v>1798</v>
      </c>
      <c r="G186" t="s">
        <v>1798</v>
      </c>
      <c r="H186">
        <v>0.119629060396811</v>
      </c>
      <c r="I186">
        <v>297.36477300000001</v>
      </c>
      <c r="J186">
        <v>25.848815481571631</v>
      </c>
      <c r="K186">
        <v>0.30262853629347591</v>
      </c>
      <c r="L186">
        <v>0.64173055253880407</v>
      </c>
      <c r="M186">
        <v>23.96</v>
      </c>
      <c r="N186">
        <v>9.85</v>
      </c>
    </row>
    <row r="187" spans="1:14" x14ac:dyDescent="0.35">
      <c r="A187" s="1" t="s">
        <v>199</v>
      </c>
      <c r="B187" t="str">
        <f>HYPERLINK("https://www.suredividend.com/sure-analysis-research-database/","AvidXchange Holdings Inc")</f>
        <v>AvidXchange Holdings Inc</v>
      </c>
      <c r="C187" t="s">
        <v>1803</v>
      </c>
      <c r="D187">
        <v>9</v>
      </c>
      <c r="E187">
        <v>0</v>
      </c>
      <c r="F187" t="s">
        <v>1798</v>
      </c>
      <c r="G187" t="s">
        <v>1798</v>
      </c>
      <c r="H187">
        <v>0</v>
      </c>
      <c r="I187">
        <v>1819.321848</v>
      </c>
      <c r="J187">
        <v>0</v>
      </c>
      <c r="K187" t="s">
        <v>1798</v>
      </c>
      <c r="L187">
        <v>1.454187002694854</v>
      </c>
      <c r="M187">
        <v>12.75</v>
      </c>
      <c r="N187">
        <v>7.02</v>
      </c>
    </row>
    <row r="188" spans="1:14" x14ac:dyDescent="0.35">
      <c r="A188" s="1" t="s">
        <v>200</v>
      </c>
      <c r="B188" t="str">
        <f>HYPERLINK("https://www.suredividend.com/sure-analysis-research-database/","Avid Technology, Inc.")</f>
        <v>Avid Technology, Inc.</v>
      </c>
      <c r="C188" t="s">
        <v>1807</v>
      </c>
      <c r="D188">
        <v>26.9</v>
      </c>
      <c r="E188">
        <v>0</v>
      </c>
      <c r="F188" t="s">
        <v>1798</v>
      </c>
      <c r="G188" t="s">
        <v>1798</v>
      </c>
      <c r="H188">
        <v>0</v>
      </c>
      <c r="I188">
        <v>1184.6146679999999</v>
      </c>
      <c r="J188">
        <v>36.669700294072122</v>
      </c>
      <c r="K188">
        <v>0</v>
      </c>
      <c r="L188">
        <v>1.231861541608585</v>
      </c>
      <c r="M188">
        <v>33.409999999999997</v>
      </c>
      <c r="N188">
        <v>19.78</v>
      </c>
    </row>
    <row r="189" spans="1:14" x14ac:dyDescent="0.35">
      <c r="A189" s="1" t="s">
        <v>201</v>
      </c>
      <c r="B189" t="str">
        <f>HYPERLINK("https://www.suredividend.com/sure-analysis-research-database/","Atea Pharmaceuticals Inc")</f>
        <v>Atea Pharmaceuticals Inc</v>
      </c>
      <c r="C189" t="s">
        <v>1798</v>
      </c>
      <c r="D189">
        <v>3.03</v>
      </c>
      <c r="E189">
        <v>0</v>
      </c>
      <c r="F189" t="s">
        <v>1798</v>
      </c>
      <c r="G189" t="s">
        <v>1798</v>
      </c>
      <c r="H189">
        <v>0</v>
      </c>
      <c r="I189">
        <v>252.70011199999999</v>
      </c>
      <c r="J189">
        <v>0</v>
      </c>
      <c r="K189" t="s">
        <v>1798</v>
      </c>
      <c r="L189">
        <v>1.084043342809603</v>
      </c>
      <c r="M189">
        <v>6.32</v>
      </c>
      <c r="N189">
        <v>2.88</v>
      </c>
    </row>
    <row r="190" spans="1:14" x14ac:dyDescent="0.35">
      <c r="A190" s="1" t="s">
        <v>202</v>
      </c>
      <c r="B190" t="str">
        <f>HYPERLINK("https://www.suredividend.com/sure-analysis-research-database/","Avanos Medical Inc")</f>
        <v>Avanos Medical Inc</v>
      </c>
      <c r="C190" t="s">
        <v>1803</v>
      </c>
      <c r="D190">
        <v>18.45</v>
      </c>
      <c r="E190">
        <v>0</v>
      </c>
      <c r="F190" t="s">
        <v>1798</v>
      </c>
      <c r="G190" t="s">
        <v>1798</v>
      </c>
      <c r="H190">
        <v>0</v>
      </c>
      <c r="I190">
        <v>864.80566899999997</v>
      </c>
      <c r="J190" t="s">
        <v>1798</v>
      </c>
      <c r="K190">
        <v>0</v>
      </c>
      <c r="L190">
        <v>0.97114325388322309</v>
      </c>
      <c r="M190">
        <v>31.99</v>
      </c>
      <c r="N190">
        <v>18.23</v>
      </c>
    </row>
    <row r="191" spans="1:14" x14ac:dyDescent="0.35">
      <c r="A191" s="1" t="s">
        <v>203</v>
      </c>
      <c r="B191" t="str">
        <f>HYPERLINK("https://www.suredividend.com/sure-analysis-AVNT/","Avient Corp")</f>
        <v>Avient Corp</v>
      </c>
      <c r="C191" t="s">
        <v>1798</v>
      </c>
      <c r="D191">
        <v>32.909999999999997</v>
      </c>
      <c r="E191">
        <v>3.00820419325433E-2</v>
      </c>
      <c r="F191">
        <v>4.2105263157894868E-2</v>
      </c>
      <c r="G191">
        <v>4.8837286784054523E-2</v>
      </c>
      <c r="H191">
        <v>0.98046393585177405</v>
      </c>
      <c r="I191">
        <v>2997.4643890000002</v>
      </c>
      <c r="J191">
        <v>5.2021249374522736</v>
      </c>
      <c r="K191">
        <v>0.15662363192520351</v>
      </c>
      <c r="L191">
        <v>1.728988095446391</v>
      </c>
      <c r="M191">
        <v>43.89</v>
      </c>
      <c r="N191">
        <v>26.93</v>
      </c>
    </row>
    <row r="192" spans="1:14" x14ac:dyDescent="0.35">
      <c r="A192" s="1" t="s">
        <v>204</v>
      </c>
      <c r="B192" t="str">
        <f>HYPERLINK("https://www.suredividend.com/sure-analysis-research-database/","Aviat Networks Inc")</f>
        <v>Aviat Networks Inc</v>
      </c>
      <c r="C192" t="s">
        <v>1804</v>
      </c>
      <c r="D192">
        <v>26.81</v>
      </c>
      <c r="E192">
        <v>0</v>
      </c>
      <c r="F192" t="s">
        <v>1798</v>
      </c>
      <c r="G192" t="s">
        <v>1798</v>
      </c>
      <c r="H192">
        <v>0</v>
      </c>
      <c r="I192">
        <v>314.08110699999997</v>
      </c>
      <c r="J192">
        <v>27.24506481002776</v>
      </c>
      <c r="K192">
        <v>0</v>
      </c>
      <c r="L192">
        <v>1.1424045815110491</v>
      </c>
      <c r="M192">
        <v>39.799999999999997</v>
      </c>
      <c r="N192">
        <v>21.15</v>
      </c>
    </row>
    <row r="193" spans="1:14" x14ac:dyDescent="0.35">
      <c r="A193" s="1" t="s">
        <v>205</v>
      </c>
      <c r="B193" t="str">
        <f>HYPERLINK("https://www.suredividend.com/sure-analysis-research-database/","Mission Produce Inc")</f>
        <v>Mission Produce Inc</v>
      </c>
      <c r="C193" t="s">
        <v>1798</v>
      </c>
      <c r="D193">
        <v>9.0299999999999994</v>
      </c>
      <c r="E193">
        <v>0</v>
      </c>
      <c r="F193" t="s">
        <v>1798</v>
      </c>
      <c r="G193" t="s">
        <v>1798</v>
      </c>
      <c r="H193">
        <v>0</v>
      </c>
      <c r="I193">
        <v>639.25284399999998</v>
      </c>
      <c r="J193" t="s">
        <v>1798</v>
      </c>
      <c r="K193">
        <v>0</v>
      </c>
      <c r="L193">
        <v>0.54476810109066209</v>
      </c>
      <c r="M193">
        <v>16.96</v>
      </c>
      <c r="N193">
        <v>8.5500000000000007</v>
      </c>
    </row>
    <row r="194" spans="1:14" x14ac:dyDescent="0.35">
      <c r="A194" s="1" t="s">
        <v>206</v>
      </c>
      <c r="B194" t="str">
        <f>HYPERLINK("https://www.suredividend.com/sure-analysis-research-database/","AvePoint Inc")</f>
        <v>AvePoint Inc</v>
      </c>
      <c r="C194" t="s">
        <v>1798</v>
      </c>
      <c r="D194">
        <v>7.25</v>
      </c>
      <c r="E194">
        <v>0</v>
      </c>
      <c r="F194" t="s">
        <v>1798</v>
      </c>
      <c r="G194" t="s">
        <v>1798</v>
      </c>
      <c r="H194">
        <v>0</v>
      </c>
      <c r="I194">
        <v>1344.1353329999999</v>
      </c>
      <c r="J194" t="s">
        <v>1798</v>
      </c>
      <c r="K194">
        <v>0</v>
      </c>
      <c r="L194">
        <v>1.27915756909602</v>
      </c>
      <c r="M194">
        <v>7.58</v>
      </c>
      <c r="N194">
        <v>3.59</v>
      </c>
    </row>
    <row r="195" spans="1:14" x14ac:dyDescent="0.35">
      <c r="A195" s="1" t="s">
        <v>207</v>
      </c>
      <c r="B195" t="str">
        <f>HYPERLINK("https://www.suredividend.com/sure-analysis-research-database/","Avantax Inc")</f>
        <v>Avantax Inc</v>
      </c>
      <c r="C195" t="s">
        <v>1798</v>
      </c>
      <c r="D195">
        <v>25.67</v>
      </c>
      <c r="E195">
        <v>0</v>
      </c>
      <c r="F195" t="s">
        <v>1798</v>
      </c>
      <c r="G195" t="s">
        <v>1798</v>
      </c>
      <c r="H195">
        <v>0</v>
      </c>
      <c r="I195">
        <v>943.63007300000004</v>
      </c>
      <c r="J195">
        <v>2.684916668886006</v>
      </c>
      <c r="K195">
        <v>0</v>
      </c>
      <c r="L195">
        <v>0.91704387834998502</v>
      </c>
      <c r="M195">
        <v>30.23</v>
      </c>
      <c r="N195">
        <v>19.13</v>
      </c>
    </row>
    <row r="196" spans="1:14" x14ac:dyDescent="0.35">
      <c r="A196" s="1" t="s">
        <v>208</v>
      </c>
      <c r="B196" t="str">
        <f>HYPERLINK("https://www.suredividend.com/sure-analysis-research-database/","Aerovate Therapeutics Inc")</f>
        <v>Aerovate Therapeutics Inc</v>
      </c>
      <c r="C196" t="s">
        <v>1798</v>
      </c>
      <c r="D196">
        <v>11</v>
      </c>
      <c r="E196">
        <v>0</v>
      </c>
      <c r="F196" t="s">
        <v>1798</v>
      </c>
      <c r="G196" t="s">
        <v>1798</v>
      </c>
      <c r="H196">
        <v>0</v>
      </c>
      <c r="I196">
        <v>304.14999999999998</v>
      </c>
      <c r="J196">
        <v>0</v>
      </c>
      <c r="K196" t="s">
        <v>1798</v>
      </c>
      <c r="L196">
        <v>1.603217195583871</v>
      </c>
      <c r="M196">
        <v>30.79</v>
      </c>
      <c r="N196">
        <v>10.51</v>
      </c>
    </row>
    <row r="197" spans="1:14" x14ac:dyDescent="0.35">
      <c r="A197" s="1" t="s">
        <v>209</v>
      </c>
      <c r="B197" t="str">
        <f>HYPERLINK("https://www.suredividend.com/sure-analysis-research-database/","Anavex Life Sciences Corporation")</f>
        <v>Anavex Life Sciences Corporation</v>
      </c>
      <c r="C197" t="s">
        <v>1803</v>
      </c>
      <c r="D197">
        <v>6.05</v>
      </c>
      <c r="E197">
        <v>0</v>
      </c>
      <c r="F197" t="s">
        <v>1798</v>
      </c>
      <c r="G197" t="s">
        <v>1798</v>
      </c>
      <c r="H197">
        <v>0</v>
      </c>
      <c r="I197">
        <v>495.80424599999998</v>
      </c>
      <c r="J197">
        <v>0</v>
      </c>
      <c r="K197" t="s">
        <v>1798</v>
      </c>
      <c r="L197">
        <v>1.794770646406205</v>
      </c>
      <c r="M197">
        <v>15.24</v>
      </c>
      <c r="N197">
        <v>5.8</v>
      </c>
    </row>
    <row r="198" spans="1:14" x14ac:dyDescent="0.35">
      <c r="A198" s="1" t="s">
        <v>210</v>
      </c>
      <c r="B198" t="str">
        <f>HYPERLINK("https://www.suredividend.com/sure-analysis-AWR/","American States Water Co.")</f>
        <v>American States Water Co.</v>
      </c>
      <c r="C198" t="s">
        <v>1806</v>
      </c>
      <c r="D198">
        <v>78.599999999999994</v>
      </c>
      <c r="E198">
        <v>2.1882951653944022E-2</v>
      </c>
      <c r="F198">
        <v>8.1761006289308158E-2</v>
      </c>
      <c r="G198">
        <v>9.3521062182361669E-2</v>
      </c>
      <c r="H198">
        <v>1.6116056541934221</v>
      </c>
      <c r="I198">
        <v>2906.3752220000001</v>
      </c>
      <c r="J198">
        <v>24.861850817358281</v>
      </c>
      <c r="K198">
        <v>0.51162084260108642</v>
      </c>
      <c r="L198">
        <v>0.67530641309975503</v>
      </c>
      <c r="M198">
        <v>99.16</v>
      </c>
      <c r="N198">
        <v>75.2</v>
      </c>
    </row>
    <row r="199" spans="1:14" x14ac:dyDescent="0.35">
      <c r="A199" s="1" t="s">
        <v>211</v>
      </c>
      <c r="B199" t="str">
        <f>HYPERLINK("https://www.suredividend.com/sure-analysis-research-database/","Axos Financial Inc.")</f>
        <v>Axos Financial Inc.</v>
      </c>
      <c r="C199" t="s">
        <v>1801</v>
      </c>
      <c r="D199">
        <v>35.67</v>
      </c>
      <c r="E199">
        <v>0</v>
      </c>
      <c r="F199" t="s">
        <v>1798</v>
      </c>
      <c r="G199" t="s">
        <v>1798</v>
      </c>
      <c r="H199">
        <v>0</v>
      </c>
      <c r="I199">
        <v>2140.1999999999998</v>
      </c>
      <c r="J199">
        <v>6.9675907085768234</v>
      </c>
      <c r="K199">
        <v>0</v>
      </c>
      <c r="L199">
        <v>1.7772737782315571</v>
      </c>
      <c r="M199">
        <v>51.46</v>
      </c>
      <c r="N199">
        <v>33.15</v>
      </c>
    </row>
    <row r="200" spans="1:14" x14ac:dyDescent="0.35">
      <c r="A200" s="1" t="s">
        <v>212</v>
      </c>
      <c r="B200" t="str">
        <f>HYPERLINK("https://www.suredividend.com/sure-analysis-research-database/","BioXcel Therapeutics Inc")</f>
        <v>BioXcel Therapeutics Inc</v>
      </c>
      <c r="C200" t="s">
        <v>1803</v>
      </c>
      <c r="D200">
        <v>3.13</v>
      </c>
      <c r="E200">
        <v>0</v>
      </c>
      <c r="F200" t="s">
        <v>1798</v>
      </c>
      <c r="G200" t="s">
        <v>1798</v>
      </c>
      <c r="H200">
        <v>0</v>
      </c>
      <c r="I200">
        <v>91.615099999999998</v>
      </c>
      <c r="J200" t="s">
        <v>1798</v>
      </c>
      <c r="K200">
        <v>0</v>
      </c>
      <c r="L200">
        <v>1.6147417360973719</v>
      </c>
      <c r="M200">
        <v>34.130000000000003</v>
      </c>
      <c r="N200">
        <v>2.23</v>
      </c>
    </row>
    <row r="201" spans="1:14" x14ac:dyDescent="0.35">
      <c r="A201" s="1" t="s">
        <v>213</v>
      </c>
      <c r="B201" t="str">
        <f>HYPERLINK("https://www.suredividend.com/sure-analysis-research-database/","Peabody Energy Corp.")</f>
        <v>Peabody Energy Corp.</v>
      </c>
      <c r="C201" t="s">
        <v>1808</v>
      </c>
      <c r="D201">
        <v>25.76</v>
      </c>
      <c r="E201">
        <v>5.8132515834320008E-3</v>
      </c>
      <c r="F201" t="s">
        <v>1798</v>
      </c>
      <c r="G201" t="s">
        <v>1798</v>
      </c>
      <c r="H201">
        <v>0.149749360789214</v>
      </c>
      <c r="I201">
        <v>3420.9279999999999</v>
      </c>
      <c r="J201">
        <v>2.3514764916139681</v>
      </c>
      <c r="K201">
        <v>1.675048778402842E-2</v>
      </c>
      <c r="L201">
        <v>1.1218016050637609</v>
      </c>
      <c r="M201">
        <v>32.67</v>
      </c>
      <c r="N201">
        <v>17.649999999999999</v>
      </c>
    </row>
    <row r="202" spans="1:14" x14ac:dyDescent="0.35">
      <c r="A202" s="1" t="s">
        <v>214</v>
      </c>
      <c r="B202" t="str">
        <f>HYPERLINK("https://www.suredividend.com/sure-analysis-research-database/","First Busey Corp.")</f>
        <v>First Busey Corp.</v>
      </c>
      <c r="C202" t="s">
        <v>1801</v>
      </c>
      <c r="D202">
        <v>19.079999999999998</v>
      </c>
      <c r="E202">
        <v>4.8305061043009002E-2</v>
      </c>
      <c r="F202">
        <v>4.3478260869565188E-2</v>
      </c>
      <c r="G202">
        <v>3.7137289336648172E-2</v>
      </c>
      <c r="H202">
        <v>0.92166056470062507</v>
      </c>
      <c r="I202">
        <v>1054.770696</v>
      </c>
      <c r="J202">
        <v>7.744391956122703</v>
      </c>
      <c r="K202">
        <v>0.37928418300437239</v>
      </c>
      <c r="L202">
        <v>0.85308820996247203</v>
      </c>
      <c r="M202">
        <v>26.46</v>
      </c>
      <c r="N202">
        <v>15.92</v>
      </c>
    </row>
    <row r="203" spans="1:14" x14ac:dyDescent="0.35">
      <c r="A203" s="1" t="s">
        <v>215</v>
      </c>
      <c r="B203" t="str">
        <f>HYPERLINK("https://www.suredividend.com/sure-analysis-research-database/","BrightView Holdings Inc")</f>
        <v>BrightView Holdings Inc</v>
      </c>
      <c r="C203" t="s">
        <v>1799</v>
      </c>
      <c r="D203">
        <v>7.5</v>
      </c>
      <c r="E203">
        <v>0</v>
      </c>
      <c r="F203" t="s">
        <v>1798</v>
      </c>
      <c r="G203" t="s">
        <v>1798</v>
      </c>
      <c r="H203">
        <v>0</v>
      </c>
      <c r="I203">
        <v>700.67899499999999</v>
      </c>
      <c r="J203" t="s">
        <v>1798</v>
      </c>
      <c r="K203">
        <v>0</v>
      </c>
      <c r="L203">
        <v>0.96849878283999613</v>
      </c>
      <c r="M203">
        <v>9.32</v>
      </c>
      <c r="N203">
        <v>5.16</v>
      </c>
    </row>
    <row r="204" spans="1:14" x14ac:dyDescent="0.35">
      <c r="A204" s="1" t="s">
        <v>216</v>
      </c>
      <c r="B204" t="str">
        <f>HYPERLINK("https://www.suredividend.com/sure-analysis-research-database/","Bluegreen Vacations Holding Corporation")</f>
        <v>Bluegreen Vacations Holding Corporation</v>
      </c>
      <c r="C204" t="s">
        <v>1798</v>
      </c>
      <c r="D204">
        <v>33.700000000000003</v>
      </c>
      <c r="E204">
        <v>2.2077405070648998E-2</v>
      </c>
      <c r="F204" t="s">
        <v>1798</v>
      </c>
      <c r="G204" t="s">
        <v>1798</v>
      </c>
      <c r="H204">
        <v>0.74400855088088402</v>
      </c>
      <c r="I204">
        <v>450.692544</v>
      </c>
      <c r="J204">
        <v>0</v>
      </c>
      <c r="K204" t="s">
        <v>1798</v>
      </c>
      <c r="L204">
        <v>0.85422839702751407</v>
      </c>
      <c r="M204">
        <v>40.700000000000003</v>
      </c>
      <c r="N204">
        <v>15.84</v>
      </c>
    </row>
    <row r="205" spans="1:14" x14ac:dyDescent="0.35">
      <c r="A205" s="1" t="s">
        <v>217</v>
      </c>
      <c r="B205" t="str">
        <f>HYPERLINK("https://www.suredividend.com/sure-analysis-research-database/","Bioventus Inc")</f>
        <v>Bioventus Inc</v>
      </c>
      <c r="C205" t="s">
        <v>1798</v>
      </c>
      <c r="D205">
        <v>2.89</v>
      </c>
      <c r="E205">
        <v>0</v>
      </c>
      <c r="F205" t="s">
        <v>1798</v>
      </c>
      <c r="G205" t="s">
        <v>1798</v>
      </c>
      <c r="H205">
        <v>0</v>
      </c>
      <c r="I205">
        <v>181.47133700000001</v>
      </c>
      <c r="J205" t="s">
        <v>1798</v>
      </c>
      <c r="K205">
        <v>0</v>
      </c>
      <c r="L205">
        <v>2.0446125796317349</v>
      </c>
      <c r="M205">
        <v>8.2899999999999991</v>
      </c>
      <c r="N205">
        <v>0.79990000000000006</v>
      </c>
    </row>
    <row r="206" spans="1:14" x14ac:dyDescent="0.35">
      <c r="A206" s="1" t="s">
        <v>218</v>
      </c>
      <c r="B206" t="str">
        <f>HYPERLINK("https://www.suredividend.com/sure-analysis-research-database/","Babcock &amp; Wilcox Enterprises Inc")</f>
        <v>Babcock &amp; Wilcox Enterprises Inc</v>
      </c>
      <c r="C206" t="s">
        <v>1799</v>
      </c>
      <c r="D206">
        <v>2.73</v>
      </c>
      <c r="E206">
        <v>0</v>
      </c>
      <c r="F206" t="s">
        <v>1798</v>
      </c>
      <c r="G206" t="s">
        <v>1798</v>
      </c>
      <c r="H206">
        <v>0</v>
      </c>
      <c r="I206">
        <v>243.19156100000001</v>
      </c>
      <c r="J206" t="s">
        <v>1798</v>
      </c>
      <c r="K206">
        <v>0</v>
      </c>
      <c r="L206">
        <v>1.429086410845527</v>
      </c>
      <c r="M206">
        <v>8.1300000000000008</v>
      </c>
      <c r="N206">
        <v>2.72</v>
      </c>
    </row>
    <row r="207" spans="1:14" x14ac:dyDescent="0.35">
      <c r="A207" s="1" t="s">
        <v>219</v>
      </c>
      <c r="B207" t="str">
        <f>HYPERLINK("https://www.suredividend.com/sure-analysis-research-database/","Bridgewater Bancshares Inc")</f>
        <v>Bridgewater Bancshares Inc</v>
      </c>
      <c r="C207" t="s">
        <v>1801</v>
      </c>
      <c r="D207">
        <v>9.3800000000000008</v>
      </c>
      <c r="E207">
        <v>0</v>
      </c>
      <c r="F207" t="s">
        <v>1798</v>
      </c>
      <c r="G207" t="s">
        <v>1798</v>
      </c>
      <c r="H207">
        <v>0</v>
      </c>
      <c r="I207">
        <v>262.41410100000002</v>
      </c>
      <c r="J207">
        <v>5.7481403106107081</v>
      </c>
      <c r="K207">
        <v>0</v>
      </c>
      <c r="L207">
        <v>1.09401448235328</v>
      </c>
      <c r="M207">
        <v>20.2</v>
      </c>
      <c r="N207">
        <v>7.9</v>
      </c>
    </row>
    <row r="208" spans="1:14" x14ac:dyDescent="0.35">
      <c r="A208" s="1" t="s">
        <v>220</v>
      </c>
      <c r="B208" t="str">
        <f>HYPERLINK("https://www.suredividend.com/sure-analysis-research-database/","Bankwell Financial Group Inc")</f>
        <v>Bankwell Financial Group Inc</v>
      </c>
      <c r="C208" t="s">
        <v>1801</v>
      </c>
      <c r="D208">
        <v>24.385000000000002</v>
      </c>
      <c r="E208">
        <v>3.2201588781723002E-2</v>
      </c>
      <c r="F208">
        <v>0</v>
      </c>
      <c r="G208">
        <v>8.9976987048345336E-2</v>
      </c>
      <c r="H208">
        <v>0.78523574244232708</v>
      </c>
      <c r="I208">
        <v>190.97395599999999</v>
      </c>
      <c r="J208">
        <v>0</v>
      </c>
      <c r="K208" t="s">
        <v>1798</v>
      </c>
      <c r="L208">
        <v>0.78992708460330308</v>
      </c>
      <c r="M208">
        <v>30.87</v>
      </c>
      <c r="N208">
        <v>20.72</v>
      </c>
    </row>
    <row r="209" spans="1:14" x14ac:dyDescent="0.35">
      <c r="A209" s="1" t="s">
        <v>221</v>
      </c>
      <c r="B209" t="str">
        <f>HYPERLINK("https://www.suredividend.com/sure-analysis-research-database/","Bluelinx Hldgs Inc")</f>
        <v>Bluelinx Hldgs Inc</v>
      </c>
      <c r="C209" t="s">
        <v>1799</v>
      </c>
      <c r="D209">
        <v>73.2</v>
      </c>
      <c r="E209">
        <v>0</v>
      </c>
      <c r="F209" t="s">
        <v>1798</v>
      </c>
      <c r="G209" t="s">
        <v>1798</v>
      </c>
      <c r="H209">
        <v>0</v>
      </c>
      <c r="I209">
        <v>659.05444299999999</v>
      </c>
      <c r="J209">
        <v>4.9266626538987692</v>
      </c>
      <c r="K209">
        <v>0</v>
      </c>
      <c r="L209">
        <v>1.6444683025981519</v>
      </c>
      <c r="M209">
        <v>98.33</v>
      </c>
      <c r="N209">
        <v>61.36</v>
      </c>
    </row>
    <row r="210" spans="1:14" x14ac:dyDescent="0.35">
      <c r="A210" s="1" t="s">
        <v>222</v>
      </c>
      <c r="B210" t="str">
        <f>HYPERLINK("https://www.suredividend.com/sure-analysis-BXMT/","Blackstone Mortgage Trust Inc")</f>
        <v>Blackstone Mortgage Trust Inc</v>
      </c>
      <c r="C210" t="s">
        <v>1800</v>
      </c>
      <c r="D210">
        <v>21.16</v>
      </c>
      <c r="E210">
        <v>0.1172022684310019</v>
      </c>
      <c r="F210">
        <v>0</v>
      </c>
      <c r="G210">
        <v>0</v>
      </c>
      <c r="H210">
        <v>2.9359009351192999</v>
      </c>
      <c r="I210">
        <v>3646.1119319999998</v>
      </c>
      <c r="J210">
        <v>13.253143008436529</v>
      </c>
      <c r="K210">
        <v>1.823540953490248</v>
      </c>
      <c r="L210">
        <v>1.230074096553136</v>
      </c>
      <c r="M210">
        <v>23.15</v>
      </c>
      <c r="N210">
        <v>15.43</v>
      </c>
    </row>
    <row r="211" spans="1:14" x14ac:dyDescent="0.35">
      <c r="A211" s="1" t="s">
        <v>223</v>
      </c>
      <c r="B211" t="str">
        <f>HYPERLINK("https://www.suredividend.com/sure-analysis-research-database/","Byline Bancorp Inc")</f>
        <v>Byline Bancorp Inc</v>
      </c>
      <c r="C211" t="s">
        <v>1801</v>
      </c>
      <c r="D211">
        <v>19.52</v>
      </c>
      <c r="E211">
        <v>1.8325792474223002E-2</v>
      </c>
      <c r="F211" t="s">
        <v>1798</v>
      </c>
      <c r="G211" t="s">
        <v>1798</v>
      </c>
      <c r="H211">
        <v>0.35771946909684699</v>
      </c>
      <c r="I211">
        <v>852.88257799999997</v>
      </c>
      <c r="J211">
        <v>8.9389445520479587</v>
      </c>
      <c r="K211">
        <v>0.13973416761595589</v>
      </c>
      <c r="L211">
        <v>1.075285187644756</v>
      </c>
      <c r="M211">
        <v>25.68</v>
      </c>
      <c r="N211">
        <v>16.25</v>
      </c>
    </row>
    <row r="212" spans="1:14" x14ac:dyDescent="0.35">
      <c r="A212" s="1" t="s">
        <v>224</v>
      </c>
      <c r="B212" t="str">
        <f>HYPERLINK("https://www.suredividend.com/sure-analysis-research-database/","Beyond Meat Inc")</f>
        <v>Beyond Meat Inc</v>
      </c>
      <c r="C212" t="s">
        <v>1805</v>
      </c>
      <c r="D212">
        <v>8.64</v>
      </c>
      <c r="E212">
        <v>0</v>
      </c>
      <c r="F212" t="s">
        <v>1798</v>
      </c>
      <c r="G212" t="s">
        <v>1798</v>
      </c>
      <c r="H212">
        <v>0</v>
      </c>
      <c r="I212">
        <v>556.29323399999998</v>
      </c>
      <c r="J212" t="s">
        <v>1798</v>
      </c>
      <c r="K212">
        <v>0</v>
      </c>
      <c r="L212">
        <v>2.4862580903175049</v>
      </c>
      <c r="M212">
        <v>22.87</v>
      </c>
      <c r="N212">
        <v>7.9</v>
      </c>
    </row>
    <row r="213" spans="1:14" x14ac:dyDescent="0.35">
      <c r="A213" s="1" t="s">
        <v>225</v>
      </c>
      <c r="B213" t="str">
        <f>HYPERLINK("https://www.suredividend.com/sure-analysis-research-database/","Beazer Homes USA Inc.")</f>
        <v>Beazer Homes USA Inc.</v>
      </c>
      <c r="C213" t="s">
        <v>1802</v>
      </c>
      <c r="D213">
        <v>23.39</v>
      </c>
      <c r="E213">
        <v>0</v>
      </c>
      <c r="F213" t="s">
        <v>1798</v>
      </c>
      <c r="G213" t="s">
        <v>1798</v>
      </c>
      <c r="H213">
        <v>0</v>
      </c>
      <c r="I213">
        <v>733.02421500000003</v>
      </c>
      <c r="J213">
        <v>3.8645716185324601</v>
      </c>
      <c r="K213">
        <v>0</v>
      </c>
      <c r="L213">
        <v>1.7874368553586919</v>
      </c>
      <c r="M213">
        <v>35.93</v>
      </c>
      <c r="N213">
        <v>9.4700000000000006</v>
      </c>
    </row>
    <row r="214" spans="1:14" x14ac:dyDescent="0.35">
      <c r="A214" s="1" t="s">
        <v>226</v>
      </c>
      <c r="B214" t="str">
        <f>HYPERLINK("https://www.suredividend.com/sure-analysis-research-database/","Camden National Corp.")</f>
        <v>Camden National Corp.</v>
      </c>
      <c r="C214" t="s">
        <v>1801</v>
      </c>
      <c r="D214">
        <v>26.82</v>
      </c>
      <c r="E214">
        <v>6.0067310909271997E-2</v>
      </c>
      <c r="F214">
        <v>4.9999999999999822E-2</v>
      </c>
      <c r="G214">
        <v>6.9610375725068785E-2</v>
      </c>
      <c r="H214">
        <v>1.61100527858669</v>
      </c>
      <c r="I214">
        <v>390.36271299999999</v>
      </c>
      <c r="J214">
        <v>7.1477983817039901</v>
      </c>
      <c r="K214">
        <v>0.4319049004253861</v>
      </c>
      <c r="L214">
        <v>0.72737724077099508</v>
      </c>
      <c r="M214">
        <v>41.03</v>
      </c>
      <c r="N214">
        <v>26.2</v>
      </c>
    </row>
    <row r="215" spans="1:14" x14ac:dyDescent="0.35">
      <c r="A215" s="1" t="s">
        <v>227</v>
      </c>
      <c r="B215" t="str">
        <f>HYPERLINK("https://www.suredividend.com/sure-analysis-research-database/","Cadence Bank")</f>
        <v>Cadence Bank</v>
      </c>
      <c r="C215" t="s">
        <v>1801</v>
      </c>
      <c r="D215">
        <v>20.56</v>
      </c>
      <c r="E215">
        <v>4.4271709954657998E-2</v>
      </c>
      <c r="F215">
        <v>6.8181818181818343E-2</v>
      </c>
      <c r="G215">
        <v>6.0732713038533337E-2</v>
      </c>
      <c r="H215">
        <v>0.91022635666777407</v>
      </c>
      <c r="I215">
        <v>2110.4044530000001</v>
      </c>
      <c r="J215">
        <v>5.2432278512599968</v>
      </c>
      <c r="K215">
        <v>0.41562847336428038</v>
      </c>
      <c r="L215">
        <v>1.291277448426126</v>
      </c>
      <c r="M215">
        <v>28.21</v>
      </c>
      <c r="N215">
        <v>16.579999999999998</v>
      </c>
    </row>
    <row r="216" spans="1:14" x14ac:dyDescent="0.35">
      <c r="A216" s="1" t="s">
        <v>228</v>
      </c>
      <c r="B216" t="str">
        <f>HYPERLINK("https://www.suredividend.com/sure-analysis-CAKE/","Cheesecake Factory Inc.")</f>
        <v>Cheesecake Factory Inc.</v>
      </c>
      <c r="C216" t="s">
        <v>1802</v>
      </c>
      <c r="D216">
        <v>28.99</v>
      </c>
      <c r="E216">
        <v>3.7254225595032768E-2</v>
      </c>
      <c r="F216" t="s">
        <v>1798</v>
      </c>
      <c r="G216" t="s">
        <v>1798</v>
      </c>
      <c r="H216">
        <v>1.0567117807042421</v>
      </c>
      <c r="I216">
        <v>1486.4776730000001</v>
      </c>
      <c r="J216">
        <v>22.85868878008273</v>
      </c>
      <c r="K216">
        <v>0.80665021427804739</v>
      </c>
      <c r="L216">
        <v>0.97707578137308304</v>
      </c>
      <c r="M216">
        <v>39.68</v>
      </c>
      <c r="N216">
        <v>28.58</v>
      </c>
    </row>
    <row r="217" spans="1:14" x14ac:dyDescent="0.35">
      <c r="A217" s="1" t="s">
        <v>229</v>
      </c>
      <c r="B217" t="str">
        <f>HYPERLINK("https://www.suredividend.com/sure-analysis-research-database/","Caleres Inc")</f>
        <v>Caleres Inc</v>
      </c>
      <c r="C217" t="s">
        <v>1802</v>
      </c>
      <c r="D217">
        <v>26.98</v>
      </c>
      <c r="E217">
        <v>1.0334423266260001E-2</v>
      </c>
      <c r="F217">
        <v>0</v>
      </c>
      <c r="G217">
        <v>0</v>
      </c>
      <c r="H217">
        <v>0.27882273972369698</v>
      </c>
      <c r="I217">
        <v>958.85147400000005</v>
      </c>
      <c r="J217">
        <v>6.7400867007823653</v>
      </c>
      <c r="K217">
        <v>6.7675422263033261E-2</v>
      </c>
      <c r="L217">
        <v>1.067993589808393</v>
      </c>
      <c r="M217">
        <v>29.9</v>
      </c>
      <c r="N217">
        <v>16.760000000000002</v>
      </c>
    </row>
    <row r="218" spans="1:14" x14ac:dyDescent="0.35">
      <c r="A218" s="1" t="s">
        <v>230</v>
      </c>
      <c r="B218" t="str">
        <f>HYPERLINK("https://www.suredividend.com/sure-analysis-research-database/","Cal-Maine Foods, Inc.")</f>
        <v>Cal-Maine Foods, Inc.</v>
      </c>
      <c r="C218" t="s">
        <v>1805</v>
      </c>
      <c r="D218">
        <v>49.56</v>
      </c>
      <c r="E218">
        <v>9.9091345402243014E-2</v>
      </c>
      <c r="F218" t="s">
        <v>1798</v>
      </c>
      <c r="G218" t="s">
        <v>1798</v>
      </c>
      <c r="H218">
        <v>4.9109670781351662</v>
      </c>
      <c r="I218">
        <v>2189.6903000000002</v>
      </c>
      <c r="J218">
        <v>3.4556070029021728</v>
      </c>
      <c r="K218">
        <v>0.37864048405051393</v>
      </c>
      <c r="L218">
        <v>7.5804525075597012E-2</v>
      </c>
      <c r="M218">
        <v>59.17</v>
      </c>
      <c r="N218">
        <v>41.9</v>
      </c>
    </row>
    <row r="219" spans="1:14" x14ac:dyDescent="0.35">
      <c r="A219" s="1" t="s">
        <v>231</v>
      </c>
      <c r="B219" t="str">
        <f>HYPERLINK("https://www.suredividend.com/sure-analysis-research-database/","Calix Inc")</f>
        <v>Calix Inc</v>
      </c>
      <c r="C219" t="s">
        <v>1804</v>
      </c>
      <c r="D219">
        <v>43.34</v>
      </c>
      <c r="E219">
        <v>0</v>
      </c>
      <c r="F219" t="s">
        <v>1798</v>
      </c>
      <c r="G219" t="s">
        <v>1798</v>
      </c>
      <c r="H219">
        <v>0</v>
      </c>
      <c r="I219">
        <v>2874.3093629999998</v>
      </c>
      <c r="J219">
        <v>64.822835827338139</v>
      </c>
      <c r="K219">
        <v>0</v>
      </c>
      <c r="L219">
        <v>1.3097742191919339</v>
      </c>
      <c r="M219">
        <v>77.44</v>
      </c>
      <c r="N219">
        <v>39.61</v>
      </c>
    </row>
    <row r="220" spans="1:14" x14ac:dyDescent="0.35">
      <c r="A220" s="1" t="s">
        <v>232</v>
      </c>
      <c r="B220" t="str">
        <f>HYPERLINK("https://www.suredividend.com/sure-analysis-research-database/","Cano Health Inc")</f>
        <v>Cano Health Inc</v>
      </c>
      <c r="C220" t="s">
        <v>1798</v>
      </c>
      <c r="D220">
        <v>0.17799999999999999</v>
      </c>
      <c r="E220">
        <v>0</v>
      </c>
      <c r="F220" t="s">
        <v>1798</v>
      </c>
      <c r="G220" t="s">
        <v>1798</v>
      </c>
      <c r="H220">
        <v>0</v>
      </c>
      <c r="I220">
        <v>50.814484</v>
      </c>
      <c r="J220" t="s">
        <v>1798</v>
      </c>
      <c r="K220">
        <v>0</v>
      </c>
      <c r="L220">
        <v>0.41576140842837211</v>
      </c>
      <c r="M220">
        <v>8.31</v>
      </c>
      <c r="N220">
        <v>0.1762</v>
      </c>
    </row>
    <row r="221" spans="1:14" x14ac:dyDescent="0.35">
      <c r="A221" s="1" t="s">
        <v>233</v>
      </c>
      <c r="B221" t="str">
        <f>HYPERLINK("https://www.suredividend.com/sure-analysis-research-database/","Cara Therapeutics Inc")</f>
        <v>Cara Therapeutics Inc</v>
      </c>
      <c r="C221" t="s">
        <v>1803</v>
      </c>
      <c r="D221">
        <v>1.42</v>
      </c>
      <c r="E221">
        <v>0</v>
      </c>
      <c r="F221" t="s">
        <v>1798</v>
      </c>
      <c r="G221" t="s">
        <v>1798</v>
      </c>
      <c r="H221">
        <v>0</v>
      </c>
      <c r="I221">
        <v>76.790306999999999</v>
      </c>
      <c r="J221" t="s">
        <v>1798</v>
      </c>
      <c r="K221">
        <v>0</v>
      </c>
      <c r="L221">
        <v>1.4134165586152041</v>
      </c>
      <c r="M221">
        <v>12.81</v>
      </c>
      <c r="N221">
        <v>1.36</v>
      </c>
    </row>
    <row r="222" spans="1:14" x14ac:dyDescent="0.35">
      <c r="A222" s="1" t="s">
        <v>234</v>
      </c>
      <c r="B222" t="str">
        <f>HYPERLINK("https://www.suredividend.com/sure-analysis-research-database/","Carter Bankshares Inc")</f>
        <v>Carter Bankshares Inc</v>
      </c>
      <c r="C222" t="s">
        <v>1801</v>
      </c>
      <c r="D222">
        <v>10.88</v>
      </c>
      <c r="E222">
        <v>0</v>
      </c>
      <c r="F222" t="s">
        <v>1798</v>
      </c>
      <c r="G222" t="s">
        <v>1798</v>
      </c>
      <c r="H222">
        <v>0</v>
      </c>
      <c r="I222">
        <v>253.82521</v>
      </c>
      <c r="J222">
        <v>4.9131897766249857</v>
      </c>
      <c r="K222">
        <v>0</v>
      </c>
      <c r="L222">
        <v>0.84767832485291406</v>
      </c>
      <c r="M222">
        <v>18.84</v>
      </c>
      <c r="N222">
        <v>10.72</v>
      </c>
    </row>
    <row r="223" spans="1:14" x14ac:dyDescent="0.35">
      <c r="A223" s="1" t="s">
        <v>235</v>
      </c>
      <c r="B223" t="str">
        <f>HYPERLINK("https://www.suredividend.com/sure-analysis-research-database/","CarGurus Inc")</f>
        <v>CarGurus Inc</v>
      </c>
      <c r="C223" t="s">
        <v>1807</v>
      </c>
      <c r="D223">
        <v>17.37</v>
      </c>
      <c r="E223">
        <v>0</v>
      </c>
      <c r="F223" t="s">
        <v>1798</v>
      </c>
      <c r="G223" t="s">
        <v>1798</v>
      </c>
      <c r="H223">
        <v>0</v>
      </c>
      <c r="I223">
        <v>1693.5579949999999</v>
      </c>
      <c r="J223">
        <v>5.6686995232564366</v>
      </c>
      <c r="K223">
        <v>0</v>
      </c>
      <c r="L223">
        <v>1.475602108625591</v>
      </c>
      <c r="M223">
        <v>24.22</v>
      </c>
      <c r="N223">
        <v>9.14</v>
      </c>
    </row>
    <row r="224" spans="1:14" x14ac:dyDescent="0.35">
      <c r="A224" s="1" t="s">
        <v>236</v>
      </c>
      <c r="B224" t="str">
        <f>HYPERLINK("https://www.suredividend.com/sure-analysis-research-database/","Cars.com")</f>
        <v>Cars.com</v>
      </c>
      <c r="C224" t="s">
        <v>1802</v>
      </c>
      <c r="D224">
        <v>16.149999999999999</v>
      </c>
      <c r="E224">
        <v>0</v>
      </c>
      <c r="F224" t="s">
        <v>1798</v>
      </c>
      <c r="G224" t="s">
        <v>1798</v>
      </c>
      <c r="H224">
        <v>0</v>
      </c>
      <c r="I224">
        <v>1073.4603480000001</v>
      </c>
      <c r="J224">
        <v>9.5058741826505848</v>
      </c>
      <c r="K224">
        <v>0</v>
      </c>
      <c r="L224">
        <v>1.2501116697435299</v>
      </c>
      <c r="M224">
        <v>22.84</v>
      </c>
      <c r="N224">
        <v>11.81</v>
      </c>
    </row>
    <row r="225" spans="1:14" x14ac:dyDescent="0.35">
      <c r="A225" s="1" t="s">
        <v>237</v>
      </c>
      <c r="B225" t="str">
        <f>HYPERLINK("https://www.suredividend.com/sure-analysis-research-database/","Casa Systems Inc")</f>
        <v>Casa Systems Inc</v>
      </c>
      <c r="C225" t="s">
        <v>1804</v>
      </c>
      <c r="D225">
        <v>0.64360000000000006</v>
      </c>
      <c r="E225">
        <v>0</v>
      </c>
      <c r="F225" t="s">
        <v>1798</v>
      </c>
      <c r="G225" t="s">
        <v>1798</v>
      </c>
      <c r="H225">
        <v>0</v>
      </c>
      <c r="I225">
        <v>62.539470000000001</v>
      </c>
      <c r="J225" t="s">
        <v>1798</v>
      </c>
      <c r="K225">
        <v>0</v>
      </c>
      <c r="L225">
        <v>1.421297594952732</v>
      </c>
      <c r="M225">
        <v>3.97</v>
      </c>
      <c r="N225">
        <v>0.49</v>
      </c>
    </row>
    <row r="226" spans="1:14" x14ac:dyDescent="0.35">
      <c r="A226" s="1" t="s">
        <v>238</v>
      </c>
      <c r="B226" t="str">
        <f>HYPERLINK("https://www.suredividend.com/sure-analysis-research-database/","Pathward Financial Inc")</f>
        <v>Pathward Financial Inc</v>
      </c>
      <c r="C226" t="s">
        <v>1801</v>
      </c>
      <c r="D226">
        <v>47.26</v>
      </c>
      <c r="E226">
        <v>4.222186631551E-3</v>
      </c>
      <c r="F226">
        <v>0</v>
      </c>
      <c r="G226">
        <v>0</v>
      </c>
      <c r="H226">
        <v>0.19954054020711601</v>
      </c>
      <c r="I226">
        <v>1239.4201069999999</v>
      </c>
      <c r="J226">
        <v>8.3308358755167191</v>
      </c>
      <c r="K226">
        <v>3.6951951890206669E-2</v>
      </c>
      <c r="L226">
        <v>1.3051401663681339</v>
      </c>
      <c r="M226">
        <v>60.37</v>
      </c>
      <c r="N226">
        <v>35.85</v>
      </c>
    </row>
    <row r="227" spans="1:14" x14ac:dyDescent="0.35">
      <c r="A227" s="1" t="s">
        <v>239</v>
      </c>
      <c r="B227" t="str">
        <f>HYPERLINK("https://www.suredividend.com/sure-analysis-CASS/","Cass Information Systems Inc")</f>
        <v>Cass Information Systems Inc</v>
      </c>
      <c r="C227" t="s">
        <v>1799</v>
      </c>
      <c r="D227">
        <v>36.5</v>
      </c>
      <c r="E227">
        <v>3.1780821917808219E-2</v>
      </c>
      <c r="F227">
        <v>3.5714285714285587E-2</v>
      </c>
      <c r="G227">
        <v>2.20800938152379E-2</v>
      </c>
      <c r="H227">
        <v>1.13669306765723</v>
      </c>
      <c r="I227">
        <v>498.84385800000001</v>
      </c>
      <c r="J227">
        <v>15.42545711060948</v>
      </c>
      <c r="K227">
        <v>0.48576626822958552</v>
      </c>
      <c r="L227">
        <v>0.75386622818419802</v>
      </c>
      <c r="M227">
        <v>49.65</v>
      </c>
      <c r="N227">
        <v>34.01</v>
      </c>
    </row>
    <row r="228" spans="1:14" x14ac:dyDescent="0.35">
      <c r="A228" s="1" t="s">
        <v>240</v>
      </c>
      <c r="B228" t="str">
        <f>HYPERLINK("https://www.suredividend.com/sure-analysis-CATC/","Cambridge Bancorp")</f>
        <v>Cambridge Bancorp</v>
      </c>
      <c r="C228" t="s">
        <v>1801</v>
      </c>
      <c r="D228">
        <v>58.39</v>
      </c>
      <c r="E228">
        <v>4.5898270251755441E-2</v>
      </c>
      <c r="F228" t="s">
        <v>1798</v>
      </c>
      <c r="G228" t="s">
        <v>1798</v>
      </c>
      <c r="H228">
        <v>2.5666984304755052</v>
      </c>
      <c r="I228">
        <v>458.12023299999998</v>
      </c>
      <c r="J228">
        <v>10.076105936743939</v>
      </c>
      <c r="K228">
        <v>0.43065409907307128</v>
      </c>
      <c r="L228">
        <v>0.92142327818025804</v>
      </c>
      <c r="M228">
        <v>87.75</v>
      </c>
      <c r="N228">
        <v>42.44</v>
      </c>
    </row>
    <row r="229" spans="1:14" x14ac:dyDescent="0.35">
      <c r="A229" s="1" t="s">
        <v>241</v>
      </c>
      <c r="B229" t="str">
        <f>HYPERLINK("https://www.suredividend.com/sure-analysis-research-database/","Cato Corp.")</f>
        <v>Cato Corp.</v>
      </c>
      <c r="C229" t="s">
        <v>1802</v>
      </c>
      <c r="D229">
        <v>7.25</v>
      </c>
      <c r="E229">
        <v>9.0858136253204005E-2</v>
      </c>
      <c r="F229" t="s">
        <v>1798</v>
      </c>
      <c r="G229" t="s">
        <v>1798</v>
      </c>
      <c r="H229">
        <v>0.65872148783573403</v>
      </c>
      <c r="I229">
        <v>136.48684700000001</v>
      </c>
      <c r="J229" t="s">
        <v>1798</v>
      </c>
      <c r="K229" t="s">
        <v>1798</v>
      </c>
      <c r="L229">
        <v>0.82894714227857302</v>
      </c>
      <c r="M229">
        <v>11.16</v>
      </c>
      <c r="N229">
        <v>7</v>
      </c>
    </row>
    <row r="230" spans="1:14" x14ac:dyDescent="0.35">
      <c r="A230" s="1" t="s">
        <v>242</v>
      </c>
      <c r="B230" t="str">
        <f>HYPERLINK("https://www.suredividend.com/sure-analysis-research-database/","Cathay General Bancorp")</f>
        <v>Cathay General Bancorp</v>
      </c>
      <c r="C230" t="s">
        <v>1801</v>
      </c>
      <c r="D230">
        <v>34.25</v>
      </c>
      <c r="E230">
        <v>3.8633015284343E-2</v>
      </c>
      <c r="F230">
        <v>0</v>
      </c>
      <c r="G230">
        <v>1.8646376444729999E-2</v>
      </c>
      <c r="H230">
        <v>1.3231807734887779</v>
      </c>
      <c r="I230">
        <v>2485.2891549999999</v>
      </c>
      <c r="J230">
        <v>6.4408589441071058</v>
      </c>
      <c r="K230">
        <v>0.25155528013094641</v>
      </c>
      <c r="L230">
        <v>1.1931768347776639</v>
      </c>
      <c r="M230">
        <v>44.69</v>
      </c>
      <c r="N230">
        <v>26.13</v>
      </c>
    </row>
    <row r="231" spans="1:14" x14ac:dyDescent="0.35">
      <c r="A231" s="1" t="s">
        <v>243</v>
      </c>
      <c r="B231" t="str">
        <f>HYPERLINK("https://www.suredividend.com/sure-analysis-research-database/","Colony Bankcorp, Inc.")</f>
        <v>Colony Bankcorp, Inc.</v>
      </c>
      <c r="C231" t="s">
        <v>1801</v>
      </c>
      <c r="D231">
        <v>9.85</v>
      </c>
      <c r="E231">
        <v>4.3148282877139003E-2</v>
      </c>
      <c r="F231">
        <v>2.325581395348841E-2</v>
      </c>
      <c r="G231">
        <v>7.9608473046602901E-2</v>
      </c>
      <c r="H231">
        <v>0.42501058633982802</v>
      </c>
      <c r="I231">
        <v>173.03274400000001</v>
      </c>
      <c r="J231">
        <v>0</v>
      </c>
      <c r="K231" t="s">
        <v>1798</v>
      </c>
      <c r="L231">
        <v>0.57458575669097001</v>
      </c>
      <c r="M231">
        <v>13.62</v>
      </c>
      <c r="N231">
        <v>8.2200000000000006</v>
      </c>
    </row>
    <row r="232" spans="1:14" x14ac:dyDescent="0.35">
      <c r="A232" s="1" t="s">
        <v>244</v>
      </c>
      <c r="B232" t="str">
        <f>HYPERLINK("https://www.suredividend.com/sure-analysis-research-database/","CBL&amp; Associates Properties, Inc.")</f>
        <v>CBL&amp; Associates Properties, Inc.</v>
      </c>
      <c r="C232" t="s">
        <v>1800</v>
      </c>
      <c r="D232">
        <v>20.81</v>
      </c>
      <c r="E232">
        <v>6.3723027551621E-2</v>
      </c>
      <c r="F232" t="s">
        <v>1798</v>
      </c>
      <c r="G232" t="s">
        <v>1798</v>
      </c>
      <c r="H232">
        <v>1.3260762033492359</v>
      </c>
      <c r="I232">
        <v>667.05250100000001</v>
      </c>
      <c r="J232" t="s">
        <v>1798</v>
      </c>
      <c r="K232" t="s">
        <v>1798</v>
      </c>
      <c r="L232">
        <v>0.68463630903211803</v>
      </c>
      <c r="M232">
        <v>27.34</v>
      </c>
      <c r="N232">
        <v>20.45</v>
      </c>
    </row>
    <row r="233" spans="1:14" x14ac:dyDescent="0.35">
      <c r="A233" s="1" t="s">
        <v>245</v>
      </c>
      <c r="B233" t="str">
        <f>HYPERLINK("https://www.suredividend.com/sure-analysis-research-database/","Capital Bancorp Inc")</f>
        <v>Capital Bancorp Inc</v>
      </c>
      <c r="C233" t="s">
        <v>1801</v>
      </c>
      <c r="D233">
        <v>19.670000000000002</v>
      </c>
      <c r="E233">
        <v>1.3114254723599001E-2</v>
      </c>
      <c r="F233" t="s">
        <v>1798</v>
      </c>
      <c r="G233" t="s">
        <v>1798</v>
      </c>
      <c r="H233">
        <v>0.25795739041319699</v>
      </c>
      <c r="I233">
        <v>274.22041400000001</v>
      </c>
      <c r="J233">
        <v>0</v>
      </c>
      <c r="K233" t="s">
        <v>1798</v>
      </c>
      <c r="L233">
        <v>0.67715423485774506</v>
      </c>
      <c r="M233">
        <v>24.87</v>
      </c>
      <c r="N233">
        <v>15.14</v>
      </c>
    </row>
    <row r="234" spans="1:14" x14ac:dyDescent="0.35">
      <c r="A234" s="1" t="s">
        <v>246</v>
      </c>
      <c r="B234" t="str">
        <f>HYPERLINK("https://www.suredividend.com/sure-analysis-CBRL/","Cracker Barrel Old Country Store Inc")</f>
        <v>Cracker Barrel Old Country Store Inc</v>
      </c>
      <c r="C234" t="s">
        <v>1802</v>
      </c>
      <c r="D234">
        <v>67.650000000000006</v>
      </c>
      <c r="E234">
        <v>7.6866223207686615E-2</v>
      </c>
      <c r="F234" t="s">
        <v>1798</v>
      </c>
      <c r="G234" t="s">
        <v>1798</v>
      </c>
      <c r="H234">
        <v>5.0532788653744971</v>
      </c>
      <c r="I234">
        <v>1498.9660369999999</v>
      </c>
      <c r="J234">
        <v>15.133427937910151</v>
      </c>
      <c r="K234">
        <v>1.13556828435382</v>
      </c>
      <c r="L234">
        <v>0.82923827558444207</v>
      </c>
      <c r="M234">
        <v>116.66</v>
      </c>
      <c r="N234">
        <v>62.69</v>
      </c>
    </row>
    <row r="235" spans="1:14" x14ac:dyDescent="0.35">
      <c r="A235" s="1" t="s">
        <v>247</v>
      </c>
      <c r="B235" t="str">
        <f>HYPERLINK("https://www.suredividend.com/sure-analysis-research-database/","Cabot Corp.")</f>
        <v>Cabot Corp.</v>
      </c>
      <c r="C235" t="s">
        <v>1809</v>
      </c>
      <c r="D235">
        <v>68.67</v>
      </c>
      <c r="E235">
        <v>2.2243954239343E-2</v>
      </c>
      <c r="F235">
        <v>8.1081081081081141E-2</v>
      </c>
      <c r="G235">
        <v>3.9224101567206349E-2</v>
      </c>
      <c r="H235">
        <v>1.527492337615695</v>
      </c>
      <c r="I235">
        <v>3841.1926910000002</v>
      </c>
      <c r="J235">
        <v>12.761437512558141</v>
      </c>
      <c r="K235">
        <v>0.28766334041726838</v>
      </c>
      <c r="L235">
        <v>1.4404437857735171</v>
      </c>
      <c r="M235">
        <v>82.78</v>
      </c>
      <c r="N235">
        <v>63.36</v>
      </c>
    </row>
    <row r="236" spans="1:14" x14ac:dyDescent="0.35">
      <c r="A236" s="1" t="s">
        <v>248</v>
      </c>
      <c r="B236" t="str">
        <f>HYPERLINK("https://www.suredividend.com/sure-analysis-CBU/","Community Bank System, Inc.")</f>
        <v>Community Bank System, Inc.</v>
      </c>
      <c r="C236" t="s">
        <v>1801</v>
      </c>
      <c r="D236">
        <v>41.05</v>
      </c>
      <c r="E236">
        <v>4.38489646772229E-2</v>
      </c>
      <c r="F236">
        <v>2.2727272727272711E-2</v>
      </c>
      <c r="G236">
        <v>3.4393501436834388E-2</v>
      </c>
      <c r="H236">
        <v>1.7453276805911611</v>
      </c>
      <c r="I236">
        <v>2197.2756330000002</v>
      </c>
      <c r="J236">
        <v>14.193186785262119</v>
      </c>
      <c r="K236">
        <v>0.60812811170423731</v>
      </c>
      <c r="L236">
        <v>1.0635427954226651</v>
      </c>
      <c r="M236">
        <v>63.69</v>
      </c>
      <c r="N236">
        <v>40.26</v>
      </c>
    </row>
    <row r="237" spans="1:14" x14ac:dyDescent="0.35">
      <c r="A237" s="1" t="s">
        <v>249</v>
      </c>
      <c r="B237" t="str">
        <f>HYPERLINK("https://www.suredividend.com/sure-analysis-research-database/","Cbiz Inc")</f>
        <v>Cbiz Inc</v>
      </c>
      <c r="C237" t="s">
        <v>1799</v>
      </c>
      <c r="D237">
        <v>53.83</v>
      </c>
      <c r="E237">
        <v>0</v>
      </c>
      <c r="F237" t="s">
        <v>1798</v>
      </c>
      <c r="G237" t="s">
        <v>1798</v>
      </c>
      <c r="H237">
        <v>0</v>
      </c>
      <c r="I237">
        <v>2681.9330089999999</v>
      </c>
      <c r="J237">
        <v>23.12110874968749</v>
      </c>
      <c r="K237">
        <v>0</v>
      </c>
      <c r="L237">
        <v>0.8528347291490751</v>
      </c>
      <c r="M237">
        <v>56.96</v>
      </c>
      <c r="N237">
        <v>44.33</v>
      </c>
    </row>
    <row r="238" spans="1:14" x14ac:dyDescent="0.35">
      <c r="A238" s="1" t="s">
        <v>250</v>
      </c>
      <c r="B238" t="str">
        <f>HYPERLINK("https://www.suredividend.com/sure-analysis-research-database/","Coastal Financial Corp")</f>
        <v>Coastal Financial Corp</v>
      </c>
      <c r="C238" t="s">
        <v>1801</v>
      </c>
      <c r="D238">
        <v>42</v>
      </c>
      <c r="E238">
        <v>0</v>
      </c>
      <c r="F238" t="s">
        <v>1798</v>
      </c>
      <c r="G238" t="s">
        <v>1798</v>
      </c>
      <c r="H238">
        <v>0</v>
      </c>
      <c r="I238">
        <v>558.67051800000002</v>
      </c>
      <c r="J238">
        <v>0</v>
      </c>
      <c r="K238" t="s">
        <v>1798</v>
      </c>
      <c r="L238">
        <v>1.156197424185446</v>
      </c>
      <c r="M238">
        <v>54.53</v>
      </c>
      <c r="N238">
        <v>29.91</v>
      </c>
    </row>
    <row r="239" spans="1:14" x14ac:dyDescent="0.35">
      <c r="A239" s="1" t="s">
        <v>251</v>
      </c>
      <c r="B239" t="str">
        <f>HYPERLINK("https://www.suredividend.com/sure-analysis-research-database/","Capital City Bank Group, Inc.")</f>
        <v>Capital City Bank Group, Inc.</v>
      </c>
      <c r="C239" t="s">
        <v>1801</v>
      </c>
      <c r="D239">
        <v>29.19</v>
      </c>
      <c r="E239">
        <v>2.4598453959461999E-2</v>
      </c>
      <c r="F239">
        <v>0.17647058823529421</v>
      </c>
      <c r="G239">
        <v>0.17316067631184101</v>
      </c>
      <c r="H239">
        <v>0.71802887107669511</v>
      </c>
      <c r="I239">
        <v>495.98579599999999</v>
      </c>
      <c r="J239">
        <v>9.4502285736605458</v>
      </c>
      <c r="K239">
        <v>0.2331262568430828</v>
      </c>
      <c r="L239">
        <v>0.67081706892049708</v>
      </c>
      <c r="M239">
        <v>35.93</v>
      </c>
      <c r="N239">
        <v>27.33</v>
      </c>
    </row>
    <row r="240" spans="1:14" x14ac:dyDescent="0.35">
      <c r="A240" s="1" t="s">
        <v>252</v>
      </c>
      <c r="B240" t="str">
        <f>HYPERLINK("https://www.suredividend.com/sure-analysis-research-database/","C4 Therapeutics Inc")</f>
        <v>C4 Therapeutics Inc</v>
      </c>
      <c r="C240" t="s">
        <v>1798</v>
      </c>
      <c r="D240">
        <v>1.99</v>
      </c>
      <c r="E240">
        <v>0</v>
      </c>
      <c r="F240" t="s">
        <v>1798</v>
      </c>
      <c r="G240" t="s">
        <v>1798</v>
      </c>
      <c r="H240">
        <v>0</v>
      </c>
      <c r="I240">
        <v>97.889801000000006</v>
      </c>
      <c r="J240" t="s">
        <v>1798</v>
      </c>
      <c r="K240">
        <v>0</v>
      </c>
      <c r="L240">
        <v>1.637060106326385</v>
      </c>
      <c r="M240">
        <v>10.42</v>
      </c>
      <c r="N240">
        <v>1.51</v>
      </c>
    </row>
    <row r="241" spans="1:14" x14ac:dyDescent="0.35">
      <c r="A241" s="1" t="s">
        <v>253</v>
      </c>
      <c r="B241" t="str">
        <f>HYPERLINK("https://www.suredividend.com/sure-analysis-research-database/","Chase Corp.")</f>
        <v>Chase Corp.</v>
      </c>
      <c r="C241" t="s">
        <v>1809</v>
      </c>
      <c r="D241">
        <v>126.67</v>
      </c>
      <c r="E241">
        <v>7.8945290913390014E-3</v>
      </c>
      <c r="F241" t="s">
        <v>1798</v>
      </c>
      <c r="G241" t="s">
        <v>1798</v>
      </c>
      <c r="H241">
        <v>1</v>
      </c>
      <c r="I241">
        <v>1204.4395420000001</v>
      </c>
      <c r="J241">
        <v>0</v>
      </c>
      <c r="K241" t="s">
        <v>1798</v>
      </c>
      <c r="L241">
        <v>0.82890559627809901</v>
      </c>
      <c r="M241">
        <v>135.27000000000001</v>
      </c>
      <c r="N241">
        <v>80.27</v>
      </c>
    </row>
    <row r="242" spans="1:14" x14ac:dyDescent="0.35">
      <c r="A242" s="1" t="s">
        <v>254</v>
      </c>
      <c r="B242" t="str">
        <f>HYPERLINK("https://www.suredividend.com/sure-analysis-research-database/","CNB Financial Corp (PA)")</f>
        <v>CNB Financial Corp (PA)</v>
      </c>
      <c r="C242" t="s">
        <v>1801</v>
      </c>
      <c r="D242">
        <v>17.96</v>
      </c>
      <c r="E242">
        <v>3.7975440724239001E-2</v>
      </c>
      <c r="F242">
        <v>0</v>
      </c>
      <c r="G242">
        <v>5.8143454444143927E-3</v>
      </c>
      <c r="H242">
        <v>0.68203891540734207</v>
      </c>
      <c r="I242">
        <v>377.08305899999999</v>
      </c>
      <c r="J242">
        <v>6.4714180672398713</v>
      </c>
      <c r="K242">
        <v>0.23518583289908351</v>
      </c>
      <c r="L242">
        <v>0.84967979322856502</v>
      </c>
      <c r="M242">
        <v>25.22</v>
      </c>
      <c r="N242">
        <v>15.85</v>
      </c>
    </row>
    <row r="243" spans="1:14" x14ac:dyDescent="0.35">
      <c r="A243" s="1" t="s">
        <v>255</v>
      </c>
      <c r="B243" t="str">
        <f>HYPERLINK("https://www.suredividend.com/sure-analysis-research-database/","Clear Channel Outdoor Holdings Inc.")</f>
        <v>Clear Channel Outdoor Holdings Inc.</v>
      </c>
      <c r="C243" t="s">
        <v>1807</v>
      </c>
      <c r="D243">
        <v>1.1100000000000001</v>
      </c>
      <c r="E243">
        <v>0</v>
      </c>
      <c r="F243" t="s">
        <v>1798</v>
      </c>
      <c r="G243" t="s">
        <v>1798</v>
      </c>
      <c r="H243">
        <v>0</v>
      </c>
      <c r="I243">
        <v>536.03471500000001</v>
      </c>
      <c r="J243" t="s">
        <v>1798</v>
      </c>
      <c r="K243">
        <v>0</v>
      </c>
      <c r="L243">
        <v>2.2287216220316641</v>
      </c>
      <c r="M243">
        <v>2.14</v>
      </c>
      <c r="N243">
        <v>0.95010000000000006</v>
      </c>
    </row>
    <row r="244" spans="1:14" x14ac:dyDescent="0.35">
      <c r="A244" s="1" t="s">
        <v>256</v>
      </c>
      <c r="B244" t="str">
        <f>HYPERLINK("https://www.suredividend.com/sure-analysis-CCOI/","Cogent Communications Holdings Inc")</f>
        <v>Cogent Communications Holdings Inc</v>
      </c>
      <c r="C244" t="s">
        <v>1807</v>
      </c>
      <c r="D244">
        <v>62.66</v>
      </c>
      <c r="E244">
        <v>6.032556654963294E-2</v>
      </c>
      <c r="F244">
        <v>4.4198895027624419E-2</v>
      </c>
      <c r="G244">
        <v>0.11032151746146</v>
      </c>
      <c r="H244">
        <v>3.6048052042804608</v>
      </c>
      <c r="I244">
        <v>3064.0740000000001</v>
      </c>
      <c r="J244">
        <v>2.728821861396296</v>
      </c>
      <c r="K244">
        <v>0.1522942629607292</v>
      </c>
      <c r="L244">
        <v>0.54295345414731</v>
      </c>
      <c r="M244">
        <v>71.87</v>
      </c>
      <c r="N244">
        <v>46.66</v>
      </c>
    </row>
    <row r="245" spans="1:14" x14ac:dyDescent="0.35">
      <c r="A245" s="1" t="s">
        <v>257</v>
      </c>
      <c r="B245" t="str">
        <f>HYPERLINK("https://www.suredividend.com/sure-analysis-research-database/","Cross Country Healthcares, Inc.")</f>
        <v>Cross Country Healthcares, Inc.</v>
      </c>
      <c r="C245" t="s">
        <v>1799</v>
      </c>
      <c r="D245">
        <v>23</v>
      </c>
      <c r="E245">
        <v>0</v>
      </c>
      <c r="F245" t="s">
        <v>1798</v>
      </c>
      <c r="G245" t="s">
        <v>1798</v>
      </c>
      <c r="H245">
        <v>0</v>
      </c>
      <c r="I245">
        <v>823.45922499999995</v>
      </c>
      <c r="J245">
        <v>6.6213100550798059</v>
      </c>
      <c r="K245">
        <v>0</v>
      </c>
      <c r="L245">
        <v>0.54858430865134999</v>
      </c>
      <c r="M245">
        <v>40.119999999999997</v>
      </c>
      <c r="N245">
        <v>20.5</v>
      </c>
    </row>
    <row r="246" spans="1:14" x14ac:dyDescent="0.35">
      <c r="A246" s="1" t="s">
        <v>258</v>
      </c>
      <c r="B246" t="str">
        <f>HYPERLINK("https://www.suredividend.com/sure-analysis-research-database/","Century Communities Inc")</f>
        <v>Century Communities Inc</v>
      </c>
      <c r="C246" t="s">
        <v>1802</v>
      </c>
      <c r="D246">
        <v>61.71</v>
      </c>
      <c r="E246">
        <v>1.4350689205628001E-2</v>
      </c>
      <c r="F246" t="s">
        <v>1798</v>
      </c>
      <c r="G246" t="s">
        <v>1798</v>
      </c>
      <c r="H246">
        <v>0.88558103087931705</v>
      </c>
      <c r="I246">
        <v>1975.9775259999999</v>
      </c>
      <c r="J246">
        <v>6.40059059199658</v>
      </c>
      <c r="K246">
        <v>9.2633999045953666E-2</v>
      </c>
      <c r="L246">
        <v>1.490929943362225</v>
      </c>
      <c r="M246">
        <v>82.43</v>
      </c>
      <c r="N246">
        <v>39.67</v>
      </c>
    </row>
    <row r="247" spans="1:14" x14ac:dyDescent="0.35">
      <c r="A247" s="1" t="s">
        <v>259</v>
      </c>
      <c r="B247" t="str">
        <f>HYPERLINK("https://www.suredividend.com/sure-analysis-research-database/","Consensus Cloud Solutions Inc")</f>
        <v>Consensus Cloud Solutions Inc</v>
      </c>
      <c r="C247" t="s">
        <v>1798</v>
      </c>
      <c r="D247">
        <v>23.87</v>
      </c>
      <c r="E247">
        <v>0</v>
      </c>
      <c r="F247" t="s">
        <v>1798</v>
      </c>
      <c r="G247" t="s">
        <v>1798</v>
      </c>
      <c r="H247">
        <v>0</v>
      </c>
      <c r="I247">
        <v>469.00408599999997</v>
      </c>
      <c r="J247">
        <v>6.8718547333333326</v>
      </c>
      <c r="K247">
        <v>0</v>
      </c>
      <c r="L247">
        <v>0.98918590703702303</v>
      </c>
      <c r="M247">
        <v>65.680000000000007</v>
      </c>
      <c r="N247">
        <v>23.25</v>
      </c>
    </row>
    <row r="248" spans="1:14" x14ac:dyDescent="0.35">
      <c r="A248" s="1" t="s">
        <v>260</v>
      </c>
      <c r="B248" t="str">
        <f>HYPERLINK("https://www.suredividend.com/sure-analysis-research-database/","Coeur Mining Inc")</f>
        <v>Coeur Mining Inc</v>
      </c>
      <c r="C248" t="s">
        <v>1809</v>
      </c>
      <c r="D248">
        <v>2.5</v>
      </c>
      <c r="E248">
        <v>0</v>
      </c>
      <c r="F248" t="s">
        <v>1798</v>
      </c>
      <c r="G248" t="s">
        <v>1798</v>
      </c>
      <c r="H248">
        <v>0</v>
      </c>
      <c r="I248">
        <v>882.90926300000001</v>
      </c>
      <c r="J248" t="s">
        <v>1798</v>
      </c>
      <c r="K248">
        <v>0</v>
      </c>
      <c r="L248">
        <v>1.0001784113756289</v>
      </c>
      <c r="M248">
        <v>4.55</v>
      </c>
      <c r="N248">
        <v>2.02</v>
      </c>
    </row>
    <row r="249" spans="1:14" x14ac:dyDescent="0.35">
      <c r="A249" s="1" t="s">
        <v>261</v>
      </c>
      <c r="B249" t="str">
        <f>HYPERLINK("https://www.suredividend.com/sure-analysis-research-database/","Cardlytics Inc")</f>
        <v>Cardlytics Inc</v>
      </c>
      <c r="C249" t="s">
        <v>1807</v>
      </c>
      <c r="D249">
        <v>11.04</v>
      </c>
      <c r="E249">
        <v>0</v>
      </c>
      <c r="F249" t="s">
        <v>1798</v>
      </c>
      <c r="G249" t="s">
        <v>1798</v>
      </c>
      <c r="H249">
        <v>0</v>
      </c>
      <c r="I249">
        <v>416.47526699999997</v>
      </c>
      <c r="J249" t="s">
        <v>1798</v>
      </c>
      <c r="K249">
        <v>0</v>
      </c>
      <c r="L249">
        <v>3.7023095479665962</v>
      </c>
      <c r="M249">
        <v>19.57</v>
      </c>
      <c r="N249">
        <v>2.57</v>
      </c>
    </row>
    <row r="250" spans="1:14" x14ac:dyDescent="0.35">
      <c r="A250" s="1" t="s">
        <v>262</v>
      </c>
      <c r="B250" t="str">
        <f>HYPERLINK("https://www.suredividend.com/sure-analysis-research-database/","Avid Bioservices Inc")</f>
        <v>Avid Bioservices Inc</v>
      </c>
      <c r="C250" t="s">
        <v>1803</v>
      </c>
      <c r="D250">
        <v>8.23</v>
      </c>
      <c r="E250">
        <v>0</v>
      </c>
      <c r="F250" t="s">
        <v>1798</v>
      </c>
      <c r="G250" t="s">
        <v>1798</v>
      </c>
      <c r="H250">
        <v>0</v>
      </c>
      <c r="I250">
        <v>519.41944699999999</v>
      </c>
      <c r="J250" t="s">
        <v>1798</v>
      </c>
      <c r="K250">
        <v>0</v>
      </c>
      <c r="L250">
        <v>1.5742735300825901</v>
      </c>
      <c r="M250">
        <v>21.05</v>
      </c>
      <c r="N250">
        <v>8.08</v>
      </c>
    </row>
    <row r="251" spans="1:14" x14ac:dyDescent="0.35">
      <c r="A251" s="1" t="s">
        <v>263</v>
      </c>
      <c r="B251" t="str">
        <f>HYPERLINK("https://www.suredividend.com/sure-analysis-research-database/","Caredx Inc")</f>
        <v>Caredx Inc</v>
      </c>
      <c r="C251" t="s">
        <v>1803</v>
      </c>
      <c r="D251">
        <v>5.65</v>
      </c>
      <c r="E251">
        <v>0</v>
      </c>
      <c r="F251" t="s">
        <v>1798</v>
      </c>
      <c r="G251" t="s">
        <v>1798</v>
      </c>
      <c r="H251">
        <v>0</v>
      </c>
      <c r="I251">
        <v>306.053991</v>
      </c>
      <c r="J251">
        <v>0</v>
      </c>
      <c r="K251" t="s">
        <v>1798</v>
      </c>
      <c r="L251">
        <v>0.86792666257692208</v>
      </c>
      <c r="M251">
        <v>20.71</v>
      </c>
      <c r="N251">
        <v>5.19</v>
      </c>
    </row>
    <row r="252" spans="1:14" x14ac:dyDescent="0.35">
      <c r="A252" s="1" t="s">
        <v>264</v>
      </c>
      <c r="B252" t="str">
        <f>HYPERLINK("https://www.suredividend.com/sure-analysis-research-database/","Cadre Holdings Inc")</f>
        <v>Cadre Holdings Inc</v>
      </c>
      <c r="C252" t="s">
        <v>1798</v>
      </c>
      <c r="D252">
        <v>27.66</v>
      </c>
      <c r="E252">
        <v>1.1507607834634E-2</v>
      </c>
      <c r="F252" t="s">
        <v>1798</v>
      </c>
      <c r="G252" t="s">
        <v>1798</v>
      </c>
      <c r="H252">
        <v>0.31830043270597802</v>
      </c>
      <c r="I252">
        <v>1036.4331999999999</v>
      </c>
      <c r="J252">
        <v>35.092882785941633</v>
      </c>
      <c r="K252">
        <v>0.40372962037795279</v>
      </c>
      <c r="L252">
        <v>0.50132076538385106</v>
      </c>
      <c r="M252">
        <v>31.16</v>
      </c>
      <c r="N252">
        <v>16.46</v>
      </c>
    </row>
    <row r="253" spans="1:14" x14ac:dyDescent="0.35">
      <c r="A253" s="1" t="s">
        <v>265</v>
      </c>
      <c r="B253" t="str">
        <f>HYPERLINK("https://www.suredividend.com/sure-analysis-research-database/","Codexis Inc.")</f>
        <v>Codexis Inc.</v>
      </c>
      <c r="C253" t="s">
        <v>1803</v>
      </c>
      <c r="D253">
        <v>1.99</v>
      </c>
      <c r="E253">
        <v>0</v>
      </c>
      <c r="F253" t="s">
        <v>1798</v>
      </c>
      <c r="G253" t="s">
        <v>1798</v>
      </c>
      <c r="H253">
        <v>0</v>
      </c>
      <c r="I253">
        <v>138.90994800000001</v>
      </c>
      <c r="J253">
        <v>0</v>
      </c>
      <c r="K253" t="s">
        <v>1798</v>
      </c>
      <c r="L253">
        <v>2.2750643059241482</v>
      </c>
      <c r="M253">
        <v>6.98</v>
      </c>
      <c r="N253">
        <v>1.45</v>
      </c>
    </row>
    <row r="254" spans="1:14" x14ac:dyDescent="0.35">
      <c r="A254" s="1" t="s">
        <v>266</v>
      </c>
      <c r="B254" t="str">
        <f>HYPERLINK("https://www.suredividend.com/sure-analysis-research-database/","Consol Energy Inc")</f>
        <v>Consol Energy Inc</v>
      </c>
      <c r="C254" t="s">
        <v>1808</v>
      </c>
      <c r="D254">
        <v>107.38</v>
      </c>
      <c r="E254">
        <v>2.9555463244376998E-2</v>
      </c>
      <c r="F254" t="s">
        <v>1798</v>
      </c>
      <c r="G254" t="s">
        <v>1798</v>
      </c>
      <c r="H254">
        <v>3.1736656431813031</v>
      </c>
      <c r="I254">
        <v>3434.5579980000002</v>
      </c>
      <c r="J254">
        <v>4.6210742693188456</v>
      </c>
      <c r="K254">
        <v>0.15112693538958591</v>
      </c>
      <c r="L254">
        <v>0.96585305790646503</v>
      </c>
      <c r="M254">
        <v>110.11</v>
      </c>
      <c r="N254">
        <v>48.47</v>
      </c>
    </row>
    <row r="255" spans="1:14" x14ac:dyDescent="0.35">
      <c r="A255" s="1" t="s">
        <v>267</v>
      </c>
      <c r="B255" t="str">
        <f>HYPERLINK("https://www.suredividend.com/sure-analysis-research-database/","Celsius Holdings Inc")</f>
        <v>Celsius Holdings Inc</v>
      </c>
      <c r="C255" t="s">
        <v>1805</v>
      </c>
      <c r="D255">
        <v>163.66999999999999</v>
      </c>
      <c r="E255">
        <v>0</v>
      </c>
      <c r="F255" t="s">
        <v>1798</v>
      </c>
      <c r="G255" t="s">
        <v>1798</v>
      </c>
      <c r="H255">
        <v>0</v>
      </c>
      <c r="I255">
        <v>12584.787123</v>
      </c>
      <c r="J255" t="s">
        <v>1798</v>
      </c>
      <c r="K255">
        <v>0</v>
      </c>
      <c r="L255">
        <v>1.5167407517008269</v>
      </c>
      <c r="M255">
        <v>206.85</v>
      </c>
      <c r="N255">
        <v>78.25</v>
      </c>
    </row>
    <row r="256" spans="1:14" x14ac:dyDescent="0.35">
      <c r="A256" s="1" t="s">
        <v>268</v>
      </c>
      <c r="B256" t="str">
        <f>HYPERLINK("https://www.suredividend.com/sure-analysis-research-database/","PhenomeX Inc")</f>
        <v>PhenomeX Inc</v>
      </c>
      <c r="C256" t="s">
        <v>1798</v>
      </c>
      <c r="D256">
        <v>0.9981000000000001</v>
      </c>
      <c r="E256">
        <v>0</v>
      </c>
      <c r="F256" t="s">
        <v>1798</v>
      </c>
      <c r="G256" t="s">
        <v>1798</v>
      </c>
      <c r="H256">
        <v>0</v>
      </c>
      <c r="I256">
        <v>0</v>
      </c>
      <c r="J256">
        <v>0</v>
      </c>
      <c r="K256" t="s">
        <v>1798</v>
      </c>
    </row>
    <row r="257" spans="1:14" x14ac:dyDescent="0.35">
      <c r="A257" s="1" t="s">
        <v>269</v>
      </c>
      <c r="B257" t="str">
        <f>HYPERLINK("https://www.suredividend.com/sure-analysis-research-database/","Celularity Inc")</f>
        <v>Celularity Inc</v>
      </c>
      <c r="C257" t="s">
        <v>1798</v>
      </c>
      <c r="D257">
        <v>0.29759999999999998</v>
      </c>
      <c r="E257">
        <v>0</v>
      </c>
      <c r="F257" t="s">
        <v>1798</v>
      </c>
      <c r="G257" t="s">
        <v>1798</v>
      </c>
      <c r="H257">
        <v>0</v>
      </c>
      <c r="I257">
        <v>56.826180999999998</v>
      </c>
      <c r="J257">
        <v>0</v>
      </c>
      <c r="K257" t="s">
        <v>1798</v>
      </c>
      <c r="L257">
        <v>1.7396771635534101</v>
      </c>
      <c r="M257">
        <v>2.46</v>
      </c>
      <c r="N257">
        <v>0.19</v>
      </c>
    </row>
    <row r="258" spans="1:14" x14ac:dyDescent="0.35">
      <c r="A258" s="1" t="s">
        <v>270</v>
      </c>
      <c r="B258" t="str">
        <f>HYPERLINK("https://www.suredividend.com/sure-analysis-research-database/","Cenntro Electric Group Limited")</f>
        <v>Cenntro Electric Group Limited</v>
      </c>
      <c r="C258" t="s">
        <v>1798</v>
      </c>
      <c r="D258">
        <v>0.21890000000000001</v>
      </c>
      <c r="E258">
        <v>0</v>
      </c>
      <c r="F258" t="s">
        <v>1798</v>
      </c>
      <c r="G258" t="s">
        <v>1798</v>
      </c>
      <c r="H258">
        <v>0</v>
      </c>
      <c r="I258">
        <v>66.643906000000001</v>
      </c>
      <c r="J258" t="s">
        <v>1798</v>
      </c>
      <c r="K258">
        <v>0</v>
      </c>
      <c r="L258">
        <v>2.1998785171124529</v>
      </c>
      <c r="M258">
        <v>1.2</v>
      </c>
      <c r="N258">
        <v>0.2</v>
      </c>
    </row>
    <row r="259" spans="1:14" x14ac:dyDescent="0.35">
      <c r="A259" s="1" t="s">
        <v>271</v>
      </c>
      <c r="B259" t="str">
        <f>HYPERLINK("https://www.suredividend.com/sure-analysis-research-database/","Central Garden &amp; Pet Co.")</f>
        <v>Central Garden &amp; Pet Co.</v>
      </c>
      <c r="C259" t="s">
        <v>1805</v>
      </c>
      <c r="D259">
        <v>43.68</v>
      </c>
      <c r="E259">
        <v>0</v>
      </c>
      <c r="F259" t="s">
        <v>1798</v>
      </c>
      <c r="G259" t="s">
        <v>1798</v>
      </c>
      <c r="H259">
        <v>0</v>
      </c>
      <c r="I259">
        <v>2105.6571749999998</v>
      </c>
      <c r="J259">
        <v>17.42833994437915</v>
      </c>
      <c r="K259">
        <v>0</v>
      </c>
      <c r="L259">
        <v>0.6667829769673701</v>
      </c>
      <c r="M259">
        <v>48.48</v>
      </c>
      <c r="N259">
        <v>35.6</v>
      </c>
    </row>
    <row r="260" spans="1:14" x14ac:dyDescent="0.35">
      <c r="A260" s="1" t="s">
        <v>272</v>
      </c>
      <c r="B260" t="str">
        <f>HYPERLINK("https://www.suredividend.com/sure-analysis-research-database/","Central Garden &amp; Pet Co.")</f>
        <v>Central Garden &amp; Pet Co.</v>
      </c>
      <c r="C260" t="s">
        <v>1805</v>
      </c>
      <c r="D260">
        <v>39.56</v>
      </c>
      <c r="E260">
        <v>0</v>
      </c>
      <c r="F260" t="s">
        <v>1798</v>
      </c>
      <c r="G260" t="s">
        <v>1798</v>
      </c>
      <c r="H260">
        <v>0</v>
      </c>
      <c r="I260">
        <v>2105.6571749999998</v>
      </c>
      <c r="J260">
        <v>17.42833994437915</v>
      </c>
      <c r="K260">
        <v>0</v>
      </c>
      <c r="L260">
        <v>0.66369951843807606</v>
      </c>
      <c r="M260">
        <v>45.93</v>
      </c>
      <c r="N260">
        <v>33.770000000000003</v>
      </c>
    </row>
    <row r="261" spans="1:14" x14ac:dyDescent="0.35">
      <c r="A261" s="1" t="s">
        <v>273</v>
      </c>
      <c r="B261" t="str">
        <f>HYPERLINK("https://www.suredividend.com/sure-analysis-research-database/","Century Aluminum Co.")</f>
        <v>Century Aluminum Co.</v>
      </c>
      <c r="C261" t="s">
        <v>1809</v>
      </c>
      <c r="D261">
        <v>6.51</v>
      </c>
      <c r="E261">
        <v>0</v>
      </c>
      <c r="F261" t="s">
        <v>1798</v>
      </c>
      <c r="G261" t="s">
        <v>1798</v>
      </c>
      <c r="H261">
        <v>0</v>
      </c>
      <c r="I261">
        <v>601.425523</v>
      </c>
      <c r="J261" t="s">
        <v>1798</v>
      </c>
      <c r="K261">
        <v>0</v>
      </c>
      <c r="L261">
        <v>2.5675220601781139</v>
      </c>
      <c r="M261">
        <v>12.97</v>
      </c>
      <c r="N261">
        <v>5.72</v>
      </c>
    </row>
    <row r="262" spans="1:14" x14ac:dyDescent="0.35">
      <c r="A262" s="1" t="s">
        <v>274</v>
      </c>
      <c r="B262" t="str">
        <f>HYPERLINK("https://www.suredividend.com/sure-analysis-research-database/","Cerevel Therapeutics Holdings Inc")</f>
        <v>Cerevel Therapeutics Holdings Inc</v>
      </c>
      <c r="C262" t="s">
        <v>1798</v>
      </c>
      <c r="D262">
        <v>22.37</v>
      </c>
      <c r="E262">
        <v>0</v>
      </c>
      <c r="F262" t="s">
        <v>1798</v>
      </c>
      <c r="G262" t="s">
        <v>1798</v>
      </c>
      <c r="H262">
        <v>0</v>
      </c>
      <c r="I262">
        <v>3522.9984169999998</v>
      </c>
      <c r="J262">
        <v>0</v>
      </c>
      <c r="K262" t="s">
        <v>1798</v>
      </c>
      <c r="L262">
        <v>1.331041178504641</v>
      </c>
      <c r="M262">
        <v>35.979999999999997</v>
      </c>
      <c r="N262">
        <v>19.59</v>
      </c>
    </row>
    <row r="263" spans="1:14" x14ac:dyDescent="0.35">
      <c r="A263" s="1" t="s">
        <v>275</v>
      </c>
      <c r="B263" t="str">
        <f>HYPERLINK("https://www.suredividend.com/sure-analysis-research-database/","Cerus Corp.")</f>
        <v>Cerus Corp.</v>
      </c>
      <c r="C263" t="s">
        <v>1803</v>
      </c>
      <c r="D263">
        <v>1.29</v>
      </c>
      <c r="E263">
        <v>0</v>
      </c>
      <c r="F263" t="s">
        <v>1798</v>
      </c>
      <c r="G263" t="s">
        <v>1798</v>
      </c>
      <c r="H263">
        <v>0</v>
      </c>
      <c r="I263">
        <v>233.23722599999999</v>
      </c>
      <c r="J263" t="s">
        <v>1798</v>
      </c>
      <c r="K263">
        <v>0</v>
      </c>
      <c r="L263">
        <v>1.7647424472318569</v>
      </c>
      <c r="M263">
        <v>4.25</v>
      </c>
      <c r="N263">
        <v>1.21</v>
      </c>
    </row>
    <row r="264" spans="1:14" x14ac:dyDescent="0.35">
      <c r="A264" s="1" t="s">
        <v>276</v>
      </c>
      <c r="B264" t="str">
        <f>HYPERLINK("https://www.suredividend.com/sure-analysis-research-database/","Ceva Inc.")</f>
        <v>Ceva Inc.</v>
      </c>
      <c r="C264" t="s">
        <v>1804</v>
      </c>
      <c r="D264">
        <v>18.8</v>
      </c>
      <c r="E264">
        <v>0</v>
      </c>
      <c r="F264" t="s">
        <v>1798</v>
      </c>
      <c r="G264" t="s">
        <v>1798</v>
      </c>
      <c r="H264">
        <v>0</v>
      </c>
      <c r="I264">
        <v>444.30073800000002</v>
      </c>
      <c r="J264" t="s">
        <v>1798</v>
      </c>
      <c r="K264">
        <v>0</v>
      </c>
      <c r="L264">
        <v>1.498982673576152</v>
      </c>
      <c r="M264">
        <v>36.29</v>
      </c>
      <c r="N264">
        <v>18.059999999999999</v>
      </c>
    </row>
    <row r="265" spans="1:14" x14ac:dyDescent="0.35">
      <c r="A265" s="1" t="s">
        <v>277</v>
      </c>
      <c r="B265" t="str">
        <f>HYPERLINK("https://www.suredividend.com/sure-analysis-research-database/","Crossfirst Bankshares Inc")</f>
        <v>Crossfirst Bankshares Inc</v>
      </c>
      <c r="C265" t="s">
        <v>1801</v>
      </c>
      <c r="D265">
        <v>9.86</v>
      </c>
      <c r="E265">
        <v>0</v>
      </c>
      <c r="F265" t="s">
        <v>1798</v>
      </c>
      <c r="G265" t="s">
        <v>1798</v>
      </c>
      <c r="H265">
        <v>0</v>
      </c>
      <c r="I265">
        <v>486.00916100000001</v>
      </c>
      <c r="J265">
        <v>0</v>
      </c>
      <c r="K265" t="s">
        <v>1798</v>
      </c>
      <c r="L265">
        <v>0.98434324823018404</v>
      </c>
      <c r="M265">
        <v>14.66</v>
      </c>
      <c r="N265">
        <v>9.2899999999999991</v>
      </c>
    </row>
    <row r="266" spans="1:14" x14ac:dyDescent="0.35">
      <c r="A266" s="1" t="s">
        <v>278</v>
      </c>
      <c r="B266" t="str">
        <f>HYPERLINK("https://www.suredividend.com/sure-analysis-research-database/","Capitol Federal Financial")</f>
        <v>Capitol Federal Financial</v>
      </c>
      <c r="C266" t="s">
        <v>1801</v>
      </c>
      <c r="D266">
        <v>4.4800000000000004</v>
      </c>
      <c r="E266">
        <v>7.3067184480458999E-2</v>
      </c>
      <c r="F266">
        <v>0</v>
      </c>
      <c r="G266">
        <v>0</v>
      </c>
      <c r="H266">
        <v>0.32734098647245902</v>
      </c>
      <c r="I266">
        <v>610.11762099999999</v>
      </c>
      <c r="J266">
        <v>10.483841176713179</v>
      </c>
      <c r="K266">
        <v>0.75476363032616789</v>
      </c>
      <c r="L266">
        <v>0.96339145389311209</v>
      </c>
      <c r="M266">
        <v>8.48</v>
      </c>
      <c r="N266">
        <v>4.47</v>
      </c>
    </row>
    <row r="267" spans="1:14" x14ac:dyDescent="0.35">
      <c r="A267" s="1" t="s">
        <v>279</v>
      </c>
      <c r="B267" t="str">
        <f>HYPERLINK("https://www.suredividend.com/sure-analysis-research-database/","Cullinan Oncology Inc")</f>
        <v>Cullinan Oncology Inc</v>
      </c>
      <c r="C267" t="s">
        <v>1798</v>
      </c>
      <c r="D267">
        <v>8.8000000000000007</v>
      </c>
      <c r="E267">
        <v>0</v>
      </c>
      <c r="F267" t="s">
        <v>1798</v>
      </c>
      <c r="G267" t="s">
        <v>1798</v>
      </c>
      <c r="H267">
        <v>0</v>
      </c>
      <c r="I267">
        <v>376.06486699999999</v>
      </c>
      <c r="J267">
        <v>0</v>
      </c>
      <c r="K267" t="s">
        <v>1798</v>
      </c>
      <c r="L267">
        <v>0.87817714475774711</v>
      </c>
      <c r="M267">
        <v>13.99</v>
      </c>
      <c r="N267">
        <v>7.78</v>
      </c>
    </row>
    <row r="268" spans="1:14" x14ac:dyDescent="0.35">
      <c r="A268" s="1" t="s">
        <v>280</v>
      </c>
      <c r="B268" t="str">
        <f>HYPERLINK("https://www.suredividend.com/sure-analysis-research-database/","City Holding Co.")</f>
        <v>City Holding Co.</v>
      </c>
      <c r="C268" t="s">
        <v>1801</v>
      </c>
      <c r="D268">
        <v>90.3</v>
      </c>
      <c r="E268">
        <v>2.8878285863063E-2</v>
      </c>
      <c r="F268">
        <v>9.9999999999999867E-2</v>
      </c>
      <c r="G268">
        <v>6.171030936108779E-2</v>
      </c>
      <c r="H268">
        <v>2.607709213434648</v>
      </c>
      <c r="I268">
        <v>1355.1009469999999</v>
      </c>
      <c r="J268">
        <v>11.88059746186218</v>
      </c>
      <c r="K268">
        <v>0.33954547049930311</v>
      </c>
      <c r="L268">
        <v>0.65196078413006509</v>
      </c>
      <c r="M268">
        <v>99.16</v>
      </c>
      <c r="N268">
        <v>80.099999999999994</v>
      </c>
    </row>
    <row r="269" spans="1:14" x14ac:dyDescent="0.35">
      <c r="A269" s="1" t="s">
        <v>281</v>
      </c>
      <c r="B269" t="str">
        <f>HYPERLINK("https://www.suredividend.com/sure-analysis-CHCT/","Community Healthcare Trust Inc")</f>
        <v>Community Healthcare Trust Inc</v>
      </c>
      <c r="C269" t="s">
        <v>1800</v>
      </c>
      <c r="D269">
        <v>28.43</v>
      </c>
      <c r="E269">
        <v>6.3313401336616254E-2</v>
      </c>
      <c r="F269">
        <v>2.2598870056497189E-2</v>
      </c>
      <c r="G269">
        <v>2.242794724178454E-2</v>
      </c>
      <c r="H269">
        <v>1.7621759872813381</v>
      </c>
      <c r="I269">
        <v>755.07450200000005</v>
      </c>
      <c r="J269">
        <v>98.406686074547125</v>
      </c>
      <c r="K269">
        <v>5.5501605898624824</v>
      </c>
      <c r="L269">
        <v>0.65324841613743201</v>
      </c>
      <c r="M269">
        <v>42.32</v>
      </c>
      <c r="N269">
        <v>27.92</v>
      </c>
    </row>
    <row r="270" spans="1:14" x14ac:dyDescent="0.35">
      <c r="A270" s="1" t="s">
        <v>282</v>
      </c>
      <c r="B270" t="str">
        <f>HYPERLINK("https://www.suredividend.com/sure-analysis-research-database/","Chefs` Warehouse Inc")</f>
        <v>Chefs` Warehouse Inc</v>
      </c>
      <c r="C270" t="s">
        <v>1805</v>
      </c>
      <c r="D270">
        <v>19.100000000000001</v>
      </c>
      <c r="E270">
        <v>0</v>
      </c>
      <c r="F270" t="s">
        <v>1798</v>
      </c>
      <c r="G270" t="s">
        <v>1798</v>
      </c>
      <c r="H270">
        <v>0</v>
      </c>
      <c r="I270">
        <v>758.27</v>
      </c>
      <c r="J270">
        <v>36.599575248576123</v>
      </c>
      <c r="K270">
        <v>0</v>
      </c>
      <c r="L270">
        <v>1.0049860445781511</v>
      </c>
      <c r="M270">
        <v>39.54</v>
      </c>
      <c r="N270">
        <v>17.559999999999999</v>
      </c>
    </row>
    <row r="271" spans="1:14" x14ac:dyDescent="0.35">
      <c r="A271" s="1" t="s">
        <v>283</v>
      </c>
      <c r="B271" t="str">
        <f>HYPERLINK("https://www.suredividend.com/sure-analysis-research-database/","Chegg Inc")</f>
        <v>Chegg Inc</v>
      </c>
      <c r="C271" t="s">
        <v>1805</v>
      </c>
      <c r="D271">
        <v>8.26</v>
      </c>
      <c r="E271">
        <v>0</v>
      </c>
      <c r="F271" t="s">
        <v>1798</v>
      </c>
      <c r="G271" t="s">
        <v>1798</v>
      </c>
      <c r="H271">
        <v>0</v>
      </c>
      <c r="I271">
        <v>952.55146000000002</v>
      </c>
      <c r="J271">
        <v>3.399322884325775</v>
      </c>
      <c r="K271">
        <v>0</v>
      </c>
      <c r="L271">
        <v>0.87936696778984902</v>
      </c>
      <c r="M271">
        <v>30.05</v>
      </c>
      <c r="N271">
        <v>8.08</v>
      </c>
    </row>
    <row r="272" spans="1:14" x14ac:dyDescent="0.35">
      <c r="A272" s="1" t="s">
        <v>284</v>
      </c>
      <c r="B272" t="str">
        <f>HYPERLINK("https://www.suredividend.com/sure-analysis-research-database/","Chord Energy Corp")</f>
        <v>Chord Energy Corp</v>
      </c>
      <c r="C272" t="s">
        <v>1798</v>
      </c>
      <c r="D272">
        <v>168.62</v>
      </c>
      <c r="E272">
        <v>2.9069234003136001E-2</v>
      </c>
      <c r="F272" t="s">
        <v>1798</v>
      </c>
      <c r="G272" t="s">
        <v>1798</v>
      </c>
      <c r="H272">
        <v>4.9016542376089571</v>
      </c>
      <c r="I272">
        <v>7002.9130420000001</v>
      </c>
      <c r="J272">
        <v>3.9526405589869649</v>
      </c>
      <c r="K272">
        <v>0.12120806720101281</v>
      </c>
      <c r="L272">
        <v>1.0805364250470051</v>
      </c>
      <c r="M272">
        <v>169.33</v>
      </c>
      <c r="N272">
        <v>113.44</v>
      </c>
    </row>
    <row r="273" spans="1:14" x14ac:dyDescent="0.35">
      <c r="A273" s="1" t="s">
        <v>285</v>
      </c>
      <c r="B273" t="str">
        <f>HYPERLINK("https://www.suredividend.com/sure-analysis-research-database/","Coherus Biosciences Inc")</f>
        <v>Coherus Biosciences Inc</v>
      </c>
      <c r="C273" t="s">
        <v>1803</v>
      </c>
      <c r="D273">
        <v>3.81</v>
      </c>
      <c r="E273">
        <v>0</v>
      </c>
      <c r="F273" t="s">
        <v>1798</v>
      </c>
      <c r="G273" t="s">
        <v>1798</v>
      </c>
      <c r="H273">
        <v>0</v>
      </c>
      <c r="I273">
        <v>359.924958</v>
      </c>
      <c r="J273" t="s">
        <v>1798</v>
      </c>
      <c r="K273">
        <v>0</v>
      </c>
      <c r="L273">
        <v>1.535856730758006</v>
      </c>
      <c r="M273">
        <v>10.99</v>
      </c>
      <c r="N273">
        <v>3.14</v>
      </c>
    </row>
    <row r="274" spans="1:14" x14ac:dyDescent="0.35">
      <c r="A274" s="1" t="s">
        <v>286</v>
      </c>
      <c r="B274" t="str">
        <f>HYPERLINK("https://www.suredividend.com/sure-analysis-research-database/","Chico`s Fas, Inc.")</f>
        <v>Chico`s Fas, Inc.</v>
      </c>
      <c r="C274" t="s">
        <v>1802</v>
      </c>
      <c r="D274">
        <v>7.47</v>
      </c>
      <c r="E274">
        <v>0</v>
      </c>
      <c r="F274" t="s">
        <v>1798</v>
      </c>
      <c r="G274" t="s">
        <v>1798</v>
      </c>
      <c r="H274">
        <v>0</v>
      </c>
      <c r="I274">
        <v>922.07941000000005</v>
      </c>
      <c r="J274">
        <v>7.0282049882238153</v>
      </c>
      <c r="K274">
        <v>0</v>
      </c>
      <c r="L274">
        <v>1.4449814422026299</v>
      </c>
      <c r="M274">
        <v>7.52</v>
      </c>
      <c r="N274">
        <v>4.33</v>
      </c>
    </row>
    <row r="275" spans="1:14" x14ac:dyDescent="0.35">
      <c r="A275" s="1" t="s">
        <v>287</v>
      </c>
      <c r="B275" t="str">
        <f>HYPERLINK("https://www.suredividend.com/sure-analysis-research-database/","Chuy`s Holdings Inc")</f>
        <v>Chuy`s Holdings Inc</v>
      </c>
      <c r="C275" t="s">
        <v>1802</v>
      </c>
      <c r="D275">
        <v>32.11</v>
      </c>
      <c r="E275">
        <v>0</v>
      </c>
      <c r="F275" t="s">
        <v>1798</v>
      </c>
      <c r="G275" t="s">
        <v>1798</v>
      </c>
      <c r="H275">
        <v>0</v>
      </c>
      <c r="I275">
        <v>579.21796900000004</v>
      </c>
      <c r="J275">
        <v>21.921806409053051</v>
      </c>
      <c r="K275">
        <v>0</v>
      </c>
      <c r="L275">
        <v>0.77580705793773608</v>
      </c>
      <c r="M275">
        <v>43.17</v>
      </c>
      <c r="N275">
        <v>24.83</v>
      </c>
    </row>
    <row r="276" spans="1:14" x14ac:dyDescent="0.35">
      <c r="A276" s="1" t="s">
        <v>288</v>
      </c>
      <c r="B276" t="str">
        <f>HYPERLINK("https://www.suredividend.com/sure-analysis-research-database/","ChampionX Corp.")</f>
        <v>ChampionX Corp.</v>
      </c>
      <c r="C276" t="s">
        <v>1798</v>
      </c>
      <c r="D276">
        <v>33.6</v>
      </c>
      <c r="E276">
        <v>9.7705938119680008E-3</v>
      </c>
      <c r="F276" t="s">
        <v>1798</v>
      </c>
      <c r="G276" t="s">
        <v>1798</v>
      </c>
      <c r="H276">
        <v>0.32829195208213802</v>
      </c>
      <c r="I276">
        <v>6605.1519410000001</v>
      </c>
      <c r="J276">
        <v>26.393791670862409</v>
      </c>
      <c r="K276">
        <v>0.26690402608303898</v>
      </c>
      <c r="L276">
        <v>0.92459348870723512</v>
      </c>
      <c r="M276">
        <v>38.270000000000003</v>
      </c>
      <c r="N276">
        <v>21.11</v>
      </c>
    </row>
    <row r="277" spans="1:14" x14ac:dyDescent="0.35">
      <c r="A277" s="1" t="s">
        <v>289</v>
      </c>
      <c r="B277" t="str">
        <f>HYPERLINK("https://www.suredividend.com/sure-analysis-research-database/","Cipher Mining Inc")</f>
        <v>Cipher Mining Inc</v>
      </c>
      <c r="C277" t="s">
        <v>1798</v>
      </c>
      <c r="D277">
        <v>2.4</v>
      </c>
      <c r="E277">
        <v>0</v>
      </c>
      <c r="F277" t="s">
        <v>1798</v>
      </c>
      <c r="G277" t="s">
        <v>1798</v>
      </c>
      <c r="H277">
        <v>0</v>
      </c>
      <c r="I277">
        <v>602.29378299999996</v>
      </c>
      <c r="J277" t="s">
        <v>1798</v>
      </c>
      <c r="K277">
        <v>0</v>
      </c>
      <c r="L277">
        <v>1.749484381602342</v>
      </c>
      <c r="M277">
        <v>5.3</v>
      </c>
      <c r="N277">
        <v>0.38179999999999997</v>
      </c>
    </row>
    <row r="278" spans="1:14" x14ac:dyDescent="0.35">
      <c r="A278" s="1" t="s">
        <v>290</v>
      </c>
      <c r="B278" t="str">
        <f>HYPERLINK("https://www.suredividend.com/sure-analysis-CIM/","Chimera Investment Corp")</f>
        <v>Chimera Investment Corp</v>
      </c>
      <c r="C278" t="s">
        <v>1800</v>
      </c>
      <c r="D278">
        <v>5.21</v>
      </c>
      <c r="E278">
        <v>0.13819577735124761</v>
      </c>
      <c r="F278">
        <v>-0.21739130434782619</v>
      </c>
      <c r="G278">
        <v>-0.1848068903940773</v>
      </c>
      <c r="H278">
        <v>0.77685645908396606</v>
      </c>
      <c r="I278">
        <v>1181.3603410000001</v>
      </c>
      <c r="J278" t="s">
        <v>1798</v>
      </c>
      <c r="K278" t="s">
        <v>1798</v>
      </c>
      <c r="L278">
        <v>1.376680330079288</v>
      </c>
      <c r="M278">
        <v>7.03</v>
      </c>
      <c r="N278">
        <v>4.2</v>
      </c>
    </row>
    <row r="279" spans="1:14" x14ac:dyDescent="0.35">
      <c r="A279" s="1" t="s">
        <v>291</v>
      </c>
      <c r="B279" t="str">
        <f>HYPERLINK("https://www.suredividend.com/sure-analysis-CIO/","City Office REIT Inc")</f>
        <v>City Office REIT Inc</v>
      </c>
      <c r="C279" t="s">
        <v>1800</v>
      </c>
      <c r="D279">
        <v>3.76</v>
      </c>
      <c r="E279">
        <v>0.1063829787234043</v>
      </c>
      <c r="F279">
        <v>-0.5</v>
      </c>
      <c r="G279">
        <v>-0.1570798659572398</v>
      </c>
      <c r="H279">
        <v>0.76095259933079507</v>
      </c>
      <c r="I279">
        <v>150.168576</v>
      </c>
      <c r="J279" t="s">
        <v>1798</v>
      </c>
      <c r="K279" t="s">
        <v>1798</v>
      </c>
      <c r="L279">
        <v>1.1591906697150269</v>
      </c>
      <c r="M279">
        <v>9.81</v>
      </c>
      <c r="N279">
        <v>3.61</v>
      </c>
    </row>
    <row r="280" spans="1:14" x14ac:dyDescent="0.35">
      <c r="A280" s="1" t="s">
        <v>292</v>
      </c>
      <c r="B280" t="str">
        <f>HYPERLINK("https://www.suredividend.com/sure-analysis-research-database/","Circor International Inc")</f>
        <v>Circor International Inc</v>
      </c>
      <c r="C280" t="s">
        <v>1799</v>
      </c>
      <c r="D280">
        <v>52.86</v>
      </c>
      <c r="E280">
        <v>0</v>
      </c>
      <c r="F280" t="s">
        <v>1798</v>
      </c>
      <c r="G280" t="s">
        <v>1798</v>
      </c>
      <c r="H280">
        <v>0</v>
      </c>
      <c r="I280">
        <v>1077.908856</v>
      </c>
      <c r="J280">
        <v>38.591846209587921</v>
      </c>
      <c r="K280">
        <v>0</v>
      </c>
      <c r="L280">
        <v>1.388900715094777</v>
      </c>
      <c r="M280">
        <v>56.48</v>
      </c>
      <c r="N280">
        <v>16.95</v>
      </c>
    </row>
    <row r="281" spans="1:14" x14ac:dyDescent="0.35">
      <c r="A281" s="1" t="s">
        <v>293</v>
      </c>
      <c r="B281" t="str">
        <f>HYPERLINK("https://www.suredividend.com/sure-analysis-research-database/","CISO Global Inc")</f>
        <v>CISO Global Inc</v>
      </c>
      <c r="C281" t="s">
        <v>1798</v>
      </c>
      <c r="D281">
        <v>0.125</v>
      </c>
      <c r="E281">
        <v>0</v>
      </c>
      <c r="F281" t="s">
        <v>1798</v>
      </c>
      <c r="G281" t="s">
        <v>1798</v>
      </c>
      <c r="H281">
        <v>0</v>
      </c>
      <c r="I281">
        <v>22.250800000000002</v>
      </c>
      <c r="J281">
        <v>0</v>
      </c>
      <c r="K281" t="s">
        <v>1798</v>
      </c>
      <c r="L281">
        <v>1.3081419380234689</v>
      </c>
      <c r="M281">
        <v>3.56</v>
      </c>
      <c r="N281">
        <v>0.121</v>
      </c>
    </row>
    <row r="282" spans="1:14" x14ac:dyDescent="0.35">
      <c r="A282" s="1" t="s">
        <v>294</v>
      </c>
      <c r="B282" t="str">
        <f>HYPERLINK("https://www.suredividend.com/sure-analysis-research-database/","Civista Bancshares Inc")</f>
        <v>Civista Bancshares Inc</v>
      </c>
      <c r="C282" t="s">
        <v>1801</v>
      </c>
      <c r="D282">
        <v>15.36</v>
      </c>
      <c r="E282">
        <v>3.7519483030117998E-2</v>
      </c>
      <c r="F282">
        <v>0.14285714285714279</v>
      </c>
      <c r="G282">
        <v>0.12195514544619961</v>
      </c>
      <c r="H282">
        <v>0.57629925934262305</v>
      </c>
      <c r="I282">
        <v>241.90252000000001</v>
      </c>
      <c r="J282">
        <v>5.3926283008604923</v>
      </c>
      <c r="K282">
        <v>0.19736276004884351</v>
      </c>
      <c r="L282">
        <v>0.75756123988945601</v>
      </c>
      <c r="M282">
        <v>23.24</v>
      </c>
      <c r="N282">
        <v>13.51</v>
      </c>
    </row>
    <row r="283" spans="1:14" x14ac:dyDescent="0.35">
      <c r="A283" s="1" t="s">
        <v>295</v>
      </c>
      <c r="B283" t="str">
        <f>HYPERLINK("https://www.suredividend.com/sure-analysis-research-database/","Civitas Resources Inc")</f>
        <v>Civitas Resources Inc</v>
      </c>
      <c r="C283" t="s">
        <v>1798</v>
      </c>
      <c r="D283">
        <v>75.849999999999994</v>
      </c>
      <c r="E283">
        <v>6.312270914385601E-2</v>
      </c>
      <c r="F283" t="s">
        <v>1798</v>
      </c>
      <c r="G283" t="s">
        <v>1798</v>
      </c>
      <c r="H283">
        <v>4.7878574885615439</v>
      </c>
      <c r="I283">
        <v>7111.7465160000002</v>
      </c>
      <c r="J283">
        <v>6.908847483213</v>
      </c>
      <c r="K283">
        <v>0.38957343275521111</v>
      </c>
      <c r="L283">
        <v>1.1644065921326521</v>
      </c>
      <c r="M283">
        <v>85.3</v>
      </c>
      <c r="N283">
        <v>51.17</v>
      </c>
    </row>
    <row r="284" spans="1:14" x14ac:dyDescent="0.35">
      <c r="A284" s="1" t="s">
        <v>296</v>
      </c>
      <c r="B284" t="str">
        <f>HYPERLINK("https://www.suredividend.com/sure-analysis-research-database/","Compx International, Inc.")</f>
        <v>Compx International, Inc.</v>
      </c>
      <c r="C284" t="s">
        <v>1799</v>
      </c>
      <c r="D284">
        <v>18.579999999999998</v>
      </c>
      <c r="E284">
        <v>5.2084233307854007E-2</v>
      </c>
      <c r="F284">
        <v>0</v>
      </c>
      <c r="G284">
        <v>0.2899366842116895</v>
      </c>
      <c r="H284">
        <v>0.9677250548599321</v>
      </c>
      <c r="I284">
        <v>228.78960499999999</v>
      </c>
      <c r="J284">
        <v>11.52534406629389</v>
      </c>
      <c r="K284">
        <v>0.6010714626459206</v>
      </c>
      <c r="L284">
        <v>0.36375365467616111</v>
      </c>
      <c r="M284">
        <v>27.23</v>
      </c>
      <c r="N284">
        <v>15.47</v>
      </c>
    </row>
    <row r="285" spans="1:14" x14ac:dyDescent="0.35">
      <c r="A285" s="1" t="s">
        <v>297</v>
      </c>
      <c r="B285" t="str">
        <f>HYPERLINK("https://www.suredividend.com/sure-analysis-research-database/","Clarus Corp")</f>
        <v>Clarus Corp</v>
      </c>
      <c r="C285" t="s">
        <v>1802</v>
      </c>
      <c r="D285">
        <v>5.86</v>
      </c>
      <c r="E285">
        <v>1.6918801464642998E-2</v>
      </c>
      <c r="F285">
        <v>0</v>
      </c>
      <c r="G285">
        <v>0</v>
      </c>
      <c r="H285">
        <v>9.914417658280901E-2</v>
      </c>
      <c r="I285">
        <v>219.576954</v>
      </c>
      <c r="J285" t="s">
        <v>1798</v>
      </c>
      <c r="K285" t="s">
        <v>1798</v>
      </c>
      <c r="L285">
        <v>1.2467041997823829</v>
      </c>
      <c r="M285">
        <v>12.73</v>
      </c>
      <c r="N285">
        <v>5.43</v>
      </c>
    </row>
    <row r="286" spans="1:14" x14ac:dyDescent="0.35">
      <c r="A286" s="1" t="s">
        <v>298</v>
      </c>
      <c r="B286" t="str">
        <f>HYPERLINK("https://www.suredividend.com/sure-analysis-research-database/","Columbia Financial, Inc")</f>
        <v>Columbia Financial, Inc</v>
      </c>
      <c r="C286" t="s">
        <v>1801</v>
      </c>
      <c r="D286">
        <v>15.59</v>
      </c>
      <c r="E286">
        <v>0</v>
      </c>
      <c r="F286" t="s">
        <v>1798</v>
      </c>
      <c r="G286" t="s">
        <v>1798</v>
      </c>
      <c r="H286">
        <v>0</v>
      </c>
      <c r="I286">
        <v>1185.0976089999999</v>
      </c>
      <c r="J286">
        <v>18.75243459594601</v>
      </c>
      <c r="K286">
        <v>0</v>
      </c>
      <c r="L286">
        <v>0.77190396817126805</v>
      </c>
      <c r="M286">
        <v>22.37</v>
      </c>
      <c r="N286">
        <v>14.11</v>
      </c>
    </row>
    <row r="287" spans="1:14" x14ac:dyDescent="0.35">
      <c r="A287" s="1" t="s">
        <v>299</v>
      </c>
      <c r="B287" t="str">
        <f>HYPERLINK("https://www.suredividend.com/sure-analysis-research-database/","Chatham Lodging Trust")</f>
        <v>Chatham Lodging Trust</v>
      </c>
      <c r="C287" t="s">
        <v>1800</v>
      </c>
      <c r="D287">
        <v>9.69</v>
      </c>
      <c r="E287">
        <v>2.1463415617809001E-2</v>
      </c>
      <c r="F287">
        <v>-0.36363636363636348</v>
      </c>
      <c r="G287">
        <v>-8.6431596006514066E-2</v>
      </c>
      <c r="H287">
        <v>0.207980497336575</v>
      </c>
      <c r="I287">
        <v>473.42895199999998</v>
      </c>
      <c r="J287">
        <v>74.065856090425527</v>
      </c>
      <c r="K287">
        <v>1.5961665183160021</v>
      </c>
      <c r="L287">
        <v>1.023407624864263</v>
      </c>
      <c r="M287">
        <v>14.07</v>
      </c>
      <c r="N287">
        <v>8.89</v>
      </c>
    </row>
    <row r="288" spans="1:14" x14ac:dyDescent="0.35">
      <c r="A288" s="1" t="s">
        <v>300</v>
      </c>
      <c r="B288" t="str">
        <f>HYPERLINK("https://www.suredividend.com/sure-analysis-research-database/","Celldex Therapeutics Inc.")</f>
        <v>Celldex Therapeutics Inc.</v>
      </c>
      <c r="C288" t="s">
        <v>1803</v>
      </c>
      <c r="D288">
        <v>26.14</v>
      </c>
      <c r="E288">
        <v>0</v>
      </c>
      <c r="F288" t="s">
        <v>1798</v>
      </c>
      <c r="G288" t="s">
        <v>1798</v>
      </c>
      <c r="H288">
        <v>0</v>
      </c>
      <c r="I288">
        <v>1235.3974169999999</v>
      </c>
      <c r="J288" t="s">
        <v>1798</v>
      </c>
      <c r="K288">
        <v>0</v>
      </c>
      <c r="L288">
        <v>1.215869573056338</v>
      </c>
      <c r="M288">
        <v>48.4</v>
      </c>
      <c r="N288">
        <v>24.89</v>
      </c>
    </row>
    <row r="289" spans="1:14" x14ac:dyDescent="0.35">
      <c r="A289" s="1" t="s">
        <v>301</v>
      </c>
      <c r="B289" t="str">
        <f>HYPERLINK("https://www.suredividend.com/sure-analysis-research-database/","Clearfield Inc")</f>
        <v>Clearfield Inc</v>
      </c>
      <c r="C289" t="s">
        <v>1804</v>
      </c>
      <c r="D289">
        <v>24.56</v>
      </c>
      <c r="E289">
        <v>0</v>
      </c>
      <c r="F289" t="s">
        <v>1798</v>
      </c>
      <c r="G289" t="s">
        <v>1798</v>
      </c>
      <c r="H289">
        <v>0</v>
      </c>
      <c r="I289">
        <v>374.83002900000002</v>
      </c>
      <c r="J289">
        <v>8.0042287693523235</v>
      </c>
      <c r="K289">
        <v>0</v>
      </c>
      <c r="L289">
        <v>1.195830907287645</v>
      </c>
      <c r="M289">
        <v>134.9</v>
      </c>
      <c r="N289">
        <v>24.33</v>
      </c>
    </row>
    <row r="290" spans="1:14" x14ac:dyDescent="0.35">
      <c r="A290" s="1" t="s">
        <v>302</v>
      </c>
      <c r="B290" t="str">
        <f>HYPERLINK("https://www.suredividend.com/sure-analysis-research-database/","Clean Energy Fuels Corp")</f>
        <v>Clean Energy Fuels Corp</v>
      </c>
      <c r="C290" t="s">
        <v>1808</v>
      </c>
      <c r="D290">
        <v>3.85</v>
      </c>
      <c r="E290">
        <v>0</v>
      </c>
      <c r="F290" t="s">
        <v>1798</v>
      </c>
      <c r="G290" t="s">
        <v>1798</v>
      </c>
      <c r="H290">
        <v>0</v>
      </c>
      <c r="I290">
        <v>858.42225299999996</v>
      </c>
      <c r="J290" t="s">
        <v>1798</v>
      </c>
      <c r="K290">
        <v>0</v>
      </c>
      <c r="L290">
        <v>1.506321515628642</v>
      </c>
      <c r="M290">
        <v>7.73</v>
      </c>
      <c r="N290">
        <v>3.46</v>
      </c>
    </row>
    <row r="291" spans="1:14" x14ac:dyDescent="0.35">
      <c r="A291" s="1" t="s">
        <v>303</v>
      </c>
      <c r="B291" t="str">
        <f>HYPERLINK("https://www.suredividend.com/sure-analysis-research-database/","Clover Health Investments Corp")</f>
        <v>Clover Health Investments Corp</v>
      </c>
      <c r="C291" t="s">
        <v>1798</v>
      </c>
      <c r="D291">
        <v>1.03</v>
      </c>
      <c r="E291">
        <v>0</v>
      </c>
      <c r="F291" t="s">
        <v>1798</v>
      </c>
      <c r="G291" t="s">
        <v>1798</v>
      </c>
      <c r="H291">
        <v>0</v>
      </c>
      <c r="I291">
        <v>408.90373799999998</v>
      </c>
      <c r="J291">
        <v>0</v>
      </c>
      <c r="K291" t="s">
        <v>1798</v>
      </c>
      <c r="L291">
        <v>1.991371976453066</v>
      </c>
      <c r="M291">
        <v>1.69</v>
      </c>
      <c r="N291">
        <v>0.70779999999999998</v>
      </c>
    </row>
    <row r="292" spans="1:14" x14ac:dyDescent="0.35">
      <c r="A292" s="1" t="s">
        <v>304</v>
      </c>
      <c r="B292" t="str">
        <f>HYPERLINK("https://www.suredividend.com/sure-analysis-CLPR/","Clipper Realty Inc")</f>
        <v>Clipper Realty Inc</v>
      </c>
      <c r="C292" t="s">
        <v>1800</v>
      </c>
      <c r="D292">
        <v>4.96</v>
      </c>
      <c r="E292">
        <v>7.6612903225806453E-2</v>
      </c>
      <c r="F292">
        <v>0</v>
      </c>
      <c r="G292">
        <v>0</v>
      </c>
      <c r="H292">
        <v>0.37076417685537211</v>
      </c>
      <c r="I292">
        <v>79.673610999999994</v>
      </c>
      <c r="J292">
        <v>0</v>
      </c>
      <c r="K292" t="s">
        <v>1798</v>
      </c>
      <c r="L292">
        <v>0.73056195623085407</v>
      </c>
      <c r="M292">
        <v>7.39</v>
      </c>
      <c r="N292">
        <v>4.78</v>
      </c>
    </row>
    <row r="293" spans="1:14" x14ac:dyDescent="0.35">
      <c r="A293" s="1" t="s">
        <v>305</v>
      </c>
      <c r="B293" t="str">
        <f>HYPERLINK("https://www.suredividend.com/sure-analysis-research-database/","Cleanspark Inc")</f>
        <v>Cleanspark Inc</v>
      </c>
      <c r="C293" t="s">
        <v>1804</v>
      </c>
      <c r="D293">
        <v>3.52</v>
      </c>
      <c r="E293">
        <v>0</v>
      </c>
      <c r="F293" t="s">
        <v>1798</v>
      </c>
      <c r="G293" t="s">
        <v>1798</v>
      </c>
      <c r="H293">
        <v>0</v>
      </c>
      <c r="I293">
        <v>537.30451500000004</v>
      </c>
      <c r="J293">
        <v>0</v>
      </c>
      <c r="K293" t="s">
        <v>1798</v>
      </c>
      <c r="L293">
        <v>2.8998991010638191</v>
      </c>
      <c r="M293">
        <v>7.6</v>
      </c>
      <c r="N293">
        <v>1.74</v>
      </c>
    </row>
    <row r="294" spans="1:14" x14ac:dyDescent="0.35">
      <c r="A294" s="1" t="s">
        <v>306</v>
      </c>
      <c r="B294" t="str">
        <f>HYPERLINK("https://www.suredividend.com/sure-analysis-research-database/","Clearwater Paper Corp")</f>
        <v>Clearwater Paper Corp</v>
      </c>
      <c r="C294" t="s">
        <v>1809</v>
      </c>
      <c r="D294">
        <v>36.450000000000003</v>
      </c>
      <c r="E294">
        <v>0</v>
      </c>
      <c r="F294" t="s">
        <v>1798</v>
      </c>
      <c r="G294" t="s">
        <v>1798</v>
      </c>
      <c r="H294">
        <v>0</v>
      </c>
      <c r="I294">
        <v>609.17361400000004</v>
      </c>
      <c r="J294">
        <v>8.9321644266862172</v>
      </c>
      <c r="K294">
        <v>0</v>
      </c>
      <c r="L294">
        <v>0.65234225810970103</v>
      </c>
      <c r="M294">
        <v>45</v>
      </c>
      <c r="N294">
        <v>29.22</v>
      </c>
    </row>
    <row r="295" spans="1:14" x14ac:dyDescent="0.35">
      <c r="A295" s="1" t="s">
        <v>307</v>
      </c>
      <c r="B295" t="str">
        <f>HYPERLINK("https://www.suredividend.com/sure-analysis-research-database/","CareMax Inc")</f>
        <v>CareMax Inc</v>
      </c>
      <c r="C295" t="s">
        <v>1798</v>
      </c>
      <c r="D295">
        <v>2.66</v>
      </c>
      <c r="E295">
        <v>0</v>
      </c>
      <c r="F295" t="s">
        <v>1798</v>
      </c>
      <c r="G295" t="s">
        <v>1798</v>
      </c>
      <c r="H295">
        <v>0</v>
      </c>
      <c r="I295">
        <v>298.12703599999998</v>
      </c>
      <c r="J295" t="s">
        <v>1798</v>
      </c>
      <c r="K295">
        <v>0</v>
      </c>
      <c r="L295">
        <v>1.601997318557062</v>
      </c>
      <c r="M295">
        <v>7.37</v>
      </c>
      <c r="N295">
        <v>1.83</v>
      </c>
    </row>
    <row r="296" spans="1:14" x14ac:dyDescent="0.35">
      <c r="A296" s="1" t="s">
        <v>308</v>
      </c>
      <c r="B296" t="str">
        <f>HYPERLINK("https://www.suredividend.com/sure-analysis-research-database/","Cambium Networks Corp")</f>
        <v>Cambium Networks Corp</v>
      </c>
      <c r="C296" t="s">
        <v>1804</v>
      </c>
      <c r="D296">
        <v>5.0599999999999996</v>
      </c>
      <c r="E296">
        <v>0</v>
      </c>
      <c r="F296" t="s">
        <v>1798</v>
      </c>
      <c r="G296" t="s">
        <v>1798</v>
      </c>
      <c r="H296">
        <v>0</v>
      </c>
      <c r="I296">
        <v>139.68385499999999</v>
      </c>
      <c r="J296">
        <v>6.6263688472485764</v>
      </c>
      <c r="K296">
        <v>0</v>
      </c>
      <c r="L296">
        <v>1.4141502307499181</v>
      </c>
      <c r="M296">
        <v>24.19</v>
      </c>
      <c r="N296">
        <v>4.42</v>
      </c>
    </row>
    <row r="297" spans="1:14" x14ac:dyDescent="0.35">
      <c r="A297" s="1" t="s">
        <v>309</v>
      </c>
      <c r="B297" t="str">
        <f>HYPERLINK("https://www.suredividend.com/sure-analysis-research-database/","Commercial Metals Co.")</f>
        <v>Commercial Metals Co.</v>
      </c>
      <c r="C297" t="s">
        <v>1809</v>
      </c>
      <c r="D297">
        <v>43.16</v>
      </c>
      <c r="E297">
        <v>1.4759378833397001E-2</v>
      </c>
      <c r="F297">
        <v>0.14285714285714279</v>
      </c>
      <c r="G297">
        <v>5.9223841048812183E-2</v>
      </c>
      <c r="H297">
        <v>0.6370147904494291</v>
      </c>
      <c r="I297">
        <v>5045.6270510000004</v>
      </c>
      <c r="J297">
        <v>5.8686459603610306</v>
      </c>
      <c r="K297">
        <v>8.7864109027507464E-2</v>
      </c>
      <c r="L297">
        <v>1.206196580474032</v>
      </c>
      <c r="M297">
        <v>58.06</v>
      </c>
      <c r="N297">
        <v>41.39</v>
      </c>
    </row>
    <row r="298" spans="1:14" x14ac:dyDescent="0.35">
      <c r="A298" s="1" t="s">
        <v>310</v>
      </c>
      <c r="B298" t="str">
        <f>HYPERLINK("https://www.suredividend.com/sure-analysis-research-database/","Columbus Mckinnon Corp.")</f>
        <v>Columbus Mckinnon Corp.</v>
      </c>
      <c r="C298" t="s">
        <v>1799</v>
      </c>
      <c r="D298">
        <v>33.96</v>
      </c>
      <c r="E298">
        <v>8.2103958917460005E-3</v>
      </c>
      <c r="F298">
        <v>0</v>
      </c>
      <c r="G298">
        <v>6.9610375725068785E-2</v>
      </c>
      <c r="H298">
        <v>0.27882504448371498</v>
      </c>
      <c r="I298">
        <v>975.48351100000002</v>
      </c>
      <c r="J298">
        <v>19.781467576501129</v>
      </c>
      <c r="K298">
        <v>0.16305558156942401</v>
      </c>
      <c r="L298">
        <v>1.320785263475194</v>
      </c>
      <c r="M298">
        <v>42.71</v>
      </c>
      <c r="N298">
        <v>24.7</v>
      </c>
    </row>
    <row r="299" spans="1:14" x14ac:dyDescent="0.35">
      <c r="A299" s="1" t="s">
        <v>311</v>
      </c>
      <c r="B299" t="str">
        <f>HYPERLINK("https://www.suredividend.com/sure-analysis-research-database/","Cumulus Media Inc.")</f>
        <v>Cumulus Media Inc.</v>
      </c>
      <c r="C299" t="s">
        <v>1807</v>
      </c>
      <c r="D299">
        <v>5.23</v>
      </c>
      <c r="E299">
        <v>0</v>
      </c>
      <c r="F299" t="s">
        <v>1798</v>
      </c>
      <c r="G299" t="s">
        <v>1798</v>
      </c>
      <c r="H299">
        <v>0</v>
      </c>
      <c r="I299">
        <v>84.487088</v>
      </c>
      <c r="J299">
        <v>0</v>
      </c>
      <c r="K299" t="s">
        <v>1798</v>
      </c>
      <c r="L299">
        <v>1.0010292943696391</v>
      </c>
      <c r="M299">
        <v>7.93</v>
      </c>
      <c r="N299">
        <v>2.57</v>
      </c>
    </row>
    <row r="300" spans="1:14" x14ac:dyDescent="0.35">
      <c r="A300" s="1" t="s">
        <v>312</v>
      </c>
      <c r="B300" t="str">
        <f>HYPERLINK("https://www.suredividend.com/sure-analysis-CMP/","Compass Minerals International Inc")</f>
        <v>Compass Minerals International Inc</v>
      </c>
      <c r="C300" t="s">
        <v>1809</v>
      </c>
      <c r="D300">
        <v>27.27</v>
      </c>
      <c r="E300">
        <v>2.2002200220022E-2</v>
      </c>
      <c r="F300">
        <v>0</v>
      </c>
      <c r="G300">
        <v>-0.26927872418903731</v>
      </c>
      <c r="H300">
        <v>0.595810642621597</v>
      </c>
      <c r="I300">
        <v>1122.2865959999999</v>
      </c>
      <c r="J300">
        <v>108.9598637359223</v>
      </c>
      <c r="K300">
        <v>2.257713689358078</v>
      </c>
      <c r="L300">
        <v>1.542124872530988</v>
      </c>
      <c r="M300">
        <v>47.04</v>
      </c>
      <c r="N300">
        <v>25.85</v>
      </c>
    </row>
    <row r="301" spans="1:14" x14ac:dyDescent="0.35">
      <c r="A301" s="1" t="s">
        <v>313</v>
      </c>
      <c r="B301" t="str">
        <f>HYPERLINK("https://www.suredividend.com/sure-analysis-research-database/","CompoSecure Inc")</f>
        <v>CompoSecure Inc</v>
      </c>
      <c r="C301" t="s">
        <v>1798</v>
      </c>
      <c r="D301">
        <v>6.25</v>
      </c>
      <c r="E301">
        <v>0</v>
      </c>
      <c r="F301" t="s">
        <v>1798</v>
      </c>
      <c r="G301" t="s">
        <v>1798</v>
      </c>
      <c r="H301">
        <v>0</v>
      </c>
      <c r="I301">
        <v>119.03341899999999</v>
      </c>
      <c r="J301">
        <v>8.8120683113710392</v>
      </c>
      <c r="K301">
        <v>0</v>
      </c>
      <c r="L301">
        <v>0.44456411211745311</v>
      </c>
      <c r="M301">
        <v>7.9</v>
      </c>
      <c r="N301">
        <v>4.26</v>
      </c>
    </row>
    <row r="302" spans="1:14" x14ac:dyDescent="0.35">
      <c r="A302" s="1" t="s">
        <v>314</v>
      </c>
      <c r="B302" t="str">
        <f>HYPERLINK("https://www.suredividend.com/sure-analysis-research-database/","Cimpress plc")</f>
        <v>Cimpress plc</v>
      </c>
      <c r="C302" t="s">
        <v>1807</v>
      </c>
      <c r="D302">
        <v>65.099999999999994</v>
      </c>
      <c r="E302">
        <v>0</v>
      </c>
      <c r="F302" t="s">
        <v>1798</v>
      </c>
      <c r="G302" t="s">
        <v>1798</v>
      </c>
      <c r="H302">
        <v>0</v>
      </c>
      <c r="I302">
        <v>1716.1905469999999</v>
      </c>
      <c r="J302" t="s">
        <v>1798</v>
      </c>
      <c r="K302">
        <v>0</v>
      </c>
      <c r="L302">
        <v>1.8735873148493041</v>
      </c>
      <c r="M302">
        <v>73.72</v>
      </c>
      <c r="N302">
        <v>18</v>
      </c>
    </row>
    <row r="303" spans="1:14" x14ac:dyDescent="0.35">
      <c r="A303" s="1" t="s">
        <v>315</v>
      </c>
      <c r="B303" t="str">
        <f>HYPERLINK("https://www.suredividend.com/sure-analysis-research-database/","Costamare Inc")</f>
        <v>Costamare Inc</v>
      </c>
      <c r="C303" t="s">
        <v>1799</v>
      </c>
      <c r="D303">
        <v>9.61</v>
      </c>
      <c r="E303">
        <v>4.7048052663777012E-2</v>
      </c>
      <c r="F303">
        <v>0</v>
      </c>
      <c r="G303">
        <v>2.834672210021361E-2</v>
      </c>
      <c r="H303">
        <v>0.45213178609889998</v>
      </c>
      <c r="I303">
        <v>1130.543224</v>
      </c>
      <c r="J303">
        <v>2.2650820522401518</v>
      </c>
      <c r="K303">
        <v>0.1105456689728362</v>
      </c>
      <c r="L303">
        <v>1.0061427526376741</v>
      </c>
      <c r="M303">
        <v>11.85</v>
      </c>
      <c r="N303">
        <v>7.62</v>
      </c>
    </row>
    <row r="304" spans="1:14" x14ac:dyDescent="0.35">
      <c r="A304" s="1" t="s">
        <v>316</v>
      </c>
      <c r="B304" t="str">
        <f>HYPERLINK("https://www.suredividend.com/sure-analysis-research-database/","Chimerix Inc")</f>
        <v>Chimerix Inc</v>
      </c>
      <c r="C304" t="s">
        <v>1803</v>
      </c>
      <c r="D304">
        <v>0.98440000000000005</v>
      </c>
      <c r="E304">
        <v>0</v>
      </c>
      <c r="F304" t="s">
        <v>1798</v>
      </c>
      <c r="G304" t="s">
        <v>1798</v>
      </c>
      <c r="H304">
        <v>0</v>
      </c>
      <c r="I304">
        <v>87.201662999999996</v>
      </c>
      <c r="J304">
        <v>0.48323485960300111</v>
      </c>
      <c r="K304">
        <v>0</v>
      </c>
      <c r="L304">
        <v>1.3871339612469931</v>
      </c>
      <c r="M304">
        <v>2.4</v>
      </c>
      <c r="N304">
        <v>0.92</v>
      </c>
    </row>
    <row r="305" spans="1:14" x14ac:dyDescent="0.35">
      <c r="A305" s="1" t="s">
        <v>317</v>
      </c>
      <c r="B305" t="str">
        <f>HYPERLINK("https://www.suredividend.com/sure-analysis-research-database/","Claros Mortgage Trust Inc")</f>
        <v>Claros Mortgage Trust Inc</v>
      </c>
      <c r="C305" t="s">
        <v>1798</v>
      </c>
      <c r="D305">
        <v>11.19</v>
      </c>
      <c r="E305">
        <v>0.14659859615556201</v>
      </c>
      <c r="F305" t="s">
        <v>1798</v>
      </c>
      <c r="G305" t="s">
        <v>1798</v>
      </c>
      <c r="H305">
        <v>1.6404382909807389</v>
      </c>
      <c r="I305">
        <v>1548.538266</v>
      </c>
      <c r="J305">
        <v>25.65971707501367</v>
      </c>
      <c r="K305">
        <v>3.769389455378537</v>
      </c>
      <c r="L305">
        <v>1.2987168979612549</v>
      </c>
      <c r="M305">
        <v>16.23</v>
      </c>
      <c r="N305">
        <v>9.5399999999999991</v>
      </c>
    </row>
    <row r="306" spans="1:14" x14ac:dyDescent="0.35">
      <c r="A306" s="1" t="s">
        <v>318</v>
      </c>
      <c r="B306" t="str">
        <f>HYPERLINK("https://www.suredividend.com/sure-analysis-research-database/","Comtech Telecommunications Corp.")</f>
        <v>Comtech Telecommunications Corp.</v>
      </c>
      <c r="C306" t="s">
        <v>1804</v>
      </c>
      <c r="D306">
        <v>10.37</v>
      </c>
      <c r="E306">
        <v>1.9286403373213998E-2</v>
      </c>
      <c r="F306" t="s">
        <v>1798</v>
      </c>
      <c r="G306" t="s">
        <v>1798</v>
      </c>
      <c r="H306">
        <v>0.20000000298023199</v>
      </c>
      <c r="I306">
        <v>291.68215400000003</v>
      </c>
      <c r="J306" t="s">
        <v>1798</v>
      </c>
      <c r="K306" t="s">
        <v>1798</v>
      </c>
      <c r="L306">
        <v>1.177243037679808</v>
      </c>
      <c r="M306">
        <v>16.87</v>
      </c>
      <c r="N306">
        <v>7.91</v>
      </c>
    </row>
    <row r="307" spans="1:14" x14ac:dyDescent="0.35">
      <c r="A307" s="1" t="s">
        <v>319</v>
      </c>
      <c r="B307" t="str">
        <f>HYPERLINK("https://www.suredividend.com/sure-analysis-research-database/","Conduent Inc")</f>
        <v>Conduent Inc</v>
      </c>
      <c r="C307" t="s">
        <v>1804</v>
      </c>
      <c r="D307">
        <v>3.29</v>
      </c>
      <c r="E307">
        <v>0</v>
      </c>
      <c r="F307" t="s">
        <v>1798</v>
      </c>
      <c r="G307" t="s">
        <v>1798</v>
      </c>
      <c r="H307">
        <v>0</v>
      </c>
      <c r="I307">
        <v>716.37684899999999</v>
      </c>
      <c r="J307" t="s">
        <v>1798</v>
      </c>
      <c r="K307">
        <v>0</v>
      </c>
      <c r="L307">
        <v>1.1845556933506489</v>
      </c>
      <c r="M307">
        <v>4.95</v>
      </c>
      <c r="N307">
        <v>2.7</v>
      </c>
    </row>
    <row r="308" spans="1:14" x14ac:dyDescent="0.35">
      <c r="A308" s="1" t="s">
        <v>320</v>
      </c>
      <c r="B308" t="str">
        <f>HYPERLINK("https://www.suredividend.com/sure-analysis-research-database/","Cinemark Holdings Inc")</f>
        <v>Cinemark Holdings Inc</v>
      </c>
      <c r="C308" t="s">
        <v>1807</v>
      </c>
      <c r="D308">
        <v>17</v>
      </c>
      <c r="E308">
        <v>0</v>
      </c>
      <c r="F308" t="s">
        <v>1798</v>
      </c>
      <c r="G308" t="s">
        <v>1798</v>
      </c>
      <c r="H308">
        <v>0</v>
      </c>
      <c r="I308">
        <v>2067.7710299999999</v>
      </c>
      <c r="J308" t="s">
        <v>1798</v>
      </c>
      <c r="K308">
        <v>0</v>
      </c>
      <c r="L308">
        <v>1.0885778209174339</v>
      </c>
      <c r="M308">
        <v>19.850000000000001</v>
      </c>
      <c r="N308">
        <v>8.2799999999999994</v>
      </c>
    </row>
    <row r="309" spans="1:14" x14ac:dyDescent="0.35">
      <c r="A309" s="1" t="s">
        <v>321</v>
      </c>
      <c r="B309" t="str">
        <f>HYPERLINK("https://www.suredividend.com/sure-analysis-research-database/","Conmed Corp.")</f>
        <v>Conmed Corp.</v>
      </c>
      <c r="C309" t="s">
        <v>1803</v>
      </c>
      <c r="D309">
        <v>93.38</v>
      </c>
      <c r="E309">
        <v>8.5440110177130001E-3</v>
      </c>
      <c r="F309">
        <v>0</v>
      </c>
      <c r="G309">
        <v>0</v>
      </c>
      <c r="H309">
        <v>0.79783974883407305</v>
      </c>
      <c r="I309">
        <v>2870.4779480000002</v>
      </c>
      <c r="J309">
        <v>32.513767326046327</v>
      </c>
      <c r="K309">
        <v>0.26683603639935549</v>
      </c>
      <c r="L309">
        <v>1.534793469676248</v>
      </c>
      <c r="M309">
        <v>138.21</v>
      </c>
      <c r="N309">
        <v>70.540000000000006</v>
      </c>
    </row>
    <row r="310" spans="1:14" x14ac:dyDescent="0.35">
      <c r="A310" s="1" t="s">
        <v>322</v>
      </c>
      <c r="B310" t="str">
        <f>HYPERLINK("https://www.suredividend.com/sure-analysis-research-database/","Cannae Holdings Inc")</f>
        <v>Cannae Holdings Inc</v>
      </c>
      <c r="C310" t="s">
        <v>1802</v>
      </c>
      <c r="D310">
        <v>18.239999999999998</v>
      </c>
      <c r="E310">
        <v>0</v>
      </c>
      <c r="F310" t="s">
        <v>1798</v>
      </c>
      <c r="G310" t="s">
        <v>1798</v>
      </c>
      <c r="H310">
        <v>0</v>
      </c>
      <c r="I310">
        <v>1338.303784</v>
      </c>
      <c r="J310" t="s">
        <v>1798</v>
      </c>
      <c r="K310">
        <v>0</v>
      </c>
      <c r="L310">
        <v>1.4615984306360761</v>
      </c>
      <c r="M310">
        <v>25.74</v>
      </c>
      <c r="N310">
        <v>17.350000000000001</v>
      </c>
    </row>
    <row r="311" spans="1:14" x14ac:dyDescent="0.35">
      <c r="A311" s="1" t="s">
        <v>323</v>
      </c>
      <c r="B311" t="str">
        <f>HYPERLINK("https://www.suredividend.com/sure-analysis-research-database/","CNO Financial Group Inc")</f>
        <v>CNO Financial Group Inc</v>
      </c>
      <c r="C311" t="s">
        <v>1801</v>
      </c>
      <c r="D311">
        <v>23.67</v>
      </c>
      <c r="E311">
        <v>2.4280334357174999E-2</v>
      </c>
      <c r="F311">
        <v>7.1428571428571397E-2</v>
      </c>
      <c r="G311">
        <v>8.4471771197698553E-2</v>
      </c>
      <c r="H311">
        <v>0.57471551423435407</v>
      </c>
      <c r="I311">
        <v>2674.632173</v>
      </c>
      <c r="J311">
        <v>12.08600168567556</v>
      </c>
      <c r="K311">
        <v>0.30089817499180838</v>
      </c>
      <c r="L311">
        <v>1.1371643025050411</v>
      </c>
      <c r="M311">
        <v>25.87</v>
      </c>
      <c r="N311">
        <v>18.850000000000001</v>
      </c>
    </row>
    <row r="312" spans="1:14" x14ac:dyDescent="0.35">
      <c r="A312" s="1" t="s">
        <v>324</v>
      </c>
      <c r="B312" t="str">
        <f>HYPERLINK("https://www.suredividend.com/sure-analysis-research-database/","ConnectOne Bancorp Inc.")</f>
        <v>ConnectOne Bancorp Inc.</v>
      </c>
      <c r="C312" t="s">
        <v>1801</v>
      </c>
      <c r="D312">
        <v>17.3</v>
      </c>
      <c r="E312">
        <v>3.6800453220528002E-2</v>
      </c>
      <c r="F312">
        <v>9.6774193548387233E-2</v>
      </c>
      <c r="G312">
        <v>0.1778162221565904</v>
      </c>
      <c r="H312">
        <v>0.63664784071513802</v>
      </c>
      <c r="I312">
        <v>673.62935500000003</v>
      </c>
      <c r="J312">
        <v>6.635173504787045</v>
      </c>
      <c r="K312">
        <v>0.24580997711009189</v>
      </c>
      <c r="L312">
        <v>1.160165221524887</v>
      </c>
      <c r="M312">
        <v>25.64</v>
      </c>
      <c r="N312">
        <v>12.74</v>
      </c>
    </row>
    <row r="313" spans="1:14" x14ac:dyDescent="0.35">
      <c r="A313" s="1" t="s">
        <v>325</v>
      </c>
      <c r="B313" t="str">
        <f>HYPERLINK("https://www.suredividend.com/sure-analysis-CNS/","Cohen &amp; Steers Inc.")</f>
        <v>Cohen &amp; Steers Inc.</v>
      </c>
      <c r="C313" t="s">
        <v>1801</v>
      </c>
      <c r="D313">
        <v>56.03</v>
      </c>
      <c r="E313">
        <v>4.0692486168124223E-2</v>
      </c>
      <c r="F313">
        <v>3.6363636363636383E-2</v>
      </c>
      <c r="G313">
        <v>-0.222019033489677</v>
      </c>
      <c r="H313">
        <v>2.225017806117457</v>
      </c>
      <c r="I313">
        <v>2752.7451030000002</v>
      </c>
      <c r="J313">
        <v>19.09506869651776</v>
      </c>
      <c r="K313">
        <v>0.7619923993552935</v>
      </c>
      <c r="L313">
        <v>1.2106839771396269</v>
      </c>
      <c r="M313">
        <v>76.760000000000005</v>
      </c>
      <c r="N313">
        <v>50.03</v>
      </c>
    </row>
    <row r="314" spans="1:14" x14ac:dyDescent="0.35">
      <c r="A314" s="1" t="s">
        <v>326</v>
      </c>
      <c r="B314" t="str">
        <f>HYPERLINK("https://www.suredividend.com/sure-analysis-research-database/","Consolidated Communications Holdings Inc")</f>
        <v>Consolidated Communications Holdings Inc</v>
      </c>
      <c r="C314" t="s">
        <v>1807</v>
      </c>
      <c r="D314">
        <v>3.53</v>
      </c>
      <c r="E314">
        <v>0</v>
      </c>
      <c r="F314" t="s">
        <v>1798</v>
      </c>
      <c r="G314" t="s">
        <v>1798</v>
      </c>
      <c r="H314">
        <v>0</v>
      </c>
      <c r="I314">
        <v>411.635153</v>
      </c>
      <c r="J314">
        <v>6.1223343980069904</v>
      </c>
      <c r="K314">
        <v>0</v>
      </c>
      <c r="L314">
        <v>1.8598115137077531</v>
      </c>
      <c r="M314">
        <v>5.55</v>
      </c>
      <c r="N314">
        <v>2.1</v>
      </c>
    </row>
    <row r="315" spans="1:14" x14ac:dyDescent="0.35">
      <c r="A315" s="1" t="s">
        <v>327</v>
      </c>
      <c r="B315" t="str">
        <f>HYPERLINK("https://www.suredividend.com/sure-analysis-research-database/","Century Casinos Inc.")</f>
        <v>Century Casinos Inc.</v>
      </c>
      <c r="C315" t="s">
        <v>1802</v>
      </c>
      <c r="D315">
        <v>4.7699999999999996</v>
      </c>
      <c r="E315">
        <v>0</v>
      </c>
      <c r="F315" t="s">
        <v>1798</v>
      </c>
      <c r="G315" t="s">
        <v>1798</v>
      </c>
      <c r="H315">
        <v>0</v>
      </c>
      <c r="I315">
        <v>144.697621</v>
      </c>
      <c r="J315" t="s">
        <v>1798</v>
      </c>
      <c r="K315">
        <v>0</v>
      </c>
      <c r="L315">
        <v>1.4419351505133851</v>
      </c>
      <c r="M315">
        <v>10.41</v>
      </c>
      <c r="N315">
        <v>4.7300000000000004</v>
      </c>
    </row>
    <row r="316" spans="1:14" x14ac:dyDescent="0.35">
      <c r="A316" s="1" t="s">
        <v>328</v>
      </c>
      <c r="B316" t="str">
        <f>HYPERLINK("https://www.suredividend.com/sure-analysis-research-database/","CNX Resources Corp")</f>
        <v>CNX Resources Corp</v>
      </c>
      <c r="C316" t="s">
        <v>1808</v>
      </c>
      <c r="D316">
        <v>23.17</v>
      </c>
      <c r="E316">
        <v>0</v>
      </c>
      <c r="F316" t="s">
        <v>1798</v>
      </c>
      <c r="G316" t="s">
        <v>1798</v>
      </c>
      <c r="H316">
        <v>0</v>
      </c>
      <c r="I316">
        <v>3741.142613</v>
      </c>
      <c r="J316">
        <v>1.935550645215864</v>
      </c>
      <c r="K316">
        <v>0</v>
      </c>
      <c r="L316">
        <v>0.8917768333143461</v>
      </c>
      <c r="M316">
        <v>23.51</v>
      </c>
      <c r="N316">
        <v>14.36</v>
      </c>
    </row>
    <row r="317" spans="1:14" x14ac:dyDescent="0.35">
      <c r="A317" s="1" t="s">
        <v>329</v>
      </c>
      <c r="B317" t="str">
        <f>HYPERLINK("https://www.suredividend.com/sure-analysis-research-database/","PC Connection, Inc.")</f>
        <v>PC Connection, Inc.</v>
      </c>
      <c r="C317" t="s">
        <v>1804</v>
      </c>
      <c r="D317">
        <v>53.68</v>
      </c>
      <c r="E317">
        <v>4.456226976086E-3</v>
      </c>
      <c r="F317" t="s">
        <v>1798</v>
      </c>
      <c r="G317" t="s">
        <v>1798</v>
      </c>
      <c r="H317">
        <v>0.23921026407631801</v>
      </c>
      <c r="I317">
        <v>1409.4641650000001</v>
      </c>
      <c r="J317">
        <v>18.564145265265271</v>
      </c>
      <c r="K317">
        <v>8.3348524068403484E-2</v>
      </c>
      <c r="L317">
        <v>0.69506894661540009</v>
      </c>
      <c r="M317">
        <v>55.99</v>
      </c>
      <c r="N317">
        <v>37.5</v>
      </c>
    </row>
    <row r="318" spans="1:14" x14ac:dyDescent="0.35">
      <c r="A318" s="1" t="s">
        <v>330</v>
      </c>
      <c r="B318" t="str">
        <f>HYPERLINK("https://www.suredividend.com/sure-analysis-research-database/","Vita Coco Company Inc (The)")</f>
        <v>Vita Coco Company Inc (The)</v>
      </c>
      <c r="C318" t="s">
        <v>1798</v>
      </c>
      <c r="D318">
        <v>26.28</v>
      </c>
      <c r="E318">
        <v>0</v>
      </c>
      <c r="F318" t="s">
        <v>1798</v>
      </c>
      <c r="G318" t="s">
        <v>1798</v>
      </c>
      <c r="H318">
        <v>0</v>
      </c>
      <c r="I318">
        <v>1483.1299329999999</v>
      </c>
      <c r="J318">
        <v>50.896703266986961</v>
      </c>
      <c r="K318">
        <v>0</v>
      </c>
      <c r="L318">
        <v>1.0796194107184081</v>
      </c>
      <c r="M318">
        <v>33.29</v>
      </c>
      <c r="N318">
        <v>7.39</v>
      </c>
    </row>
    <row r="319" spans="1:14" x14ac:dyDescent="0.35">
      <c r="A319" s="1" t="s">
        <v>331</v>
      </c>
      <c r="B319" t="str">
        <f>HYPERLINK("https://www.suredividend.com/sure-analysis-CODI/","Compass Diversified Holdings")</f>
        <v>Compass Diversified Holdings</v>
      </c>
      <c r="C319" t="s">
        <v>1799</v>
      </c>
      <c r="D319">
        <v>18.27</v>
      </c>
      <c r="E319">
        <v>5.4734537493158181E-2</v>
      </c>
      <c r="F319">
        <v>0</v>
      </c>
      <c r="G319">
        <v>-7.0332815225143785E-2</v>
      </c>
      <c r="H319">
        <v>0.98246382511235608</v>
      </c>
      <c r="I319">
        <v>1313.5386229999999</v>
      </c>
      <c r="J319">
        <v>81.774178100603876</v>
      </c>
      <c r="K319">
        <v>4.3938453717010546</v>
      </c>
      <c r="L319">
        <v>0.88314992598646402</v>
      </c>
      <c r="M319">
        <v>22.75</v>
      </c>
      <c r="N319">
        <v>15.74</v>
      </c>
    </row>
    <row r="320" spans="1:14" x14ac:dyDescent="0.35">
      <c r="A320" s="1" t="s">
        <v>332</v>
      </c>
      <c r="B320" t="str">
        <f>HYPERLINK("https://www.suredividend.com/sure-analysis-research-database/","Cogent Biosciences Inc")</f>
        <v>Cogent Biosciences Inc</v>
      </c>
      <c r="C320" t="s">
        <v>1798</v>
      </c>
      <c r="D320">
        <v>9.52</v>
      </c>
      <c r="E320">
        <v>0</v>
      </c>
      <c r="F320" t="s">
        <v>1798</v>
      </c>
      <c r="G320" t="s">
        <v>1798</v>
      </c>
      <c r="H320">
        <v>0</v>
      </c>
      <c r="I320">
        <v>813.62917000000004</v>
      </c>
      <c r="J320">
        <v>0</v>
      </c>
      <c r="K320" t="s">
        <v>1798</v>
      </c>
      <c r="L320">
        <v>1.32161030105634</v>
      </c>
      <c r="M320">
        <v>15.68</v>
      </c>
      <c r="N320">
        <v>9.19</v>
      </c>
    </row>
    <row r="321" spans="1:14" x14ac:dyDescent="0.35">
      <c r="A321" s="1" t="s">
        <v>333</v>
      </c>
      <c r="B321" t="str">
        <f>HYPERLINK("https://www.suredividend.com/sure-analysis-research-database/","Cohu, Inc.")</f>
        <v>Cohu, Inc.</v>
      </c>
      <c r="C321" t="s">
        <v>1804</v>
      </c>
      <c r="D321">
        <v>34.69</v>
      </c>
      <c r="E321">
        <v>0</v>
      </c>
      <c r="F321" t="s">
        <v>1798</v>
      </c>
      <c r="G321" t="s">
        <v>1798</v>
      </c>
      <c r="H321">
        <v>0</v>
      </c>
      <c r="I321">
        <v>1651.2439999999999</v>
      </c>
      <c r="J321">
        <v>22.68846782725786</v>
      </c>
      <c r="K321">
        <v>0</v>
      </c>
      <c r="L321">
        <v>1.493790909296437</v>
      </c>
      <c r="M321">
        <v>43.99</v>
      </c>
      <c r="N321">
        <v>26.3</v>
      </c>
    </row>
    <row r="322" spans="1:14" x14ac:dyDescent="0.35">
      <c r="A322" s="1" t="s">
        <v>334</v>
      </c>
      <c r="B322" t="str">
        <f>HYPERLINK("https://www.suredividend.com/sure-analysis-research-database/","Coca-Cola Consolidated Inc")</f>
        <v>Coca-Cola Consolidated Inc</v>
      </c>
      <c r="C322" t="s">
        <v>1805</v>
      </c>
      <c r="D322">
        <v>621.53</v>
      </c>
      <c r="E322">
        <v>2.8115392733600001E-3</v>
      </c>
      <c r="F322">
        <v>1</v>
      </c>
      <c r="G322">
        <v>0.1486983549970351</v>
      </c>
      <c r="H322">
        <v>1.747456004571468</v>
      </c>
      <c r="I322">
        <v>5201.5802190000004</v>
      </c>
      <c r="J322">
        <v>10.889895194179029</v>
      </c>
      <c r="K322">
        <v>3.4405512986246667E-2</v>
      </c>
      <c r="L322">
        <v>0.79535618130782804</v>
      </c>
      <c r="M322">
        <v>745.53</v>
      </c>
      <c r="N322">
        <v>427.33</v>
      </c>
    </row>
    <row r="323" spans="1:14" x14ac:dyDescent="0.35">
      <c r="A323" s="1" t="s">
        <v>335</v>
      </c>
      <c r="B323" t="str">
        <f>HYPERLINK("https://www.suredividend.com/sure-analysis-research-database/","Collegium Pharmaceutical Inc")</f>
        <v>Collegium Pharmaceutical Inc</v>
      </c>
      <c r="C323" t="s">
        <v>1803</v>
      </c>
      <c r="D323">
        <v>21.9</v>
      </c>
      <c r="E323">
        <v>0</v>
      </c>
      <c r="F323" t="s">
        <v>1798</v>
      </c>
      <c r="G323" t="s">
        <v>1798</v>
      </c>
      <c r="H323">
        <v>0</v>
      </c>
      <c r="I323">
        <v>760.67582600000003</v>
      </c>
      <c r="J323" t="s">
        <v>1798</v>
      </c>
      <c r="K323">
        <v>0</v>
      </c>
      <c r="L323">
        <v>0.81800233639044806</v>
      </c>
      <c r="M323">
        <v>30.22</v>
      </c>
      <c r="N323">
        <v>16.66</v>
      </c>
    </row>
    <row r="324" spans="1:14" x14ac:dyDescent="0.35">
      <c r="A324" s="1" t="s">
        <v>336</v>
      </c>
      <c r="B324" t="str">
        <f>HYPERLINK("https://www.suredividend.com/sure-analysis-research-database/","CommScope Holding Company Inc")</f>
        <v>CommScope Holding Company Inc</v>
      </c>
      <c r="C324" t="s">
        <v>1804</v>
      </c>
      <c r="D324">
        <v>2.36</v>
      </c>
      <c r="E324">
        <v>0</v>
      </c>
      <c r="F324" t="s">
        <v>1798</v>
      </c>
      <c r="G324" t="s">
        <v>1798</v>
      </c>
      <c r="H324">
        <v>0</v>
      </c>
      <c r="I324">
        <v>500.12978600000002</v>
      </c>
      <c r="J324" t="s">
        <v>1798</v>
      </c>
      <c r="K324">
        <v>0</v>
      </c>
      <c r="L324">
        <v>1.8485343246261969</v>
      </c>
      <c r="M324">
        <v>13.73</v>
      </c>
      <c r="N324">
        <v>2.33</v>
      </c>
    </row>
    <row r="325" spans="1:14" x14ac:dyDescent="0.35">
      <c r="A325" s="1" t="s">
        <v>337</v>
      </c>
      <c r="B325" t="str">
        <f>HYPERLINK("https://www.suredividend.com/sure-analysis-research-database/","Compass Inc")</f>
        <v>Compass Inc</v>
      </c>
      <c r="C325" t="s">
        <v>1798</v>
      </c>
      <c r="D325">
        <v>2.19</v>
      </c>
      <c r="E325">
        <v>0</v>
      </c>
      <c r="F325" t="s">
        <v>1798</v>
      </c>
      <c r="G325" t="s">
        <v>1798</v>
      </c>
      <c r="H325">
        <v>0</v>
      </c>
      <c r="I325">
        <v>1020.696506</v>
      </c>
      <c r="J325" t="s">
        <v>1798</v>
      </c>
      <c r="K325">
        <v>0</v>
      </c>
      <c r="L325">
        <v>3.5144378425373182</v>
      </c>
      <c r="M325">
        <v>5.16</v>
      </c>
      <c r="N325">
        <v>1.84</v>
      </c>
    </row>
    <row r="326" spans="1:14" x14ac:dyDescent="0.35">
      <c r="A326" s="1" t="s">
        <v>338</v>
      </c>
      <c r="B326" t="str">
        <f>HYPERLINK("https://www.suredividend.com/sure-analysis-research-database/","Conns Inc")</f>
        <v>Conns Inc</v>
      </c>
      <c r="C326" t="s">
        <v>1802</v>
      </c>
      <c r="D326">
        <v>3.27</v>
      </c>
      <c r="E326">
        <v>0</v>
      </c>
      <c r="F326" t="s">
        <v>1798</v>
      </c>
      <c r="G326" t="s">
        <v>1798</v>
      </c>
      <c r="H326">
        <v>0</v>
      </c>
      <c r="I326">
        <v>79.589881000000005</v>
      </c>
      <c r="J326" t="s">
        <v>1798</v>
      </c>
      <c r="K326">
        <v>0</v>
      </c>
      <c r="L326">
        <v>2.0971462028026511</v>
      </c>
      <c r="M326">
        <v>11.69</v>
      </c>
      <c r="N326">
        <v>3.07</v>
      </c>
    </row>
    <row r="327" spans="1:14" x14ac:dyDescent="0.35">
      <c r="A327" s="1" t="s">
        <v>339</v>
      </c>
      <c r="B327" t="str">
        <f>HYPERLINK("https://www.suredividend.com/sure-analysis-research-database/","Traeger Inc")</f>
        <v>Traeger Inc</v>
      </c>
      <c r="C327" t="s">
        <v>1798</v>
      </c>
      <c r="D327">
        <v>2.5</v>
      </c>
      <c r="E327">
        <v>0</v>
      </c>
      <c r="F327" t="s">
        <v>1798</v>
      </c>
      <c r="G327" t="s">
        <v>1798</v>
      </c>
      <c r="H327">
        <v>0</v>
      </c>
      <c r="I327">
        <v>309.92047300000002</v>
      </c>
      <c r="J327" t="s">
        <v>1798</v>
      </c>
      <c r="K327">
        <v>0</v>
      </c>
      <c r="L327">
        <v>1.4994194018040949</v>
      </c>
      <c r="M327">
        <v>6.7</v>
      </c>
      <c r="N327">
        <v>2.33</v>
      </c>
    </row>
    <row r="328" spans="1:14" x14ac:dyDescent="0.35">
      <c r="A328" s="1" t="s">
        <v>340</v>
      </c>
      <c r="B328" t="str">
        <f>HYPERLINK("https://www.suredividend.com/sure-analysis-research-database/","Mr. Cooper Group Inc")</f>
        <v>Mr. Cooper Group Inc</v>
      </c>
      <c r="C328" t="s">
        <v>1801</v>
      </c>
      <c r="D328">
        <v>53.99</v>
      </c>
      <c r="E328">
        <v>0</v>
      </c>
      <c r="F328" t="s">
        <v>1798</v>
      </c>
      <c r="G328" t="s">
        <v>1798</v>
      </c>
      <c r="H328">
        <v>0</v>
      </c>
      <c r="I328">
        <v>3609.1529989999999</v>
      </c>
      <c r="J328">
        <v>12.317928322662119</v>
      </c>
      <c r="K328">
        <v>0</v>
      </c>
      <c r="L328">
        <v>1.09305626432571</v>
      </c>
      <c r="M328">
        <v>60.68</v>
      </c>
      <c r="N328">
        <v>37.54</v>
      </c>
    </row>
    <row r="329" spans="1:14" x14ac:dyDescent="0.35">
      <c r="A329" s="1" t="s">
        <v>341</v>
      </c>
      <c r="B329" t="str">
        <f>HYPERLINK("https://www.suredividend.com/sure-analysis-research-database/","Corcept Therapeutics Inc")</f>
        <v>Corcept Therapeutics Inc</v>
      </c>
      <c r="C329" t="s">
        <v>1803</v>
      </c>
      <c r="D329">
        <v>27.56</v>
      </c>
      <c r="E329">
        <v>0</v>
      </c>
      <c r="F329" t="s">
        <v>1798</v>
      </c>
      <c r="G329" t="s">
        <v>1798</v>
      </c>
      <c r="H329">
        <v>0</v>
      </c>
      <c r="I329">
        <v>2826.1844609999998</v>
      </c>
      <c r="J329">
        <v>29.870047997801642</v>
      </c>
      <c r="K329">
        <v>0</v>
      </c>
      <c r="L329">
        <v>0.52016646664488508</v>
      </c>
      <c r="M329">
        <v>34.28</v>
      </c>
      <c r="N329">
        <v>17.86</v>
      </c>
    </row>
    <row r="330" spans="1:14" x14ac:dyDescent="0.35">
      <c r="A330" s="1" t="s">
        <v>342</v>
      </c>
      <c r="B330" t="str">
        <f>HYPERLINK("https://www.suredividend.com/sure-analysis-research-database/","Coursera Inc")</f>
        <v>Coursera Inc</v>
      </c>
      <c r="C330" t="s">
        <v>1798</v>
      </c>
      <c r="D330">
        <v>18.190000000000001</v>
      </c>
      <c r="E330">
        <v>0</v>
      </c>
      <c r="F330" t="s">
        <v>1798</v>
      </c>
      <c r="G330" t="s">
        <v>1798</v>
      </c>
      <c r="H330">
        <v>0</v>
      </c>
      <c r="I330">
        <v>2722.8792899999999</v>
      </c>
      <c r="J330" t="s">
        <v>1798</v>
      </c>
      <c r="K330">
        <v>0</v>
      </c>
      <c r="L330">
        <v>1.4536629678978039</v>
      </c>
      <c r="M330">
        <v>19.559999999999999</v>
      </c>
      <c r="N330">
        <v>9.91</v>
      </c>
    </row>
    <row r="331" spans="1:14" x14ac:dyDescent="0.35">
      <c r="A331" s="1" t="s">
        <v>343</v>
      </c>
      <c r="B331" t="str">
        <f>HYPERLINK("https://www.suredividend.com/sure-analysis-research-database/","Callon Petroleum Co.")</f>
        <v>Callon Petroleum Co.</v>
      </c>
      <c r="C331" t="s">
        <v>1808</v>
      </c>
      <c r="D331">
        <v>38.39</v>
      </c>
      <c r="E331">
        <v>0</v>
      </c>
      <c r="F331" t="s">
        <v>1798</v>
      </c>
      <c r="G331" t="s">
        <v>1798</v>
      </c>
      <c r="H331">
        <v>0</v>
      </c>
      <c r="I331">
        <v>2616.5641220000002</v>
      </c>
      <c r="J331">
        <v>2.799027100208384</v>
      </c>
      <c r="K331">
        <v>0</v>
      </c>
      <c r="L331">
        <v>1.316268409223891</v>
      </c>
      <c r="M331">
        <v>50.19</v>
      </c>
      <c r="N331">
        <v>28.91</v>
      </c>
    </row>
    <row r="332" spans="1:14" x14ac:dyDescent="0.35">
      <c r="A332" s="1" t="s">
        <v>344</v>
      </c>
      <c r="B332" t="str">
        <f>HYPERLINK("https://www.suredividend.com/sure-analysis-research-database/","Central Pacific Financial Corp.")</f>
        <v>Central Pacific Financial Corp.</v>
      </c>
      <c r="C332" t="s">
        <v>1801</v>
      </c>
      <c r="D332">
        <v>16.09</v>
      </c>
      <c r="E332">
        <v>6.3199201360371007E-2</v>
      </c>
      <c r="F332">
        <v>0</v>
      </c>
      <c r="G332">
        <v>4.3640227150435917E-2</v>
      </c>
      <c r="H332">
        <v>1.016875149888377</v>
      </c>
      <c r="I332">
        <v>435.09438799999998</v>
      </c>
      <c r="J332">
        <v>6.4403088942834303</v>
      </c>
      <c r="K332">
        <v>0.41003030237434562</v>
      </c>
      <c r="L332">
        <v>0.99036394632857505</v>
      </c>
      <c r="M332">
        <v>23.51</v>
      </c>
      <c r="N332">
        <v>12.8</v>
      </c>
    </row>
    <row r="333" spans="1:14" x14ac:dyDescent="0.35">
      <c r="A333" s="1" t="s">
        <v>345</v>
      </c>
      <c r="B333" t="str">
        <f>HYPERLINK("https://www.suredividend.com/sure-analysis-CPK/","Chesapeake Utilities Corp")</f>
        <v>Chesapeake Utilities Corp</v>
      </c>
      <c r="C333" t="s">
        <v>1806</v>
      </c>
      <c r="D333">
        <v>91.8</v>
      </c>
      <c r="E333">
        <v>2.570806100217865E-2</v>
      </c>
      <c r="F333">
        <v>0.1028037383177569</v>
      </c>
      <c r="G333">
        <v>9.7817267562252397E-2</v>
      </c>
      <c r="H333">
        <v>2.2339210016279201</v>
      </c>
      <c r="I333">
        <v>1633.740824</v>
      </c>
      <c r="J333">
        <v>18.504466284588119</v>
      </c>
      <c r="K333">
        <v>0.45129717204604441</v>
      </c>
      <c r="L333">
        <v>0.51706559159405607</v>
      </c>
      <c r="M333">
        <v>131.59</v>
      </c>
      <c r="N333">
        <v>89</v>
      </c>
    </row>
    <row r="334" spans="1:14" x14ac:dyDescent="0.35">
      <c r="A334" s="1" t="s">
        <v>346</v>
      </c>
      <c r="B334" t="str">
        <f>HYPERLINK("https://www.suredividend.com/sure-analysis-research-database/","Catalyst Pharmaceuticals Inc")</f>
        <v>Catalyst Pharmaceuticals Inc</v>
      </c>
      <c r="C334" t="s">
        <v>1803</v>
      </c>
      <c r="D334">
        <v>12.78</v>
      </c>
      <c r="E334">
        <v>0</v>
      </c>
      <c r="F334" t="s">
        <v>1798</v>
      </c>
      <c r="G334" t="s">
        <v>1798</v>
      </c>
      <c r="H334">
        <v>0</v>
      </c>
      <c r="I334">
        <v>1362.2522389999999</v>
      </c>
      <c r="J334">
        <v>11.78939012418974</v>
      </c>
      <c r="K334">
        <v>0</v>
      </c>
      <c r="L334">
        <v>1.030869953955839</v>
      </c>
      <c r="M334">
        <v>22.11</v>
      </c>
      <c r="N334">
        <v>11.09</v>
      </c>
    </row>
    <row r="335" spans="1:14" x14ac:dyDescent="0.35">
      <c r="A335" s="1" t="s">
        <v>347</v>
      </c>
      <c r="B335" t="str">
        <f>HYPERLINK("https://www.suredividend.com/sure-analysis-research-database/","Computer Programs &amp; Systems Inc")</f>
        <v>Computer Programs &amp; Systems Inc</v>
      </c>
      <c r="C335" t="s">
        <v>1803</v>
      </c>
      <c r="D335">
        <v>14.35</v>
      </c>
      <c r="E335">
        <v>0</v>
      </c>
      <c r="F335" t="s">
        <v>1798</v>
      </c>
      <c r="G335" t="s">
        <v>1798</v>
      </c>
      <c r="H335">
        <v>0</v>
      </c>
      <c r="I335">
        <v>208.81637799999999</v>
      </c>
      <c r="J335">
        <v>43.152795701591238</v>
      </c>
      <c r="K335">
        <v>0</v>
      </c>
      <c r="L335">
        <v>0.90246379662861509</v>
      </c>
      <c r="M335">
        <v>32.909999999999997</v>
      </c>
      <c r="N335">
        <v>14.09</v>
      </c>
    </row>
    <row r="336" spans="1:14" x14ac:dyDescent="0.35">
      <c r="A336" s="1" t="s">
        <v>348</v>
      </c>
      <c r="B336" t="str">
        <f>HYPERLINK("https://www.suredividend.com/sure-analysis-research-database/","Consumer Portfolio Service, Inc.")</f>
        <v>Consumer Portfolio Service, Inc.</v>
      </c>
      <c r="C336" t="s">
        <v>1801</v>
      </c>
      <c r="D336">
        <v>8.9499999999999993</v>
      </c>
      <c r="E336">
        <v>0</v>
      </c>
      <c r="F336" t="s">
        <v>1798</v>
      </c>
      <c r="G336" t="s">
        <v>1798</v>
      </c>
      <c r="H336">
        <v>0</v>
      </c>
      <c r="I336">
        <v>189.422991</v>
      </c>
      <c r="J336">
        <v>0</v>
      </c>
      <c r="K336" t="s">
        <v>1798</v>
      </c>
      <c r="L336">
        <v>2.2541899079897192</v>
      </c>
      <c r="M336">
        <v>13.75</v>
      </c>
      <c r="N336">
        <v>4.6399999999999997</v>
      </c>
    </row>
    <row r="337" spans="1:14" x14ac:dyDescent="0.35">
      <c r="A337" s="1" t="s">
        <v>349</v>
      </c>
      <c r="B337" t="str">
        <f>HYPERLINK("https://www.suredividend.com/sure-analysis-research-database/","Cepton Inc")</f>
        <v>Cepton Inc</v>
      </c>
      <c r="C337" t="s">
        <v>1798</v>
      </c>
      <c r="D337">
        <v>3.66</v>
      </c>
      <c r="E337">
        <v>0</v>
      </c>
      <c r="F337" t="s">
        <v>1798</v>
      </c>
      <c r="G337" t="s">
        <v>1798</v>
      </c>
      <c r="H337">
        <v>0</v>
      </c>
      <c r="I337">
        <v>579.10053200000004</v>
      </c>
      <c r="J337">
        <v>0</v>
      </c>
      <c r="K337" t="s">
        <v>1798</v>
      </c>
      <c r="L337">
        <v>1.7237215825050509</v>
      </c>
      <c r="M337">
        <v>26.5</v>
      </c>
      <c r="N337">
        <v>3.2</v>
      </c>
    </row>
    <row r="338" spans="1:14" x14ac:dyDescent="0.35">
      <c r="A338" s="1" t="s">
        <v>350</v>
      </c>
      <c r="B338" t="str">
        <f>HYPERLINK("https://www.suredividend.com/sure-analysis-research-database/","CRA International Inc.")</f>
        <v>CRA International Inc.</v>
      </c>
      <c r="C338" t="s">
        <v>1799</v>
      </c>
      <c r="D338">
        <v>100</v>
      </c>
      <c r="E338">
        <v>1.4262986261685999E-2</v>
      </c>
      <c r="F338">
        <v>0.16129032258064499</v>
      </c>
      <c r="G338">
        <v>0.1247461131420948</v>
      </c>
      <c r="H338">
        <v>1.4262986261686319</v>
      </c>
      <c r="I338">
        <v>700.17060000000004</v>
      </c>
      <c r="J338">
        <v>18.02844194968716</v>
      </c>
      <c r="K338">
        <v>0.26511126880457853</v>
      </c>
      <c r="L338">
        <v>0.52840132675607709</v>
      </c>
      <c r="M338">
        <v>125.88</v>
      </c>
      <c r="N338">
        <v>90.69</v>
      </c>
    </row>
    <row r="339" spans="1:14" x14ac:dyDescent="0.35">
      <c r="A339" s="1" t="s">
        <v>351</v>
      </c>
      <c r="B339" t="str">
        <f>HYPERLINK("https://www.suredividend.com/sure-analysis-research-database/","Caribou Biosciences Inc")</f>
        <v>Caribou Biosciences Inc</v>
      </c>
      <c r="C339" t="s">
        <v>1798</v>
      </c>
      <c r="D339">
        <v>4.1900000000000004</v>
      </c>
      <c r="E339">
        <v>0</v>
      </c>
      <c r="F339" t="s">
        <v>1798</v>
      </c>
      <c r="G339" t="s">
        <v>1798</v>
      </c>
      <c r="H339">
        <v>0</v>
      </c>
      <c r="I339">
        <v>369.91321099999999</v>
      </c>
      <c r="J339" t="s">
        <v>1798</v>
      </c>
      <c r="K339">
        <v>0</v>
      </c>
      <c r="L339">
        <v>1.4663812559164791</v>
      </c>
      <c r="M339">
        <v>10.67</v>
      </c>
      <c r="N339">
        <v>3.96</v>
      </c>
    </row>
    <row r="340" spans="1:14" x14ac:dyDescent="0.35">
      <c r="A340" s="1" t="s">
        <v>352</v>
      </c>
      <c r="B340" t="str">
        <f>HYPERLINK("https://www.suredividend.com/sure-analysis-research-database/","California Resources Corporation")</f>
        <v>California Resources Corporation</v>
      </c>
      <c r="C340" t="s">
        <v>1808</v>
      </c>
      <c r="D340">
        <v>54.63</v>
      </c>
      <c r="E340">
        <v>2.0497465199451E-2</v>
      </c>
      <c r="F340" t="s">
        <v>1798</v>
      </c>
      <c r="G340" t="s">
        <v>1798</v>
      </c>
      <c r="H340">
        <v>1.1197765238460129</v>
      </c>
      <c r="I340">
        <v>3767.4060789999999</v>
      </c>
      <c r="J340">
        <v>4.1537001969128999</v>
      </c>
      <c r="K340">
        <v>9.216267685975417E-2</v>
      </c>
      <c r="L340">
        <v>0.78595700647618505</v>
      </c>
      <c r="M340">
        <v>58.44</v>
      </c>
      <c r="N340">
        <v>33.6</v>
      </c>
    </row>
    <row r="341" spans="1:14" x14ac:dyDescent="0.35">
      <c r="A341" s="1" t="s">
        <v>353</v>
      </c>
      <c r="B341" t="str">
        <f>HYPERLINK("https://www.suredividend.com/sure-analysis-research-database/","Credo Technology Group Holding Ltd")</f>
        <v>Credo Technology Group Holding Ltd</v>
      </c>
      <c r="C341" t="s">
        <v>1798</v>
      </c>
      <c r="D341">
        <v>15.56</v>
      </c>
      <c r="E341">
        <v>0</v>
      </c>
      <c r="F341" t="s">
        <v>1798</v>
      </c>
      <c r="G341" t="s">
        <v>1798</v>
      </c>
      <c r="H341">
        <v>0</v>
      </c>
      <c r="I341">
        <v>2319.6746859999998</v>
      </c>
      <c r="J341" t="s">
        <v>1798</v>
      </c>
      <c r="K341">
        <v>0</v>
      </c>
      <c r="L341">
        <v>1.5933912553718941</v>
      </c>
      <c r="M341">
        <v>19.46</v>
      </c>
      <c r="N341">
        <v>7.2</v>
      </c>
    </row>
    <row r="342" spans="1:14" x14ac:dyDescent="0.35">
      <c r="A342" s="1" t="s">
        <v>354</v>
      </c>
      <c r="B342" t="str">
        <f>HYPERLINK("https://www.suredividend.com/sure-analysis-research-database/","Charge Enterprises Inc")</f>
        <v>Charge Enterprises Inc</v>
      </c>
      <c r="C342" t="s">
        <v>1806</v>
      </c>
      <c r="D342">
        <v>0.39340000000000003</v>
      </c>
      <c r="E342">
        <v>0</v>
      </c>
      <c r="F342" t="s">
        <v>1798</v>
      </c>
      <c r="G342" t="s">
        <v>1798</v>
      </c>
      <c r="H342">
        <v>0</v>
      </c>
      <c r="I342">
        <v>84.574920000000006</v>
      </c>
      <c r="J342" t="s">
        <v>1798</v>
      </c>
      <c r="K342">
        <v>0</v>
      </c>
      <c r="L342">
        <v>1.6685912863653001</v>
      </c>
      <c r="M342">
        <v>3</v>
      </c>
      <c r="N342">
        <v>0.36049999999999999</v>
      </c>
    </row>
    <row r="343" spans="1:14" x14ac:dyDescent="0.35">
      <c r="A343" s="1" t="s">
        <v>355</v>
      </c>
      <c r="B343" t="str">
        <f>HYPERLINK("https://www.suredividend.com/sure-analysis-research-database/","Crescent Energy Co.")</f>
        <v>Crescent Energy Co.</v>
      </c>
      <c r="C343" t="s">
        <v>1798</v>
      </c>
      <c r="D343">
        <v>12.02</v>
      </c>
      <c r="E343">
        <v>4.7361277585576997E-2</v>
      </c>
      <c r="F343" t="s">
        <v>1798</v>
      </c>
      <c r="G343" t="s">
        <v>1798</v>
      </c>
      <c r="H343">
        <v>0.56928255657864002</v>
      </c>
      <c r="I343">
        <v>1045.244776</v>
      </c>
      <c r="J343">
        <v>5.4412625770448111</v>
      </c>
      <c r="K343">
        <v>0.14091152390560399</v>
      </c>
      <c r="L343">
        <v>0.89627114606307512</v>
      </c>
      <c r="M343">
        <v>14.41</v>
      </c>
      <c r="N343">
        <v>9.09</v>
      </c>
    </row>
    <row r="344" spans="1:14" x14ac:dyDescent="0.35">
      <c r="A344" s="1" t="s">
        <v>356</v>
      </c>
      <c r="B344" t="str">
        <f>HYPERLINK("https://www.suredividend.com/sure-analysis-research-database/","Comstock Resources, Inc.")</f>
        <v>Comstock Resources, Inc.</v>
      </c>
      <c r="C344" t="s">
        <v>1808</v>
      </c>
      <c r="D344">
        <v>12.66</v>
      </c>
      <c r="E344">
        <v>3.8826868405061013E-2</v>
      </c>
      <c r="F344" t="s">
        <v>1798</v>
      </c>
      <c r="G344" t="s">
        <v>1798</v>
      </c>
      <c r="H344">
        <v>0.49154815400807711</v>
      </c>
      <c r="I344">
        <v>3525.5632190000001</v>
      </c>
      <c r="J344">
        <v>3.6844515053361131</v>
      </c>
      <c r="K344">
        <v>0.1480566728939991</v>
      </c>
      <c r="L344">
        <v>1.4990395953483839</v>
      </c>
      <c r="M344">
        <v>20.32</v>
      </c>
      <c r="N344">
        <v>8.98</v>
      </c>
    </row>
    <row r="345" spans="1:14" x14ac:dyDescent="0.35">
      <c r="A345" s="1" t="s">
        <v>357</v>
      </c>
      <c r="B345" t="str">
        <f>HYPERLINK("https://www.suredividend.com/sure-analysis-research-database/","Americas Car Mart, Inc.")</f>
        <v>Americas Car Mart, Inc.</v>
      </c>
      <c r="C345" t="s">
        <v>1802</v>
      </c>
      <c r="D345">
        <v>81.34</v>
      </c>
      <c r="E345">
        <v>0</v>
      </c>
      <c r="F345" t="s">
        <v>1798</v>
      </c>
      <c r="G345" t="s">
        <v>1798</v>
      </c>
      <c r="H345">
        <v>0</v>
      </c>
      <c r="I345">
        <v>519.11098500000003</v>
      </c>
      <c r="J345">
        <v>45.793135608680323</v>
      </c>
      <c r="K345">
        <v>0</v>
      </c>
      <c r="L345">
        <v>1.636056129866529</v>
      </c>
      <c r="M345">
        <v>127.96</v>
      </c>
      <c r="N345">
        <v>52.24</v>
      </c>
    </row>
    <row r="346" spans="1:14" x14ac:dyDescent="0.35">
      <c r="A346" s="1" t="s">
        <v>358</v>
      </c>
      <c r="B346" t="str">
        <f>HYPERLINK("https://www.suredividend.com/sure-analysis-research-database/","Cerence Inc")</f>
        <v>Cerence Inc</v>
      </c>
      <c r="C346" t="s">
        <v>1804</v>
      </c>
      <c r="D346">
        <v>17.47</v>
      </c>
      <c r="E346">
        <v>0</v>
      </c>
      <c r="F346" t="s">
        <v>1798</v>
      </c>
      <c r="G346" t="s">
        <v>1798</v>
      </c>
      <c r="H346">
        <v>0</v>
      </c>
      <c r="I346">
        <v>704.62173800000005</v>
      </c>
      <c r="J346" t="s">
        <v>1798</v>
      </c>
      <c r="K346">
        <v>0</v>
      </c>
      <c r="L346">
        <v>1.7922068816632279</v>
      </c>
      <c r="M346">
        <v>36.79</v>
      </c>
      <c r="N346">
        <v>12.82</v>
      </c>
    </row>
    <row r="347" spans="1:14" x14ac:dyDescent="0.35">
      <c r="A347" s="1" t="s">
        <v>359</v>
      </c>
      <c r="B347" t="str">
        <f>HYPERLINK("https://www.suredividend.com/sure-analysis-research-database/","Crinetics Pharmaceuticals Inc")</f>
        <v>Crinetics Pharmaceuticals Inc</v>
      </c>
      <c r="C347" t="s">
        <v>1803</v>
      </c>
      <c r="D347">
        <v>29.11</v>
      </c>
      <c r="E347">
        <v>0</v>
      </c>
      <c r="F347" t="s">
        <v>1798</v>
      </c>
      <c r="G347" t="s">
        <v>1798</v>
      </c>
      <c r="H347">
        <v>0</v>
      </c>
      <c r="I347">
        <v>1591.925471</v>
      </c>
      <c r="J347" t="s">
        <v>1798</v>
      </c>
      <c r="K347">
        <v>0</v>
      </c>
      <c r="L347">
        <v>1.0470426206832231</v>
      </c>
      <c r="M347">
        <v>31</v>
      </c>
      <c r="N347">
        <v>15.23</v>
      </c>
    </row>
    <row r="348" spans="1:14" x14ac:dyDescent="0.35">
      <c r="A348" s="1" t="s">
        <v>360</v>
      </c>
      <c r="B348" t="str">
        <f>HYPERLINK("https://www.suredividend.com/sure-analysis-research-database/","Crocs Inc")</f>
        <v>Crocs Inc</v>
      </c>
      <c r="C348" t="s">
        <v>1802</v>
      </c>
      <c r="D348">
        <v>82.73</v>
      </c>
      <c r="E348">
        <v>0</v>
      </c>
      <c r="F348" t="s">
        <v>1798</v>
      </c>
      <c r="G348" t="s">
        <v>1798</v>
      </c>
      <c r="H348">
        <v>0</v>
      </c>
      <c r="I348">
        <v>5099.8294640000004</v>
      </c>
      <c r="J348">
        <v>7.6226191064198057</v>
      </c>
      <c r="K348">
        <v>0</v>
      </c>
      <c r="L348">
        <v>1.5624808360801341</v>
      </c>
      <c r="M348">
        <v>151.32</v>
      </c>
      <c r="N348">
        <v>66.599999999999994</v>
      </c>
    </row>
    <row r="349" spans="1:14" x14ac:dyDescent="0.35">
      <c r="A349" s="1" t="s">
        <v>361</v>
      </c>
      <c r="B349" t="str">
        <f>HYPERLINK("https://www.suredividend.com/sure-analysis-research-database/","Carpenter Technology Corp.")</f>
        <v>Carpenter Technology Corp.</v>
      </c>
      <c r="C349" t="s">
        <v>1799</v>
      </c>
      <c r="D349">
        <v>64.2</v>
      </c>
      <c r="E349">
        <v>1.2392686361973E-2</v>
      </c>
      <c r="F349">
        <v>0</v>
      </c>
      <c r="G349">
        <v>0</v>
      </c>
      <c r="H349">
        <v>0.79561046443867811</v>
      </c>
      <c r="I349">
        <v>3136.039417</v>
      </c>
      <c r="J349">
        <v>56.000703878571429</v>
      </c>
      <c r="K349">
        <v>0.69790391617427894</v>
      </c>
      <c r="L349">
        <v>1.4797067101317509</v>
      </c>
      <c r="M349">
        <v>72.66</v>
      </c>
      <c r="N349">
        <v>33.590000000000003</v>
      </c>
    </row>
    <row r="350" spans="1:14" x14ac:dyDescent="0.35">
      <c r="A350" s="1" t="s">
        <v>362</v>
      </c>
      <c r="B350" t="str">
        <f>HYPERLINK("https://www.suredividend.com/sure-analysis-research-database/","Corsair Gaming Inc")</f>
        <v>Corsair Gaming Inc</v>
      </c>
      <c r="C350" t="s">
        <v>1798</v>
      </c>
      <c r="D350">
        <v>13.53</v>
      </c>
      <c r="E350">
        <v>0</v>
      </c>
      <c r="F350" t="s">
        <v>1798</v>
      </c>
      <c r="G350" t="s">
        <v>1798</v>
      </c>
      <c r="H350">
        <v>0</v>
      </c>
      <c r="I350">
        <v>1390.6387010000001</v>
      </c>
      <c r="J350">
        <v>381.51953390946511</v>
      </c>
      <c r="K350">
        <v>0</v>
      </c>
      <c r="L350">
        <v>1.676244765923087</v>
      </c>
      <c r="M350">
        <v>20.72</v>
      </c>
      <c r="N350">
        <v>11.45</v>
      </c>
    </row>
    <row r="351" spans="1:14" x14ac:dyDescent="0.35">
      <c r="A351" s="1" t="s">
        <v>363</v>
      </c>
      <c r="B351" t="str">
        <f>HYPERLINK("https://www.suredividend.com/sure-analysis-research-database/","Corvel Corp.")</f>
        <v>Corvel Corp.</v>
      </c>
      <c r="C351" t="s">
        <v>1801</v>
      </c>
      <c r="D351">
        <v>202.83</v>
      </c>
      <c r="E351">
        <v>0</v>
      </c>
      <c r="F351" t="s">
        <v>1798</v>
      </c>
      <c r="G351" t="s">
        <v>1798</v>
      </c>
      <c r="H351">
        <v>0</v>
      </c>
      <c r="I351">
        <v>3482.489685</v>
      </c>
      <c r="J351">
        <v>50.122910303832818</v>
      </c>
      <c r="K351">
        <v>0</v>
      </c>
      <c r="L351">
        <v>0.63782770389050902</v>
      </c>
      <c r="M351">
        <v>228.94</v>
      </c>
      <c r="N351">
        <v>136.22</v>
      </c>
    </row>
    <row r="352" spans="1:14" x14ac:dyDescent="0.35">
      <c r="A352" s="1" t="s">
        <v>364</v>
      </c>
      <c r="B352" t="str">
        <f>HYPERLINK("https://www.suredividend.com/sure-analysis-research-database/","CSG Systems International Inc.")</f>
        <v>CSG Systems International Inc.</v>
      </c>
      <c r="C352" t="s">
        <v>1804</v>
      </c>
      <c r="D352">
        <v>50.98</v>
      </c>
      <c r="E352">
        <v>2.1359569960987999E-2</v>
      </c>
      <c r="F352">
        <v>5.6603773584905648E-2</v>
      </c>
      <c r="G352">
        <v>4.7045617133854252E-2</v>
      </c>
      <c r="H352">
        <v>1.088910876611207</v>
      </c>
      <c r="I352">
        <v>1618.5536199999999</v>
      </c>
      <c r="J352">
        <v>23.974310049768931</v>
      </c>
      <c r="K352">
        <v>0.49721957836128172</v>
      </c>
      <c r="L352">
        <v>0.83359311466418906</v>
      </c>
      <c r="M352">
        <v>68.63</v>
      </c>
      <c r="N352">
        <v>46.02</v>
      </c>
    </row>
    <row r="353" spans="1:14" x14ac:dyDescent="0.35">
      <c r="A353" s="1" t="s">
        <v>365</v>
      </c>
      <c r="B353" t="str">
        <f>HYPERLINK("https://www.suredividend.com/sure-analysis-research-database/","Centerspace")</f>
        <v>Centerspace</v>
      </c>
      <c r="C353" t="s">
        <v>1798</v>
      </c>
      <c r="D353">
        <v>56.47</v>
      </c>
      <c r="E353">
        <v>5.0754191896856003E-2</v>
      </c>
      <c r="F353">
        <v>0</v>
      </c>
      <c r="G353">
        <v>8.4281584386185493E-3</v>
      </c>
      <c r="H353">
        <v>2.8660892164154781</v>
      </c>
      <c r="I353">
        <v>844.17341799999997</v>
      </c>
      <c r="J353">
        <v>25.77550054044152</v>
      </c>
      <c r="K353">
        <v>1.391305444861882</v>
      </c>
      <c r="L353">
        <v>0.99581112727774712</v>
      </c>
      <c r="M353">
        <v>69.260000000000005</v>
      </c>
      <c r="N353">
        <v>49.33</v>
      </c>
    </row>
    <row r="354" spans="1:14" x14ac:dyDescent="0.35">
      <c r="A354" s="1" t="s">
        <v>366</v>
      </c>
      <c r="B354" t="str">
        <f>HYPERLINK("https://www.suredividend.com/sure-analysis-research-database/","Caesarstone Ltd")</f>
        <v>Caesarstone Ltd</v>
      </c>
      <c r="C354" t="s">
        <v>1799</v>
      </c>
      <c r="D354">
        <v>4.01</v>
      </c>
      <c r="E354">
        <v>0</v>
      </c>
      <c r="F354" t="s">
        <v>1798</v>
      </c>
      <c r="G354" t="s">
        <v>1798</v>
      </c>
      <c r="H354">
        <v>0</v>
      </c>
      <c r="I354">
        <v>138.37428499999999</v>
      </c>
      <c r="J354" t="s">
        <v>1798</v>
      </c>
      <c r="K354">
        <v>0</v>
      </c>
      <c r="L354">
        <v>1.041207273061731</v>
      </c>
      <c r="M354">
        <v>9.77</v>
      </c>
      <c r="N354">
        <v>3.51</v>
      </c>
    </row>
    <row r="355" spans="1:14" x14ac:dyDescent="0.35">
      <c r="A355" s="1" t="s">
        <v>367</v>
      </c>
      <c r="B355" t="str">
        <f>HYPERLINK("https://www.suredividend.com/sure-analysis-research-database/","Castle Biosciences Inc")</f>
        <v>Castle Biosciences Inc</v>
      </c>
      <c r="C355" t="s">
        <v>1803</v>
      </c>
      <c r="D355">
        <v>12.38</v>
      </c>
      <c r="E355">
        <v>0</v>
      </c>
      <c r="F355" t="s">
        <v>1798</v>
      </c>
      <c r="G355" t="s">
        <v>1798</v>
      </c>
      <c r="H355">
        <v>0</v>
      </c>
      <c r="I355">
        <v>331.90443299999998</v>
      </c>
      <c r="J355">
        <v>0</v>
      </c>
      <c r="K355" t="s">
        <v>1798</v>
      </c>
      <c r="L355">
        <v>1.65396645636703</v>
      </c>
      <c r="M355">
        <v>29.59</v>
      </c>
      <c r="N355">
        <v>9.26</v>
      </c>
    </row>
    <row r="356" spans="1:14" x14ac:dyDescent="0.35">
      <c r="A356" s="1" t="s">
        <v>368</v>
      </c>
      <c r="B356" t="str">
        <f>HYPERLINK("https://www.suredividend.com/sure-analysis-research-database/","Constellium SE")</f>
        <v>Constellium SE</v>
      </c>
      <c r="C356" t="s">
        <v>1809</v>
      </c>
      <c r="D356">
        <v>16.64</v>
      </c>
      <c r="E356">
        <v>0</v>
      </c>
      <c r="F356" t="s">
        <v>1798</v>
      </c>
      <c r="G356" t="s">
        <v>1798</v>
      </c>
      <c r="H356">
        <v>0</v>
      </c>
      <c r="I356">
        <v>2401.1784910000001</v>
      </c>
      <c r="J356">
        <v>0</v>
      </c>
      <c r="K356" t="s">
        <v>1798</v>
      </c>
      <c r="L356">
        <v>1.4525751426020139</v>
      </c>
      <c r="M356">
        <v>19.46</v>
      </c>
      <c r="N356">
        <v>10.09</v>
      </c>
    </row>
    <row r="357" spans="1:14" x14ac:dyDescent="0.35">
      <c r="A357" s="1" t="s">
        <v>369</v>
      </c>
      <c r="B357" t="str">
        <f>HYPERLINK("https://www.suredividend.com/sure-analysis-research-database/","CapStar Financial Holdings Inc")</f>
        <v>CapStar Financial Holdings Inc</v>
      </c>
      <c r="C357" t="s">
        <v>1801</v>
      </c>
      <c r="D357">
        <v>14.72</v>
      </c>
      <c r="E357">
        <v>2.7943579796376E-2</v>
      </c>
      <c r="F357" t="s">
        <v>1798</v>
      </c>
      <c r="G357" t="s">
        <v>1798</v>
      </c>
      <c r="H357">
        <v>0.41132949460266399</v>
      </c>
      <c r="I357">
        <v>306.536404</v>
      </c>
      <c r="J357">
        <v>9.3966159180920847</v>
      </c>
      <c r="K357">
        <v>0.2724036388097113</v>
      </c>
      <c r="L357">
        <v>0.75347825306509109</v>
      </c>
      <c r="M357">
        <v>19.11</v>
      </c>
      <c r="N357">
        <v>10.86</v>
      </c>
    </row>
    <row r="358" spans="1:14" x14ac:dyDescent="0.35">
      <c r="A358" s="1" t="s">
        <v>370</v>
      </c>
      <c r="B358" t="str">
        <f>HYPERLINK("https://www.suredividend.com/sure-analysis-research-database/","Carriage Services, Inc.")</f>
        <v>Carriage Services, Inc.</v>
      </c>
      <c r="C358" t="s">
        <v>1802</v>
      </c>
      <c r="D358">
        <v>24.37</v>
      </c>
      <c r="E358">
        <v>1.8361180913636001E-2</v>
      </c>
      <c r="F358">
        <v>0</v>
      </c>
      <c r="G358">
        <v>8.4471771197698553E-2</v>
      </c>
      <c r="H358">
        <v>0.44746197886533101</v>
      </c>
      <c r="I358">
        <v>364.71542499999998</v>
      </c>
      <c r="J358">
        <v>11.744177265496701</v>
      </c>
      <c r="K358">
        <v>0.22261789993300049</v>
      </c>
      <c r="L358">
        <v>1.0892443302877739</v>
      </c>
      <c r="M358">
        <v>35.71</v>
      </c>
      <c r="N358">
        <v>22.35</v>
      </c>
    </row>
    <row r="359" spans="1:14" x14ac:dyDescent="0.35">
      <c r="A359" s="1" t="s">
        <v>371</v>
      </c>
      <c r="B359" t="str">
        <f>HYPERLINK("https://www.suredividend.com/sure-analysis-research-database/","CSW Industrials Inc")</f>
        <v>CSW Industrials Inc</v>
      </c>
      <c r="C359" t="s">
        <v>1799</v>
      </c>
      <c r="D359">
        <v>176.28</v>
      </c>
      <c r="E359">
        <v>4.0712557126360007E-3</v>
      </c>
      <c r="F359" t="s">
        <v>1798</v>
      </c>
      <c r="G359" t="s">
        <v>1798</v>
      </c>
      <c r="H359">
        <v>0.71768095702353707</v>
      </c>
      <c r="I359">
        <v>2739.3912</v>
      </c>
      <c r="J359">
        <v>28.066670081862242</v>
      </c>
      <c r="K359">
        <v>0.11409872130739861</v>
      </c>
      <c r="L359">
        <v>1.0095015728629999</v>
      </c>
      <c r="M359">
        <v>190.63</v>
      </c>
      <c r="N359">
        <v>111</v>
      </c>
    </row>
    <row r="360" spans="1:14" x14ac:dyDescent="0.35">
      <c r="A360" s="1" t="s">
        <v>372</v>
      </c>
      <c r="B360" t="str">
        <f>HYPERLINK("https://www.suredividend.com/sure-analysis-CTBI/","Community Trust Bancorp, Inc.")</f>
        <v>Community Trust Bancorp, Inc.</v>
      </c>
      <c r="C360" t="s">
        <v>1801</v>
      </c>
      <c r="D360">
        <v>34.42</v>
      </c>
      <c r="E360">
        <v>5.3457292271934923E-2</v>
      </c>
      <c r="F360">
        <v>4.5454545454545407E-2</v>
      </c>
      <c r="G360">
        <v>5.0246072638682637E-2</v>
      </c>
      <c r="H360">
        <v>1.7222339680037371</v>
      </c>
      <c r="I360">
        <v>619.26464199999998</v>
      </c>
      <c r="J360">
        <v>7.689671707892515</v>
      </c>
      <c r="K360">
        <v>0.38187005942433189</v>
      </c>
      <c r="L360">
        <v>0.79975585315583508</v>
      </c>
      <c r="M360">
        <v>44.84</v>
      </c>
      <c r="N360">
        <v>31.13</v>
      </c>
    </row>
    <row r="361" spans="1:14" x14ac:dyDescent="0.35">
      <c r="A361" s="1" t="s">
        <v>373</v>
      </c>
      <c r="B361" t="str">
        <f>HYPERLINK("https://www.suredividend.com/sure-analysis-research-database/","CTI BioPharma Corp")</f>
        <v>CTI BioPharma Corp</v>
      </c>
      <c r="C361" t="s">
        <v>1803</v>
      </c>
      <c r="D361">
        <v>9.09</v>
      </c>
      <c r="E361">
        <v>0</v>
      </c>
      <c r="F361" t="s">
        <v>1798</v>
      </c>
      <c r="G361" t="s">
        <v>1798</v>
      </c>
      <c r="H361">
        <v>0</v>
      </c>
      <c r="I361">
        <v>0</v>
      </c>
      <c r="J361">
        <v>0</v>
      </c>
      <c r="K361">
        <v>0</v>
      </c>
    </row>
    <row r="362" spans="1:14" x14ac:dyDescent="0.35">
      <c r="A362" s="1" t="s">
        <v>374</v>
      </c>
      <c r="B362" t="str">
        <f>HYPERLINK("https://www.suredividend.com/sure-analysis-research-database/","Cytek BioSciences Inc")</f>
        <v>Cytek BioSciences Inc</v>
      </c>
      <c r="C362" t="s">
        <v>1798</v>
      </c>
      <c r="D362">
        <v>5.0199999999999996</v>
      </c>
      <c r="E362">
        <v>0</v>
      </c>
      <c r="F362" t="s">
        <v>1798</v>
      </c>
      <c r="G362" t="s">
        <v>1798</v>
      </c>
      <c r="H362">
        <v>0</v>
      </c>
      <c r="I362">
        <v>684.52824399999997</v>
      </c>
      <c r="J362" t="s">
        <v>1798</v>
      </c>
      <c r="K362">
        <v>0</v>
      </c>
      <c r="L362">
        <v>1.2970007319698089</v>
      </c>
      <c r="M362">
        <v>15.85</v>
      </c>
      <c r="N362">
        <v>4.83</v>
      </c>
    </row>
    <row r="363" spans="1:14" x14ac:dyDescent="0.35">
      <c r="A363" s="1" t="s">
        <v>375</v>
      </c>
      <c r="B363" t="str">
        <f>HYPERLINK("https://www.suredividend.com/sure-analysis-research-database/","Cantaloupe Inc")</f>
        <v>Cantaloupe Inc</v>
      </c>
      <c r="C363" t="s">
        <v>1798</v>
      </c>
      <c r="D363">
        <v>6.92</v>
      </c>
      <c r="E363">
        <v>0</v>
      </c>
      <c r="F363" t="s">
        <v>1798</v>
      </c>
      <c r="G363" t="s">
        <v>1798</v>
      </c>
      <c r="H363">
        <v>0</v>
      </c>
      <c r="I363">
        <v>503.05123400000002</v>
      </c>
      <c r="J363">
        <v>0</v>
      </c>
      <c r="K363" t="s">
        <v>1798</v>
      </c>
      <c r="L363">
        <v>1.068401668341546</v>
      </c>
      <c r="M363">
        <v>8.2899999999999991</v>
      </c>
      <c r="N363">
        <v>2.77</v>
      </c>
    </row>
    <row r="364" spans="1:14" x14ac:dyDescent="0.35">
      <c r="A364" s="1" t="s">
        <v>376</v>
      </c>
      <c r="B364" t="str">
        <f>HYPERLINK("https://www.suredividend.com/sure-analysis-CTO/","CTO Realty Growth Inc")</f>
        <v>CTO Realty Growth Inc</v>
      </c>
      <c r="C364" t="s">
        <v>1800</v>
      </c>
      <c r="D364">
        <v>16.149999999999999</v>
      </c>
      <c r="E364">
        <v>9.4117647058823542E-2</v>
      </c>
      <c r="F364">
        <v>0</v>
      </c>
      <c r="G364">
        <v>0.3060407249698005</v>
      </c>
      <c r="H364">
        <v>1.4702802825589441</v>
      </c>
      <c r="I364">
        <v>366.57386300000002</v>
      </c>
      <c r="J364" t="s">
        <v>1798</v>
      </c>
      <c r="K364" t="s">
        <v>1798</v>
      </c>
      <c r="L364">
        <v>0.6573931157015771</v>
      </c>
      <c r="M364">
        <v>19.559999999999999</v>
      </c>
      <c r="N364">
        <v>15.01</v>
      </c>
    </row>
    <row r="365" spans="1:14" x14ac:dyDescent="0.35">
      <c r="A365" s="1" t="s">
        <v>377</v>
      </c>
      <c r="B365" t="str">
        <f>HYPERLINK("https://www.suredividend.com/sure-analysis-research-database/","Custom Truck One Source Inc")</f>
        <v>Custom Truck One Source Inc</v>
      </c>
      <c r="C365" t="s">
        <v>1798</v>
      </c>
      <c r="D365">
        <v>5.89</v>
      </c>
      <c r="E365">
        <v>0</v>
      </c>
      <c r="F365" t="s">
        <v>1798</v>
      </c>
      <c r="G365" t="s">
        <v>1798</v>
      </c>
      <c r="H365">
        <v>0</v>
      </c>
      <c r="I365">
        <v>1450.4866019999999</v>
      </c>
      <c r="J365">
        <v>0</v>
      </c>
      <c r="K365" t="s">
        <v>1798</v>
      </c>
      <c r="L365">
        <v>1.2008922549602961</v>
      </c>
      <c r="M365">
        <v>7.64</v>
      </c>
      <c r="N365">
        <v>5.53</v>
      </c>
    </row>
    <row r="366" spans="1:14" x14ac:dyDescent="0.35">
      <c r="A366" s="1" t="s">
        <v>378</v>
      </c>
      <c r="B366" t="str">
        <f>HYPERLINK("https://www.suredividend.com/sure-analysis-CTRE/","CareTrust REIT Inc")</f>
        <v>CareTrust REIT Inc</v>
      </c>
      <c r="C366" t="s">
        <v>1800</v>
      </c>
      <c r="D366">
        <v>21.54</v>
      </c>
      <c r="E366">
        <v>5.1996285979572891E-2</v>
      </c>
      <c r="F366">
        <v>1.8181818181818299E-2</v>
      </c>
      <c r="G366">
        <v>6.4341102720035348E-2</v>
      </c>
      <c r="H366">
        <v>1.0917602179207271</v>
      </c>
      <c r="I366">
        <v>2142.719157</v>
      </c>
      <c r="J366">
        <v>64.105285186537017</v>
      </c>
      <c r="K366">
        <v>3.2007042448570129</v>
      </c>
      <c r="L366">
        <v>0.68843497869143411</v>
      </c>
      <c r="M366">
        <v>21.78</v>
      </c>
      <c r="N366">
        <v>15.99</v>
      </c>
    </row>
    <row r="367" spans="1:14" x14ac:dyDescent="0.35">
      <c r="A367" s="1" t="s">
        <v>379</v>
      </c>
      <c r="B367" t="str">
        <f>HYPERLINK("https://www.suredividend.com/sure-analysis-research-database/","Citi Trends Inc")</f>
        <v>Citi Trends Inc</v>
      </c>
      <c r="C367" t="s">
        <v>1802</v>
      </c>
      <c r="D367">
        <v>23.04</v>
      </c>
      <c r="E367">
        <v>0</v>
      </c>
      <c r="F367" t="s">
        <v>1798</v>
      </c>
      <c r="G367" t="s">
        <v>1798</v>
      </c>
      <c r="H367">
        <v>0</v>
      </c>
      <c r="I367">
        <v>197.31587300000001</v>
      </c>
      <c r="J367">
        <v>10.088755152878621</v>
      </c>
      <c r="K367">
        <v>0</v>
      </c>
      <c r="L367">
        <v>1.668398817621942</v>
      </c>
      <c r="M367">
        <v>34.94</v>
      </c>
      <c r="N367">
        <v>14.21</v>
      </c>
    </row>
    <row r="368" spans="1:14" x14ac:dyDescent="0.35">
      <c r="A368" s="1" t="s">
        <v>380</v>
      </c>
      <c r="B368" t="str">
        <f>HYPERLINK("https://www.suredividend.com/sure-analysis-research-database/","CTS Corp.")</f>
        <v>CTS Corp.</v>
      </c>
      <c r="C368" t="s">
        <v>1804</v>
      </c>
      <c r="D368">
        <v>39.479999999999997</v>
      </c>
      <c r="E368">
        <v>4.0468205770690007E-3</v>
      </c>
      <c r="F368">
        <v>0</v>
      </c>
      <c r="G368">
        <v>0</v>
      </c>
      <c r="H368">
        <v>0.159768476382708</v>
      </c>
      <c r="I368">
        <v>1237.910284</v>
      </c>
      <c r="J368">
        <v>21.351011296503909</v>
      </c>
      <c r="K368">
        <v>8.8269876454534824E-2</v>
      </c>
      <c r="L368">
        <v>0.78148511958756206</v>
      </c>
      <c r="M368">
        <v>49.49</v>
      </c>
      <c r="N368">
        <v>35.82</v>
      </c>
    </row>
    <row r="369" spans="1:14" x14ac:dyDescent="0.35">
      <c r="A369" s="1" t="s">
        <v>381</v>
      </c>
      <c r="B369" t="str">
        <f>HYPERLINK("https://www.suredividend.com/sure-analysis-research-database/","Innovid Corp")</f>
        <v>Innovid Corp</v>
      </c>
      <c r="C369" t="s">
        <v>1798</v>
      </c>
      <c r="D369">
        <v>1</v>
      </c>
      <c r="E369">
        <v>0</v>
      </c>
      <c r="F369" t="s">
        <v>1798</v>
      </c>
      <c r="G369" t="s">
        <v>1798</v>
      </c>
      <c r="H369">
        <v>0</v>
      </c>
      <c r="I369">
        <v>139.30325400000001</v>
      </c>
      <c r="J369" t="s">
        <v>1798</v>
      </c>
      <c r="K369">
        <v>0</v>
      </c>
      <c r="L369">
        <v>1.407286689348312</v>
      </c>
      <c r="M369">
        <v>3.74</v>
      </c>
      <c r="N369">
        <v>0.75</v>
      </c>
    </row>
    <row r="370" spans="1:14" x14ac:dyDescent="0.35">
      <c r="A370" s="1" t="s">
        <v>382</v>
      </c>
      <c r="B370" t="str">
        <f>HYPERLINK("https://www.suredividend.com/sure-analysis-research-database/","Customers Bancorp Inc")</f>
        <v>Customers Bancorp Inc</v>
      </c>
      <c r="C370" t="s">
        <v>1801</v>
      </c>
      <c r="D370">
        <v>31.86</v>
      </c>
      <c r="E370">
        <v>0</v>
      </c>
      <c r="F370" t="s">
        <v>1798</v>
      </c>
      <c r="G370" t="s">
        <v>1798</v>
      </c>
      <c r="H370">
        <v>0</v>
      </c>
      <c r="I370">
        <v>987.66</v>
      </c>
      <c r="J370">
        <v>5.4488880552138097</v>
      </c>
      <c r="K370">
        <v>0</v>
      </c>
      <c r="L370">
        <v>2.1901335791292018</v>
      </c>
      <c r="M370">
        <v>45</v>
      </c>
      <c r="N370">
        <v>6.87</v>
      </c>
    </row>
    <row r="371" spans="1:14" x14ac:dyDescent="0.35">
      <c r="A371" s="1" t="s">
        <v>383</v>
      </c>
      <c r="B371" t="str">
        <f>HYPERLINK("https://www.suredividend.com/sure-analysis-research-database/","CURO Group Holdings Corp")</f>
        <v>CURO Group Holdings Corp</v>
      </c>
      <c r="C371" t="s">
        <v>1801</v>
      </c>
      <c r="D371">
        <v>0.94000000000000006</v>
      </c>
      <c r="E371">
        <v>0</v>
      </c>
      <c r="F371" t="s">
        <v>1798</v>
      </c>
      <c r="G371" t="s">
        <v>1798</v>
      </c>
      <c r="H371">
        <v>0</v>
      </c>
      <c r="I371">
        <v>38.774959000000003</v>
      </c>
      <c r="J371" t="s">
        <v>1798</v>
      </c>
      <c r="K371">
        <v>0</v>
      </c>
      <c r="L371">
        <v>2.7341709368189742</v>
      </c>
      <c r="M371">
        <v>5.57</v>
      </c>
      <c r="N371">
        <v>0.91239999999999999</v>
      </c>
    </row>
    <row r="372" spans="1:14" x14ac:dyDescent="0.35">
      <c r="A372" s="1" t="s">
        <v>384</v>
      </c>
      <c r="B372" t="str">
        <f>HYPERLINK("https://www.suredividend.com/sure-analysis-research-database/","Torrid Holdings Inc")</f>
        <v>Torrid Holdings Inc</v>
      </c>
      <c r="C372" t="s">
        <v>1798</v>
      </c>
      <c r="D372">
        <v>1.98</v>
      </c>
      <c r="E372">
        <v>0</v>
      </c>
      <c r="F372" t="s">
        <v>1798</v>
      </c>
      <c r="G372" t="s">
        <v>1798</v>
      </c>
      <c r="H372">
        <v>0</v>
      </c>
      <c r="I372">
        <v>206.06149500000001</v>
      </c>
      <c r="J372">
        <v>0</v>
      </c>
      <c r="K372" t="s">
        <v>1798</v>
      </c>
      <c r="L372">
        <v>1.3970292800835951</v>
      </c>
      <c r="M372">
        <v>5.19</v>
      </c>
      <c r="N372">
        <v>1.21</v>
      </c>
    </row>
    <row r="373" spans="1:14" x14ac:dyDescent="0.35">
      <c r="A373" s="1" t="s">
        <v>385</v>
      </c>
      <c r="B373" t="str">
        <f>HYPERLINK("https://www.suredividend.com/sure-analysis-research-database/","Cutera Inc")</f>
        <v>Cutera Inc</v>
      </c>
      <c r="C373" t="s">
        <v>1803</v>
      </c>
      <c r="D373">
        <v>3.43</v>
      </c>
      <c r="E373">
        <v>0</v>
      </c>
      <c r="F373" t="s">
        <v>1798</v>
      </c>
      <c r="G373" t="s">
        <v>1798</v>
      </c>
      <c r="H373">
        <v>0</v>
      </c>
      <c r="I373">
        <v>68.407490999999993</v>
      </c>
      <c r="J373" t="s">
        <v>1798</v>
      </c>
      <c r="K373">
        <v>0</v>
      </c>
      <c r="L373">
        <v>1.8504914464692579</v>
      </c>
      <c r="M373">
        <v>52.89</v>
      </c>
      <c r="N373">
        <v>3.24</v>
      </c>
    </row>
    <row r="374" spans="1:14" x14ac:dyDescent="0.35">
      <c r="A374" s="1" t="s">
        <v>386</v>
      </c>
      <c r="B374" t="str">
        <f>HYPERLINK("https://www.suredividend.com/sure-analysis-research-database/","CVB Financial Corp.")</f>
        <v>CVB Financial Corp.</v>
      </c>
      <c r="C374" t="s">
        <v>1801</v>
      </c>
      <c r="D374">
        <v>15.72</v>
      </c>
      <c r="E374">
        <v>4.9551413941507007E-2</v>
      </c>
      <c r="F374">
        <v>0</v>
      </c>
      <c r="G374">
        <v>7.3940923785779322E-2</v>
      </c>
      <c r="H374">
        <v>0.77894822716050505</v>
      </c>
      <c r="I374">
        <v>2190.489928</v>
      </c>
      <c r="J374">
        <v>8.970322359608998</v>
      </c>
      <c r="K374">
        <v>0.4400837441584774</v>
      </c>
      <c r="L374">
        <v>0.96207057307856703</v>
      </c>
      <c r="M374">
        <v>27.51</v>
      </c>
      <c r="N374">
        <v>10.23</v>
      </c>
    </row>
    <row r="375" spans="1:14" x14ac:dyDescent="0.35">
      <c r="A375" s="1" t="s">
        <v>387</v>
      </c>
      <c r="B375" t="str">
        <f>HYPERLINK("https://www.suredividend.com/sure-analysis-research-database/","Cavco Industries Inc")</f>
        <v>Cavco Industries Inc</v>
      </c>
      <c r="C375" t="s">
        <v>1802</v>
      </c>
      <c r="D375">
        <v>261.94</v>
      </c>
      <c r="E375">
        <v>0</v>
      </c>
      <c r="F375" t="s">
        <v>1798</v>
      </c>
      <c r="G375" t="s">
        <v>1798</v>
      </c>
      <c r="H375">
        <v>0</v>
      </c>
      <c r="I375">
        <v>2272.900005</v>
      </c>
      <c r="J375">
        <v>9.9991641568085736</v>
      </c>
      <c r="K375">
        <v>0</v>
      </c>
      <c r="L375">
        <v>1.591123681285844</v>
      </c>
      <c r="M375">
        <v>318</v>
      </c>
      <c r="N375">
        <v>193.91</v>
      </c>
    </row>
    <row r="376" spans="1:14" x14ac:dyDescent="0.35">
      <c r="A376" s="1" t="s">
        <v>388</v>
      </c>
      <c r="B376" t="str">
        <f>HYPERLINK("https://www.suredividend.com/sure-analysis-research-database/","Calavo Growers, Inc")</f>
        <v>Calavo Growers, Inc</v>
      </c>
      <c r="C376" t="s">
        <v>1805</v>
      </c>
      <c r="D376">
        <v>24.61</v>
      </c>
      <c r="E376">
        <v>2.3578454934478001E-2</v>
      </c>
      <c r="F376" t="s">
        <v>1798</v>
      </c>
      <c r="G376" t="s">
        <v>1798</v>
      </c>
      <c r="H376">
        <v>0.58026577593751005</v>
      </c>
      <c r="I376">
        <v>437.09971100000001</v>
      </c>
      <c r="J376" t="s">
        <v>1798</v>
      </c>
      <c r="K376" t="s">
        <v>1798</v>
      </c>
      <c r="L376">
        <v>0.65255183506000103</v>
      </c>
      <c r="M376">
        <v>38.67</v>
      </c>
      <c r="N376">
        <v>22.24</v>
      </c>
    </row>
    <row r="377" spans="1:14" x14ac:dyDescent="0.35">
      <c r="A377" s="1" t="s">
        <v>389</v>
      </c>
      <c r="B377" t="str">
        <f>HYPERLINK("https://www.suredividend.com/sure-analysis-research-database/","CVR Energy Inc")</f>
        <v>CVR Energy Inc</v>
      </c>
      <c r="C377" t="s">
        <v>1808</v>
      </c>
      <c r="D377">
        <v>31.38</v>
      </c>
      <c r="E377">
        <v>5.9063305453109997E-2</v>
      </c>
      <c r="F377">
        <v>1.5</v>
      </c>
      <c r="G377">
        <v>5.9223841048812183E-2</v>
      </c>
      <c r="H377">
        <v>1.8534065251186209</v>
      </c>
      <c r="I377">
        <v>3154.6501969999999</v>
      </c>
      <c r="J377">
        <v>5.9634219217769378</v>
      </c>
      <c r="K377">
        <v>0.35235865496551733</v>
      </c>
      <c r="L377">
        <v>0.71832645967583209</v>
      </c>
      <c r="M377">
        <v>39.33</v>
      </c>
      <c r="N377">
        <v>22.3</v>
      </c>
    </row>
    <row r="378" spans="1:14" x14ac:dyDescent="0.35">
      <c r="A378" s="1" t="s">
        <v>390</v>
      </c>
      <c r="B378" t="str">
        <f>HYPERLINK("https://www.suredividend.com/sure-analysis-research-database/","Covenant Logistics Group Inc")</f>
        <v>Covenant Logistics Group Inc</v>
      </c>
      <c r="C378" t="s">
        <v>1798</v>
      </c>
      <c r="D378">
        <v>43.46</v>
      </c>
      <c r="E378">
        <v>9.3729214527550012E-3</v>
      </c>
      <c r="F378" t="s">
        <v>1798</v>
      </c>
      <c r="G378" t="s">
        <v>1798</v>
      </c>
      <c r="H378">
        <v>0.40734716633676799</v>
      </c>
      <c r="I378">
        <v>460.53410300000002</v>
      </c>
      <c r="J378">
        <v>5.0654344413036068</v>
      </c>
      <c r="K378">
        <v>6.3847518234603148E-2</v>
      </c>
      <c r="L378">
        <v>0.98128984914124706</v>
      </c>
      <c r="M378">
        <v>57.32</v>
      </c>
      <c r="N378">
        <v>28.57</v>
      </c>
    </row>
    <row r="379" spans="1:14" x14ac:dyDescent="0.35">
      <c r="A379" s="1" t="s">
        <v>391</v>
      </c>
      <c r="B379" t="str">
        <f>HYPERLINK("https://www.suredividend.com/sure-analysis-research-database/","Commvault Systems Inc")</f>
        <v>Commvault Systems Inc</v>
      </c>
      <c r="C379" t="s">
        <v>1804</v>
      </c>
      <c r="D379">
        <v>66.92</v>
      </c>
      <c r="E379">
        <v>0</v>
      </c>
      <c r="F379" t="s">
        <v>1798</v>
      </c>
      <c r="G379" t="s">
        <v>1798</v>
      </c>
      <c r="H379">
        <v>0</v>
      </c>
      <c r="I379">
        <v>2936.0957939999998</v>
      </c>
      <c r="J379" t="s">
        <v>1798</v>
      </c>
      <c r="K379">
        <v>0</v>
      </c>
      <c r="L379">
        <v>0.71054309875761101</v>
      </c>
      <c r="M379">
        <v>78.8</v>
      </c>
      <c r="N379">
        <v>53.2</v>
      </c>
    </row>
    <row r="380" spans="1:14" x14ac:dyDescent="0.35">
      <c r="A380" s="1" t="s">
        <v>392</v>
      </c>
      <c r="B380" t="str">
        <f>HYPERLINK("https://www.suredividend.com/sure-analysis-research-database/","Cvent Holding Corp")</f>
        <v>Cvent Holding Corp</v>
      </c>
      <c r="C380" t="s">
        <v>1798</v>
      </c>
      <c r="D380">
        <v>8.52</v>
      </c>
      <c r="E380">
        <v>0</v>
      </c>
      <c r="F380" t="s">
        <v>1798</v>
      </c>
      <c r="G380" t="s">
        <v>1798</v>
      </c>
      <c r="H380">
        <v>0</v>
      </c>
      <c r="I380">
        <v>0</v>
      </c>
      <c r="J380">
        <v>0</v>
      </c>
      <c r="K380" t="s">
        <v>1798</v>
      </c>
    </row>
    <row r="381" spans="1:14" x14ac:dyDescent="0.35">
      <c r="A381" s="1" t="s">
        <v>393</v>
      </c>
      <c r="B381" t="str">
        <f>HYPERLINK("https://www.suredividend.com/sure-analysis-CWEN/","Clearway Energy Inc")</f>
        <v>Clearway Energy Inc</v>
      </c>
      <c r="C381" t="s">
        <v>1806</v>
      </c>
      <c r="D381">
        <v>21.58</v>
      </c>
      <c r="E381">
        <v>4.1705282669138102E-2</v>
      </c>
      <c r="F381">
        <v>7.9633740288568289E-2</v>
      </c>
      <c r="G381">
        <v>3.2872340229946451E-2</v>
      </c>
      <c r="H381">
        <v>1.4814459086158189</v>
      </c>
      <c r="I381">
        <v>2487.1252249999998</v>
      </c>
      <c r="J381">
        <v>30.33079542304878</v>
      </c>
      <c r="K381">
        <v>2.1136337688911668</v>
      </c>
      <c r="L381">
        <v>0.80303296953516812</v>
      </c>
      <c r="M381">
        <v>34.75</v>
      </c>
      <c r="N381">
        <v>18.59</v>
      </c>
    </row>
    <row r="382" spans="1:14" x14ac:dyDescent="0.35">
      <c r="A382" s="1" t="s">
        <v>394</v>
      </c>
      <c r="B382" t="str">
        <f>HYPERLINK("https://www.suredividend.com/sure-analysis-CWH/","Camping World Holdings Inc")</f>
        <v>Camping World Holdings Inc</v>
      </c>
      <c r="C382" t="s">
        <v>1802</v>
      </c>
      <c r="D382">
        <v>17.14</v>
      </c>
      <c r="E382">
        <v>2.917152858809802E-2</v>
      </c>
      <c r="F382">
        <v>-0.8</v>
      </c>
      <c r="G382">
        <v>9.3362073943278112E-2</v>
      </c>
      <c r="H382">
        <v>1.9452555571081791</v>
      </c>
      <c r="I382">
        <v>763.59145599999999</v>
      </c>
      <c r="J382">
        <v>19.196326019407721</v>
      </c>
      <c r="K382">
        <v>2.6234060109348341</v>
      </c>
      <c r="L382">
        <v>1.5340640619093571</v>
      </c>
      <c r="M382">
        <v>32.700000000000003</v>
      </c>
      <c r="N382">
        <v>16.89</v>
      </c>
    </row>
    <row r="383" spans="1:14" x14ac:dyDescent="0.35">
      <c r="A383" s="1" t="s">
        <v>395</v>
      </c>
      <c r="B383" t="str">
        <f>HYPERLINK("https://www.suredividend.com/sure-analysis-research-database/","Cushman &amp; Wakefield plc")</f>
        <v>Cushman &amp; Wakefield plc</v>
      </c>
      <c r="C383" t="s">
        <v>1800</v>
      </c>
      <c r="D383">
        <v>7.35</v>
      </c>
      <c r="E383">
        <v>0</v>
      </c>
      <c r="F383" t="s">
        <v>1798</v>
      </c>
      <c r="G383" t="s">
        <v>1798</v>
      </c>
      <c r="H383">
        <v>0</v>
      </c>
      <c r="I383">
        <v>1669.5567699999999</v>
      </c>
      <c r="J383" t="s">
        <v>1798</v>
      </c>
      <c r="K383">
        <v>0</v>
      </c>
      <c r="L383">
        <v>1.6152477606076989</v>
      </c>
      <c r="M383">
        <v>15.63</v>
      </c>
      <c r="N383">
        <v>6.64</v>
      </c>
    </row>
    <row r="384" spans="1:14" x14ac:dyDescent="0.35">
      <c r="A384" s="1" t="s">
        <v>396</v>
      </c>
      <c r="B384" t="str">
        <f>HYPERLINK("https://www.suredividend.com/sure-analysis-research-database/","Casella Waste Systems, Inc.")</f>
        <v>Casella Waste Systems, Inc.</v>
      </c>
      <c r="C384" t="s">
        <v>1799</v>
      </c>
      <c r="D384">
        <v>77.239999999999995</v>
      </c>
      <c r="E384">
        <v>0</v>
      </c>
      <c r="F384" t="s">
        <v>1798</v>
      </c>
      <c r="G384" t="s">
        <v>1798</v>
      </c>
      <c r="H384">
        <v>0</v>
      </c>
      <c r="I384">
        <v>4400.6755450000001</v>
      </c>
      <c r="J384">
        <v>109.657759456779</v>
      </c>
      <c r="K384">
        <v>0</v>
      </c>
      <c r="L384">
        <v>0.61806118437937207</v>
      </c>
      <c r="M384">
        <v>95.78</v>
      </c>
      <c r="N384">
        <v>72.33</v>
      </c>
    </row>
    <row r="385" spans="1:14" x14ac:dyDescent="0.35">
      <c r="A385" s="1" t="s">
        <v>397</v>
      </c>
      <c r="B385" t="str">
        <f>HYPERLINK("https://www.suredividend.com/sure-analysis-CWT/","California Water Service Group")</f>
        <v>California Water Service Group</v>
      </c>
      <c r="C385" t="s">
        <v>1806</v>
      </c>
      <c r="D385">
        <v>47.95</v>
      </c>
      <c r="E385">
        <v>2.1689259645464021E-2</v>
      </c>
      <c r="F385">
        <v>4.0000000000000042E-2</v>
      </c>
      <c r="G385">
        <v>6.756521663494941E-2</v>
      </c>
      <c r="H385">
        <v>1.022750526442292</v>
      </c>
      <c r="I385">
        <v>2766.8108999999999</v>
      </c>
      <c r="J385">
        <v>44.067322333004178</v>
      </c>
      <c r="K385">
        <v>0.90508896145335582</v>
      </c>
      <c r="L385">
        <v>0.73377897390367208</v>
      </c>
      <c r="M385">
        <v>65.22</v>
      </c>
      <c r="N385">
        <v>45.44</v>
      </c>
    </row>
    <row r="386" spans="1:14" x14ac:dyDescent="0.35">
      <c r="A386" s="1" t="s">
        <v>398</v>
      </c>
      <c r="B386" t="str">
        <f>HYPERLINK("https://www.suredividend.com/sure-analysis-research-database/","CoreCivic Inc")</f>
        <v>CoreCivic Inc</v>
      </c>
      <c r="C386" t="s">
        <v>1800</v>
      </c>
      <c r="D386">
        <v>11.02</v>
      </c>
      <c r="E386">
        <v>0</v>
      </c>
      <c r="F386" t="s">
        <v>1798</v>
      </c>
      <c r="G386" t="s">
        <v>1798</v>
      </c>
      <c r="H386">
        <v>0</v>
      </c>
      <c r="I386">
        <v>1251.9821999999999</v>
      </c>
      <c r="J386">
        <v>10.43448931116389</v>
      </c>
      <c r="K386">
        <v>0</v>
      </c>
      <c r="L386">
        <v>0.57857146057703202</v>
      </c>
      <c r="M386">
        <v>13.5</v>
      </c>
      <c r="N386">
        <v>7.84</v>
      </c>
    </row>
    <row r="387" spans="1:14" x14ac:dyDescent="0.35">
      <c r="A387" s="1" t="s">
        <v>399</v>
      </c>
      <c r="B387" t="str">
        <f>HYPERLINK("https://www.suredividend.com/sure-analysis-research-database/","Community Health Systems, Inc.")</f>
        <v>Community Health Systems, Inc.</v>
      </c>
      <c r="C387" t="s">
        <v>1803</v>
      </c>
      <c r="D387">
        <v>2.62</v>
      </c>
      <c r="E387">
        <v>0</v>
      </c>
      <c r="F387" t="s">
        <v>1798</v>
      </c>
      <c r="G387" t="s">
        <v>1798</v>
      </c>
      <c r="H387">
        <v>0</v>
      </c>
      <c r="I387">
        <v>358.399497</v>
      </c>
      <c r="J387">
        <v>1.261970058521126</v>
      </c>
      <c r="K387">
        <v>0</v>
      </c>
      <c r="L387">
        <v>2.0491070915137959</v>
      </c>
      <c r="M387">
        <v>8.01</v>
      </c>
      <c r="N387">
        <v>1.88</v>
      </c>
    </row>
    <row r="388" spans="1:14" x14ac:dyDescent="0.35">
      <c r="A388" s="1" t="s">
        <v>400</v>
      </c>
      <c r="B388" t="str">
        <f>HYPERLINK("https://www.suredividend.com/sure-analysis-research-database/","CryoPort Inc")</f>
        <v>CryoPort Inc</v>
      </c>
      <c r="C388" t="s">
        <v>1799</v>
      </c>
      <c r="D388">
        <v>11.84</v>
      </c>
      <c r="E388">
        <v>0</v>
      </c>
      <c r="F388" t="s">
        <v>1798</v>
      </c>
      <c r="G388" t="s">
        <v>1798</v>
      </c>
      <c r="H388">
        <v>0</v>
      </c>
      <c r="I388">
        <v>578.72757300000001</v>
      </c>
      <c r="J388">
        <v>0</v>
      </c>
      <c r="K388" t="s">
        <v>1798</v>
      </c>
      <c r="L388">
        <v>2.2900465229188378</v>
      </c>
      <c r="M388">
        <v>29.98</v>
      </c>
      <c r="N388">
        <v>11.64</v>
      </c>
    </row>
    <row r="389" spans="1:14" x14ac:dyDescent="0.35">
      <c r="A389" s="1" t="s">
        <v>401</v>
      </c>
      <c r="B389" t="str">
        <f>HYPERLINK("https://www.suredividend.com/sure-analysis-research-database/","Cytokinetics Inc")</f>
        <v>Cytokinetics Inc</v>
      </c>
      <c r="C389" t="s">
        <v>1803</v>
      </c>
      <c r="D389">
        <v>34.21</v>
      </c>
      <c r="E389">
        <v>0</v>
      </c>
      <c r="F389" t="s">
        <v>1798</v>
      </c>
      <c r="G389" t="s">
        <v>1798</v>
      </c>
      <c r="H389">
        <v>0</v>
      </c>
      <c r="I389">
        <v>3284.091512</v>
      </c>
      <c r="J389" t="s">
        <v>1798</v>
      </c>
      <c r="K389">
        <v>0</v>
      </c>
      <c r="M389">
        <v>49.66</v>
      </c>
      <c r="N389">
        <v>25.98</v>
      </c>
    </row>
    <row r="390" spans="1:14" x14ac:dyDescent="0.35">
      <c r="A390" s="1" t="s">
        <v>402</v>
      </c>
      <c r="B390" t="str">
        <f>HYPERLINK("https://www.suredividend.com/sure-analysis-research-database/","Citizens &amp; Northern Corp")</f>
        <v>Citizens &amp; Northern Corp</v>
      </c>
      <c r="C390" t="s">
        <v>1801</v>
      </c>
      <c r="D390">
        <v>17.95</v>
      </c>
      <c r="E390">
        <v>6.0124071079917997E-2</v>
      </c>
      <c r="F390">
        <v>0</v>
      </c>
      <c r="G390">
        <v>0.22865967908314719</v>
      </c>
      <c r="H390">
        <v>1.079227075884531</v>
      </c>
      <c r="I390">
        <v>273.85552100000001</v>
      </c>
      <c r="J390">
        <v>11.258654877898371</v>
      </c>
      <c r="K390">
        <v>0.67875916722297558</v>
      </c>
      <c r="L390">
        <v>0.553257336967522</v>
      </c>
      <c r="M390">
        <v>23.28</v>
      </c>
      <c r="N390">
        <v>16.27</v>
      </c>
    </row>
    <row r="391" spans="1:14" x14ac:dyDescent="0.35">
      <c r="A391" s="1" t="s">
        <v>403</v>
      </c>
      <c r="B391" t="str">
        <f>HYPERLINK("https://www.suredividend.com/sure-analysis-research-database/","Dana Inc")</f>
        <v>Dana Inc</v>
      </c>
      <c r="C391" t="s">
        <v>1802</v>
      </c>
      <c r="D391">
        <v>13.13</v>
      </c>
      <c r="E391">
        <v>3.0132902517126001E-2</v>
      </c>
      <c r="F391" t="s">
        <v>1798</v>
      </c>
      <c r="G391" t="s">
        <v>1798</v>
      </c>
      <c r="H391">
        <v>0.39564501004987201</v>
      </c>
      <c r="I391">
        <v>1895.1422889999999</v>
      </c>
      <c r="J391" t="s">
        <v>1798</v>
      </c>
      <c r="K391" t="s">
        <v>1798</v>
      </c>
      <c r="L391">
        <v>1.6283965527626509</v>
      </c>
      <c r="M391">
        <v>19.64</v>
      </c>
      <c r="N391">
        <v>12.03</v>
      </c>
    </row>
    <row r="392" spans="1:14" x14ac:dyDescent="0.35">
      <c r="A392" s="1" t="s">
        <v>404</v>
      </c>
      <c r="B392" t="str">
        <f>HYPERLINK("https://www.suredividend.com/sure-analysis-research-database/","Day One Biopharmaceuticals Inc")</f>
        <v>Day One Biopharmaceuticals Inc</v>
      </c>
      <c r="C392" t="s">
        <v>1798</v>
      </c>
      <c r="D392">
        <v>11.07</v>
      </c>
      <c r="E392">
        <v>0</v>
      </c>
      <c r="F392" t="s">
        <v>1798</v>
      </c>
      <c r="G392" t="s">
        <v>1798</v>
      </c>
      <c r="H392">
        <v>0</v>
      </c>
      <c r="I392">
        <v>962.80017599999996</v>
      </c>
      <c r="J392">
        <v>0</v>
      </c>
      <c r="K392" t="s">
        <v>1798</v>
      </c>
      <c r="L392">
        <v>0.90388965762360007</v>
      </c>
      <c r="M392">
        <v>25.77</v>
      </c>
      <c r="N392">
        <v>10.51</v>
      </c>
    </row>
    <row r="393" spans="1:14" x14ac:dyDescent="0.35">
      <c r="A393" s="1" t="s">
        <v>405</v>
      </c>
      <c r="B393" t="str">
        <f>HYPERLINK("https://www.suredividend.com/sure-analysis-research-database/","Designer Brands Inc")</f>
        <v>Designer Brands Inc</v>
      </c>
      <c r="C393" t="s">
        <v>1802</v>
      </c>
      <c r="D393">
        <v>11.74</v>
      </c>
      <c r="E393">
        <v>1.6916578314049E-2</v>
      </c>
      <c r="F393" t="s">
        <v>1798</v>
      </c>
      <c r="G393" t="s">
        <v>1798</v>
      </c>
      <c r="H393">
        <v>0.19860062940694401</v>
      </c>
      <c r="I393">
        <v>591.69351099999994</v>
      </c>
      <c r="J393">
        <v>4.2595764933877573</v>
      </c>
      <c r="K393">
        <v>9.6878355808265385E-2</v>
      </c>
      <c r="L393">
        <v>1.529421089526944</v>
      </c>
      <c r="M393">
        <v>16.07</v>
      </c>
      <c r="N393">
        <v>6.08</v>
      </c>
    </row>
    <row r="394" spans="1:14" x14ac:dyDescent="0.35">
      <c r="A394" s="1" t="s">
        <v>406</v>
      </c>
      <c r="B394" t="str">
        <f>HYPERLINK("https://www.suredividend.com/sure-analysis-research-database/","DigitalBridge Group Inc")</f>
        <v>DigitalBridge Group Inc</v>
      </c>
      <c r="C394" t="s">
        <v>1798</v>
      </c>
      <c r="D394">
        <v>16.68</v>
      </c>
      <c r="E394">
        <v>2.3956074632579998E-3</v>
      </c>
      <c r="F394" t="s">
        <v>1798</v>
      </c>
      <c r="G394" t="s">
        <v>1798</v>
      </c>
      <c r="H394">
        <v>3.9958732487157013E-2</v>
      </c>
      <c r="I394">
        <v>2710.0611990000002</v>
      </c>
      <c r="J394" t="s">
        <v>1798</v>
      </c>
      <c r="K394" t="s">
        <v>1798</v>
      </c>
      <c r="L394">
        <v>2.1353325380424688</v>
      </c>
      <c r="M394">
        <v>18.420000000000002</v>
      </c>
      <c r="N394">
        <v>9.9700000000000006</v>
      </c>
    </row>
    <row r="395" spans="1:14" x14ac:dyDescent="0.35">
      <c r="A395" s="1" t="s">
        <v>407</v>
      </c>
      <c r="B395" t="str">
        <f>HYPERLINK("https://www.suredividend.com/sure-analysis-research-database/","Dakota Gold Corp")</f>
        <v>Dakota Gold Corp</v>
      </c>
      <c r="C395" t="s">
        <v>1798</v>
      </c>
      <c r="D395">
        <v>2.85</v>
      </c>
      <c r="E395">
        <v>0</v>
      </c>
      <c r="F395" t="s">
        <v>1798</v>
      </c>
      <c r="G395" t="s">
        <v>1798</v>
      </c>
      <c r="H395">
        <v>0</v>
      </c>
      <c r="I395">
        <v>224.45418699999999</v>
      </c>
      <c r="J395">
        <v>0</v>
      </c>
      <c r="K395" t="s">
        <v>1798</v>
      </c>
      <c r="L395">
        <v>1.1406677343592591</v>
      </c>
      <c r="M395">
        <v>4.03</v>
      </c>
      <c r="N395">
        <v>2.36</v>
      </c>
    </row>
    <row r="396" spans="1:14" x14ac:dyDescent="0.35">
      <c r="A396" s="1" t="s">
        <v>408</v>
      </c>
      <c r="B396" t="str">
        <f>HYPERLINK("https://www.suredividend.com/sure-analysis-research-database/","DocGo Inc")</f>
        <v>DocGo Inc</v>
      </c>
      <c r="C396" t="s">
        <v>1798</v>
      </c>
      <c r="D396">
        <v>5.86</v>
      </c>
      <c r="E396">
        <v>0</v>
      </c>
      <c r="F396" t="s">
        <v>1798</v>
      </c>
      <c r="G396" t="s">
        <v>1798</v>
      </c>
      <c r="H396">
        <v>0</v>
      </c>
      <c r="I396">
        <v>608.18596000000002</v>
      </c>
      <c r="J396">
        <v>105.9148892744158</v>
      </c>
      <c r="K396">
        <v>0</v>
      </c>
      <c r="L396">
        <v>1.0369757604387071</v>
      </c>
      <c r="M396">
        <v>11.27</v>
      </c>
      <c r="N396">
        <v>4.88</v>
      </c>
    </row>
    <row r="397" spans="1:14" x14ac:dyDescent="0.35">
      <c r="A397" s="1" t="s">
        <v>409</v>
      </c>
      <c r="B397" t="str">
        <f>HYPERLINK("https://www.suredividend.com/sure-analysis-research-database/","Ducommun Inc.")</f>
        <v>Ducommun Inc.</v>
      </c>
      <c r="C397" t="s">
        <v>1799</v>
      </c>
      <c r="D397">
        <v>46.26</v>
      </c>
      <c r="E397">
        <v>0</v>
      </c>
      <c r="F397" t="s">
        <v>1798</v>
      </c>
      <c r="G397" t="s">
        <v>1798</v>
      </c>
      <c r="H397">
        <v>0</v>
      </c>
      <c r="I397">
        <v>673.98918700000002</v>
      </c>
      <c r="J397">
        <v>27.9107664046712</v>
      </c>
      <c r="K397">
        <v>0</v>
      </c>
      <c r="L397">
        <v>0.90334125095656503</v>
      </c>
      <c r="M397">
        <v>58.28</v>
      </c>
      <c r="N397">
        <v>40.24</v>
      </c>
    </row>
    <row r="398" spans="1:14" x14ac:dyDescent="0.35">
      <c r="A398" s="1" t="s">
        <v>410</v>
      </c>
      <c r="B398" t="str">
        <f>HYPERLINK("https://www.suredividend.com/sure-analysis-research-database/","Dime Community Bancshares Inc")</f>
        <v>Dime Community Bancshares Inc</v>
      </c>
      <c r="C398" t="s">
        <v>1801</v>
      </c>
      <c r="D398">
        <v>19.174099999999999</v>
      </c>
      <c r="E398">
        <v>3.6840520661247003E-2</v>
      </c>
      <c r="F398">
        <v>4.1666666666666741E-2</v>
      </c>
      <c r="G398">
        <v>0.1229551070568209</v>
      </c>
      <c r="H398">
        <v>0.70638382721082904</v>
      </c>
      <c r="I398">
        <v>744.47126600000001</v>
      </c>
      <c r="J398">
        <v>5.4996510667008938</v>
      </c>
      <c r="K398">
        <v>0.19898135977769829</v>
      </c>
      <c r="L398">
        <v>1.287546443565754</v>
      </c>
      <c r="M398">
        <v>34.020000000000003</v>
      </c>
      <c r="N398">
        <v>14.79</v>
      </c>
    </row>
    <row r="399" spans="1:14" x14ac:dyDescent="0.35">
      <c r="A399" s="1" t="s">
        <v>411</v>
      </c>
      <c r="B399" t="str">
        <f>HYPERLINK("https://www.suredividend.com/sure-analysis-research-database/","Deciphera Pharmaceuticals Inc")</f>
        <v>Deciphera Pharmaceuticals Inc</v>
      </c>
      <c r="C399" t="s">
        <v>1803</v>
      </c>
      <c r="D399">
        <v>10.95</v>
      </c>
      <c r="E399">
        <v>0</v>
      </c>
      <c r="F399" t="s">
        <v>1798</v>
      </c>
      <c r="G399" t="s">
        <v>1798</v>
      </c>
      <c r="H399">
        <v>0</v>
      </c>
      <c r="I399">
        <v>863.09171300000003</v>
      </c>
      <c r="J399" t="s">
        <v>1798</v>
      </c>
      <c r="K399">
        <v>0</v>
      </c>
      <c r="L399">
        <v>0.97123882299820208</v>
      </c>
      <c r="M399">
        <v>22.76</v>
      </c>
      <c r="N399">
        <v>10.49</v>
      </c>
    </row>
    <row r="400" spans="1:14" x14ac:dyDescent="0.35">
      <c r="A400" s="1" t="s">
        <v>412</v>
      </c>
      <c r="B400" t="str">
        <f>HYPERLINK("https://www.suredividend.com/sure-analysis-research-database/","3D Systems Corp.")</f>
        <v>3D Systems Corp.</v>
      </c>
      <c r="C400" t="s">
        <v>1804</v>
      </c>
      <c r="D400">
        <v>3.87</v>
      </c>
      <c r="E400">
        <v>0</v>
      </c>
      <c r="F400" t="s">
        <v>1798</v>
      </c>
      <c r="G400" t="s">
        <v>1798</v>
      </c>
      <c r="H400">
        <v>0</v>
      </c>
      <c r="I400">
        <v>516.55410099999995</v>
      </c>
      <c r="J400" t="s">
        <v>1798</v>
      </c>
      <c r="K400">
        <v>0</v>
      </c>
      <c r="L400">
        <v>2.2192739812444442</v>
      </c>
      <c r="M400">
        <v>12.67</v>
      </c>
      <c r="N400">
        <v>3.81</v>
      </c>
    </row>
    <row r="401" spans="1:14" x14ac:dyDescent="0.35">
      <c r="A401" s="1" t="s">
        <v>413</v>
      </c>
      <c r="B401" t="str">
        <f>HYPERLINK("https://www.suredividend.com/sure-analysis-DDS/","Dillard`s Inc.")</f>
        <v>Dillard`s Inc.</v>
      </c>
      <c r="C401" t="s">
        <v>1802</v>
      </c>
      <c r="D401">
        <v>303.17</v>
      </c>
      <c r="E401">
        <v>3.2984794009961408E-3</v>
      </c>
      <c r="F401">
        <v>-0.98333333333333328</v>
      </c>
      <c r="G401">
        <v>0.20112443398143129</v>
      </c>
      <c r="H401">
        <v>0.84914426890477102</v>
      </c>
      <c r="I401">
        <v>3770.992475</v>
      </c>
      <c r="J401">
        <v>4.6549658313839881</v>
      </c>
      <c r="K401">
        <v>1.775338216401361E-2</v>
      </c>
      <c r="L401">
        <v>1.202761668094233</v>
      </c>
      <c r="M401">
        <v>416.99</v>
      </c>
      <c r="N401">
        <v>272.2</v>
      </c>
    </row>
    <row r="402" spans="1:14" x14ac:dyDescent="0.35">
      <c r="A402" s="1" t="s">
        <v>414</v>
      </c>
      <c r="B402" t="str">
        <f>HYPERLINK("https://www.suredividend.com/sure-analysis-DEA/","Easterly Government Properties Inc")</f>
        <v>Easterly Government Properties Inc</v>
      </c>
      <c r="C402" t="s">
        <v>1800</v>
      </c>
      <c r="D402">
        <v>11.08</v>
      </c>
      <c r="E402">
        <v>9.5667870036101083E-2</v>
      </c>
      <c r="F402">
        <v>0</v>
      </c>
      <c r="G402">
        <v>3.8169048926584011E-3</v>
      </c>
      <c r="H402">
        <v>1.0270206286702219</v>
      </c>
      <c r="I402">
        <v>1035.046022</v>
      </c>
      <c r="J402">
        <v>40.818946345387857</v>
      </c>
      <c r="K402">
        <v>3.717048963699682</v>
      </c>
      <c r="L402">
        <v>0.77000938768510507</v>
      </c>
      <c r="M402">
        <v>15.95</v>
      </c>
      <c r="N402">
        <v>10.85</v>
      </c>
    </row>
    <row r="403" spans="1:14" x14ac:dyDescent="0.35">
      <c r="A403" s="1" t="s">
        <v>415</v>
      </c>
      <c r="B403" t="str">
        <f>HYPERLINK("https://www.suredividend.com/sure-analysis-research-database/","Denbury Inc.")</f>
        <v>Denbury Inc.</v>
      </c>
      <c r="C403" t="s">
        <v>1798</v>
      </c>
      <c r="D403">
        <v>92.1</v>
      </c>
      <c r="E403">
        <v>0</v>
      </c>
      <c r="F403" t="s">
        <v>1798</v>
      </c>
      <c r="G403" t="s">
        <v>1798</v>
      </c>
      <c r="H403">
        <v>0</v>
      </c>
      <c r="I403">
        <v>4738.2512930000003</v>
      </c>
      <c r="J403" t="s">
        <v>1798</v>
      </c>
      <c r="K403">
        <v>0</v>
      </c>
      <c r="L403">
        <v>0.8411441193138991</v>
      </c>
      <c r="M403">
        <v>100.65</v>
      </c>
      <c r="N403">
        <v>75.33</v>
      </c>
    </row>
    <row r="404" spans="1:14" x14ac:dyDescent="0.35">
      <c r="A404" s="1" t="s">
        <v>416</v>
      </c>
      <c r="B404" t="str">
        <f>HYPERLINK("https://www.suredividend.com/sure-analysis-research-database/","Denny`s Corp.")</f>
        <v>Denny`s Corp.</v>
      </c>
      <c r="C404" t="s">
        <v>1802</v>
      </c>
      <c r="D404">
        <v>8.1999999999999993</v>
      </c>
      <c r="E404">
        <v>0</v>
      </c>
      <c r="F404" t="s">
        <v>1798</v>
      </c>
      <c r="G404" t="s">
        <v>1798</v>
      </c>
      <c r="H404">
        <v>0</v>
      </c>
      <c r="I404">
        <v>455.1</v>
      </c>
      <c r="J404">
        <v>11.67252301931314</v>
      </c>
      <c r="K404">
        <v>0</v>
      </c>
      <c r="L404">
        <v>0.98631569694834409</v>
      </c>
      <c r="M404">
        <v>13.13</v>
      </c>
      <c r="N404">
        <v>8.1199999999999992</v>
      </c>
    </row>
    <row r="405" spans="1:14" x14ac:dyDescent="0.35">
      <c r="A405" s="1" t="s">
        <v>417</v>
      </c>
      <c r="B405" t="str">
        <f>HYPERLINK("https://www.suredividend.com/sure-analysis-research-database/","Dream Finders Homes Inc")</f>
        <v>Dream Finders Homes Inc</v>
      </c>
      <c r="C405" t="s">
        <v>1798</v>
      </c>
      <c r="D405">
        <v>20.92</v>
      </c>
      <c r="E405">
        <v>0</v>
      </c>
      <c r="F405" t="s">
        <v>1798</v>
      </c>
      <c r="G405" t="s">
        <v>1798</v>
      </c>
      <c r="H405">
        <v>0</v>
      </c>
      <c r="I405">
        <v>687.89403400000003</v>
      </c>
      <c r="J405">
        <v>2.5121574798594728</v>
      </c>
      <c r="K405">
        <v>0</v>
      </c>
      <c r="L405">
        <v>1.491329714034844</v>
      </c>
      <c r="M405">
        <v>31.6</v>
      </c>
      <c r="N405">
        <v>8.17</v>
      </c>
    </row>
    <row r="406" spans="1:14" x14ac:dyDescent="0.35">
      <c r="A406" s="1" t="s">
        <v>418</v>
      </c>
      <c r="B406" t="str">
        <f>HYPERLINK("https://www.suredividend.com/sure-analysis-research-database/","Donnelley Financial Solutions Inc")</f>
        <v>Donnelley Financial Solutions Inc</v>
      </c>
      <c r="C406" t="s">
        <v>1801</v>
      </c>
      <c r="D406">
        <v>54.33</v>
      </c>
      <c r="E406">
        <v>0</v>
      </c>
      <c r="F406" t="s">
        <v>1798</v>
      </c>
      <c r="G406" t="s">
        <v>1798</v>
      </c>
      <c r="H406">
        <v>0</v>
      </c>
      <c r="I406">
        <v>1593.210734</v>
      </c>
      <c r="J406">
        <v>19.05754466124402</v>
      </c>
      <c r="K406">
        <v>0</v>
      </c>
      <c r="L406">
        <v>1.2135570123541739</v>
      </c>
      <c r="M406">
        <v>57.08</v>
      </c>
      <c r="N406">
        <v>33.17</v>
      </c>
    </row>
    <row r="407" spans="1:14" x14ac:dyDescent="0.35">
      <c r="A407" s="1" t="s">
        <v>419</v>
      </c>
      <c r="B407" t="str">
        <f>HYPERLINK("https://www.suredividend.com/sure-analysis-DGICA/","Donegal Group Inc.")</f>
        <v>Donegal Group Inc.</v>
      </c>
      <c r="C407" t="s">
        <v>1801</v>
      </c>
      <c r="D407">
        <v>14.12</v>
      </c>
      <c r="E407">
        <v>4.8158640226628899E-2</v>
      </c>
      <c r="F407">
        <v>3.030303030303028E-2</v>
      </c>
      <c r="G407">
        <v>3.5921415782331101E-2</v>
      </c>
      <c r="H407">
        <v>0.80710905818346901</v>
      </c>
      <c r="I407">
        <v>466.12991499999998</v>
      </c>
      <c r="J407">
        <v>1531.5990383515909</v>
      </c>
      <c r="K407">
        <v>84.073860227444683</v>
      </c>
      <c r="L407">
        <v>0.34252429992139799</v>
      </c>
      <c r="M407">
        <v>15.4</v>
      </c>
      <c r="N407">
        <v>12.72</v>
      </c>
    </row>
    <row r="408" spans="1:14" x14ac:dyDescent="0.35">
      <c r="A408" s="1" t="s">
        <v>420</v>
      </c>
      <c r="B408" t="str">
        <f>HYPERLINK("https://www.suredividend.com/sure-analysis-research-database/","Digi International, Inc.")</f>
        <v>Digi International, Inc.</v>
      </c>
      <c r="C408" t="s">
        <v>1804</v>
      </c>
      <c r="D408">
        <v>24.17</v>
      </c>
      <c r="E408">
        <v>0</v>
      </c>
      <c r="F408" t="s">
        <v>1798</v>
      </c>
      <c r="G408" t="s">
        <v>1798</v>
      </c>
      <c r="H408">
        <v>0</v>
      </c>
      <c r="I408">
        <v>870.12</v>
      </c>
      <c r="J408">
        <v>29.368165249088701</v>
      </c>
      <c r="K408">
        <v>0</v>
      </c>
      <c r="L408">
        <v>1.17199421347904</v>
      </c>
      <c r="M408">
        <v>43.68</v>
      </c>
      <c r="N408">
        <v>24.03</v>
      </c>
    </row>
    <row r="409" spans="1:14" x14ac:dyDescent="0.35">
      <c r="A409" s="1" t="s">
        <v>421</v>
      </c>
      <c r="B409" t="str">
        <f>HYPERLINK("https://www.suredividend.com/sure-analysis-research-database/","Diversified Healthcare Trust")</f>
        <v>Diversified Healthcare Trust</v>
      </c>
      <c r="C409" t="s">
        <v>1800</v>
      </c>
      <c r="D409">
        <v>1.88</v>
      </c>
      <c r="E409">
        <v>2.0931286674154E-2</v>
      </c>
      <c r="F409">
        <v>0</v>
      </c>
      <c r="G409">
        <v>-0.51939633471230828</v>
      </c>
      <c r="H409">
        <v>3.935081894741E-2</v>
      </c>
      <c r="I409">
        <v>450.79911399999997</v>
      </c>
      <c r="J409" t="s">
        <v>1798</v>
      </c>
      <c r="K409" t="s">
        <v>1798</v>
      </c>
      <c r="L409">
        <v>2.1020105539702709</v>
      </c>
      <c r="M409">
        <v>3.3</v>
      </c>
      <c r="N409">
        <v>0.58730000000000004</v>
      </c>
    </row>
    <row r="410" spans="1:14" x14ac:dyDescent="0.35">
      <c r="A410" s="1" t="s">
        <v>422</v>
      </c>
      <c r="B410" t="str">
        <f>HYPERLINK("https://www.suredividend.com/sure-analysis-research-database/","Diamond Hill Investment Group, Inc.")</f>
        <v>Diamond Hill Investment Group, Inc.</v>
      </c>
      <c r="C410" t="s">
        <v>1801</v>
      </c>
      <c r="D410">
        <v>160.53</v>
      </c>
      <c r="E410">
        <v>3.6477573955278002E-2</v>
      </c>
      <c r="F410" t="s">
        <v>1798</v>
      </c>
      <c r="G410" t="s">
        <v>1798</v>
      </c>
      <c r="H410">
        <v>5.8557449470408471</v>
      </c>
      <c r="I410">
        <v>472.730189</v>
      </c>
      <c r="J410">
        <v>9.6413961850899312</v>
      </c>
      <c r="K410">
        <v>0.36079759377947301</v>
      </c>
      <c r="L410">
        <v>0.75575909215675108</v>
      </c>
      <c r="M410">
        <v>185.02</v>
      </c>
      <c r="N410">
        <v>148.79</v>
      </c>
    </row>
    <row r="411" spans="1:14" x14ac:dyDescent="0.35">
      <c r="A411" s="1" t="s">
        <v>423</v>
      </c>
      <c r="B411" t="str">
        <f>HYPERLINK("https://www.suredividend.com/sure-analysis-research-database/","DHT Holdings Inc")</f>
        <v>DHT Holdings Inc</v>
      </c>
      <c r="C411" t="s">
        <v>1808</v>
      </c>
      <c r="D411">
        <v>10.7</v>
      </c>
      <c r="E411">
        <v>9.0175809245215011E-2</v>
      </c>
      <c r="F411">
        <v>7.75</v>
      </c>
      <c r="G411">
        <v>0.77258720340524367</v>
      </c>
      <c r="H411">
        <v>0.9648811589238101</v>
      </c>
      <c r="I411">
        <v>1740.355</v>
      </c>
      <c r="J411">
        <v>10.593253352324259</v>
      </c>
      <c r="K411">
        <v>0.95532788012258429</v>
      </c>
      <c r="L411">
        <v>0.63907306257557206</v>
      </c>
      <c r="M411">
        <v>11.38</v>
      </c>
      <c r="N411">
        <v>6.85</v>
      </c>
    </row>
    <row r="412" spans="1:14" x14ac:dyDescent="0.35">
      <c r="A412" s="1" t="s">
        <v>424</v>
      </c>
      <c r="B412" t="str">
        <f>HYPERLINK("https://www.suredividend.com/sure-analysis-research-database/","DHI Group Inc")</f>
        <v>DHI Group Inc</v>
      </c>
      <c r="C412" t="s">
        <v>1799</v>
      </c>
      <c r="D412">
        <v>2.81</v>
      </c>
      <c r="E412">
        <v>0</v>
      </c>
      <c r="F412" t="s">
        <v>1798</v>
      </c>
      <c r="G412" t="s">
        <v>1798</v>
      </c>
      <c r="H412">
        <v>0</v>
      </c>
      <c r="I412">
        <v>133.02929499999999</v>
      </c>
      <c r="J412">
        <v>75.670816075085327</v>
      </c>
      <c r="K412">
        <v>0</v>
      </c>
      <c r="L412">
        <v>1.5534816593994221</v>
      </c>
      <c r="M412">
        <v>6.56</v>
      </c>
      <c r="N412">
        <v>2.68</v>
      </c>
    </row>
    <row r="413" spans="1:14" x14ac:dyDescent="0.35">
      <c r="A413" s="1" t="s">
        <v>425</v>
      </c>
      <c r="B413" t="str">
        <f>HYPERLINK("https://www.suredividend.com/sure-analysis-research-database/","1stdibs.com Inc")</f>
        <v>1stdibs.com Inc</v>
      </c>
      <c r="C413" t="s">
        <v>1798</v>
      </c>
      <c r="D413">
        <v>3.59</v>
      </c>
      <c r="E413">
        <v>0</v>
      </c>
      <c r="F413" t="s">
        <v>1798</v>
      </c>
      <c r="G413" t="s">
        <v>1798</v>
      </c>
      <c r="H413">
        <v>0</v>
      </c>
      <c r="I413">
        <v>139.222871</v>
      </c>
      <c r="J413" t="s">
        <v>1798</v>
      </c>
      <c r="K413">
        <v>0</v>
      </c>
      <c r="L413">
        <v>1.1434778226698059</v>
      </c>
      <c r="M413">
        <v>7.47</v>
      </c>
      <c r="N413">
        <v>3.45</v>
      </c>
    </row>
    <row r="414" spans="1:14" x14ac:dyDescent="0.35">
      <c r="A414" s="1" t="s">
        <v>426</v>
      </c>
      <c r="B414" t="str">
        <f>HYPERLINK("https://www.suredividend.com/sure-analysis-research-database/","DICE Therapeutics Inc")</f>
        <v>DICE Therapeutics Inc</v>
      </c>
      <c r="C414" t="s">
        <v>1798</v>
      </c>
      <c r="D414">
        <v>47.55</v>
      </c>
      <c r="E414">
        <v>0</v>
      </c>
      <c r="F414" t="s">
        <v>1798</v>
      </c>
      <c r="G414" t="s">
        <v>1798</v>
      </c>
      <c r="H414">
        <v>0</v>
      </c>
      <c r="I414">
        <v>0</v>
      </c>
      <c r="J414">
        <v>0</v>
      </c>
      <c r="K414" t="s">
        <v>1798</v>
      </c>
    </row>
    <row r="415" spans="1:14" x14ac:dyDescent="0.35">
      <c r="A415" s="1" t="s">
        <v>427</v>
      </c>
      <c r="B415" t="str">
        <f>HYPERLINK("https://www.suredividend.com/sure-analysis-research-database/","Dine Brands Global Inc")</f>
        <v>Dine Brands Global Inc</v>
      </c>
      <c r="C415" t="s">
        <v>1802</v>
      </c>
      <c r="D415">
        <v>46.35</v>
      </c>
      <c r="E415">
        <v>4.3434306793572013E-2</v>
      </c>
      <c r="F415" t="s">
        <v>1798</v>
      </c>
      <c r="G415" t="s">
        <v>1798</v>
      </c>
      <c r="H415">
        <v>2.0131801198821009</v>
      </c>
      <c r="I415">
        <v>720.80164300000001</v>
      </c>
      <c r="J415">
        <v>9.4931006940694598</v>
      </c>
      <c r="K415">
        <v>0.40752634005710542</v>
      </c>
      <c r="L415">
        <v>0.83057886269014203</v>
      </c>
      <c r="M415">
        <v>80.34</v>
      </c>
      <c r="N415">
        <v>45.37</v>
      </c>
    </row>
    <row r="416" spans="1:14" x14ac:dyDescent="0.35">
      <c r="A416" s="1" t="s">
        <v>428</v>
      </c>
      <c r="B416" t="str">
        <f>HYPERLINK("https://www.suredividend.com/sure-analysis-research-database/","Diodes, Inc.")</f>
        <v>Diodes, Inc.</v>
      </c>
      <c r="C416" t="s">
        <v>1804</v>
      </c>
      <c r="D416">
        <v>77.540000000000006</v>
      </c>
      <c r="E416">
        <v>0</v>
      </c>
      <c r="F416" t="s">
        <v>1798</v>
      </c>
      <c r="G416" t="s">
        <v>1798</v>
      </c>
      <c r="H416">
        <v>0</v>
      </c>
      <c r="I416">
        <v>3562.0934659999998</v>
      </c>
      <c r="J416">
        <v>10.741912765532691</v>
      </c>
      <c r="K416">
        <v>0</v>
      </c>
      <c r="L416">
        <v>1.70681025537748</v>
      </c>
      <c r="M416">
        <v>97.45</v>
      </c>
      <c r="N416">
        <v>67.33</v>
      </c>
    </row>
    <row r="417" spans="1:14" x14ac:dyDescent="0.35">
      <c r="A417" s="1" t="s">
        <v>429</v>
      </c>
      <c r="B417" t="str">
        <f>HYPERLINK("https://www.suredividend.com/sure-analysis-research-database/","Daily Journal Corporation")</f>
        <v>Daily Journal Corporation</v>
      </c>
      <c r="C417" t="s">
        <v>1807</v>
      </c>
      <c r="D417">
        <v>303.5</v>
      </c>
      <c r="E417">
        <v>0</v>
      </c>
      <c r="F417" t="s">
        <v>1798</v>
      </c>
      <c r="G417" t="s">
        <v>1798</v>
      </c>
      <c r="H417">
        <v>0</v>
      </c>
      <c r="I417">
        <v>417.927391</v>
      </c>
      <c r="J417">
        <v>0</v>
      </c>
      <c r="K417" t="s">
        <v>1798</v>
      </c>
      <c r="M417">
        <v>315.5</v>
      </c>
      <c r="N417">
        <v>250</v>
      </c>
    </row>
    <row r="418" spans="1:14" x14ac:dyDescent="0.35">
      <c r="A418" s="1" t="s">
        <v>430</v>
      </c>
      <c r="B418" t="str">
        <f>HYPERLINK("https://www.suredividend.com/sure-analysis-research-database/","Delek US Holdings Inc")</f>
        <v>Delek US Holdings Inc</v>
      </c>
      <c r="C418" t="s">
        <v>1808</v>
      </c>
      <c r="D418">
        <v>25.89</v>
      </c>
      <c r="E418">
        <v>3.4111718985743E-2</v>
      </c>
      <c r="F418" t="s">
        <v>1798</v>
      </c>
      <c r="G418" t="s">
        <v>1798</v>
      </c>
      <c r="H418">
        <v>0.88315240454089905</v>
      </c>
      <c r="I418">
        <v>1678.1357929999999</v>
      </c>
      <c r="J418">
        <v>0</v>
      </c>
      <c r="K418" t="s">
        <v>1798</v>
      </c>
      <c r="L418">
        <v>0.67960574078043501</v>
      </c>
      <c r="M418">
        <v>34.47</v>
      </c>
      <c r="N418">
        <v>19.03</v>
      </c>
    </row>
    <row r="419" spans="1:14" x14ac:dyDescent="0.35">
      <c r="A419" s="1" t="s">
        <v>431</v>
      </c>
      <c r="B419" t="str">
        <f>HYPERLINK("https://www.suredividend.com/sure-analysis-research-database/","Duluth Holdings Inc")</f>
        <v>Duluth Holdings Inc</v>
      </c>
      <c r="C419" t="s">
        <v>1802</v>
      </c>
      <c r="D419">
        <v>5.36</v>
      </c>
      <c r="E419">
        <v>0</v>
      </c>
      <c r="F419" t="s">
        <v>1798</v>
      </c>
      <c r="G419" t="s">
        <v>1798</v>
      </c>
      <c r="H419">
        <v>0</v>
      </c>
      <c r="I419">
        <v>167.29700600000001</v>
      </c>
      <c r="J419" t="s">
        <v>1798</v>
      </c>
      <c r="K419">
        <v>0</v>
      </c>
      <c r="L419">
        <v>0.96573903025599506</v>
      </c>
      <c r="M419">
        <v>9.23</v>
      </c>
      <c r="N419">
        <v>5.1100000000000003</v>
      </c>
    </row>
    <row r="420" spans="1:14" x14ac:dyDescent="0.35">
      <c r="A420" s="1" t="s">
        <v>432</v>
      </c>
      <c r="B420" t="str">
        <f>HYPERLINK("https://www.suredividend.com/sure-analysis-research-database/","Deluxe Corp.")</f>
        <v>Deluxe Corp.</v>
      </c>
      <c r="C420" t="s">
        <v>1807</v>
      </c>
      <c r="D420">
        <v>17.97</v>
      </c>
      <c r="E420">
        <v>6.5162131108133001E-2</v>
      </c>
      <c r="F420">
        <v>0</v>
      </c>
      <c r="G420">
        <v>0</v>
      </c>
      <c r="H420">
        <v>1.1709634960131581</v>
      </c>
      <c r="I420">
        <v>783.78951099999995</v>
      </c>
      <c r="J420">
        <v>14.85209314081064</v>
      </c>
      <c r="K420">
        <v>0.96773842645715547</v>
      </c>
      <c r="L420">
        <v>1.358740933107198</v>
      </c>
      <c r="M420">
        <v>21.27</v>
      </c>
      <c r="N420">
        <v>13.15</v>
      </c>
    </row>
    <row r="421" spans="1:14" x14ac:dyDescent="0.35">
      <c r="A421" s="1" t="s">
        <v>433</v>
      </c>
      <c r="B421" t="str">
        <f>HYPERLINK("https://www.suredividend.com/sure-analysis-research-database/","Desktop Metal Inc")</f>
        <v>Desktop Metal Inc</v>
      </c>
      <c r="C421" t="s">
        <v>1798</v>
      </c>
      <c r="D421">
        <v>1.2</v>
      </c>
      <c r="E421">
        <v>0</v>
      </c>
      <c r="F421" t="s">
        <v>1798</v>
      </c>
      <c r="G421" t="s">
        <v>1798</v>
      </c>
      <c r="H421">
        <v>0</v>
      </c>
      <c r="I421">
        <v>387.68445200000002</v>
      </c>
      <c r="J421" t="s">
        <v>1798</v>
      </c>
      <c r="K421">
        <v>0</v>
      </c>
      <c r="L421">
        <v>2.053976859823484</v>
      </c>
      <c r="M421">
        <v>2.7</v>
      </c>
      <c r="N421">
        <v>1.1299999999999999</v>
      </c>
    </row>
    <row r="422" spans="1:14" x14ac:dyDescent="0.35">
      <c r="A422" s="1" t="s">
        <v>434</v>
      </c>
      <c r="B422" t="str">
        <f>HYPERLINK("https://www.suredividend.com/sure-analysis-research-database/","Digimarc Corporation")</f>
        <v>Digimarc Corporation</v>
      </c>
      <c r="C422" t="s">
        <v>1804</v>
      </c>
      <c r="D422">
        <v>28.25</v>
      </c>
      <c r="E422">
        <v>0</v>
      </c>
      <c r="F422" t="s">
        <v>1798</v>
      </c>
      <c r="G422" t="s">
        <v>1798</v>
      </c>
      <c r="H422">
        <v>0</v>
      </c>
      <c r="I422">
        <v>574.49745199999995</v>
      </c>
      <c r="J422" t="s">
        <v>1798</v>
      </c>
      <c r="K422">
        <v>0</v>
      </c>
      <c r="L422">
        <v>1.7704502786471989</v>
      </c>
      <c r="M422">
        <v>38.35</v>
      </c>
      <c r="N422">
        <v>13.7</v>
      </c>
    </row>
    <row r="423" spans="1:14" x14ac:dyDescent="0.35">
      <c r="A423" s="1" t="s">
        <v>435</v>
      </c>
      <c r="B423" t="str">
        <f>HYPERLINK("https://www.suredividend.com/sure-analysis-research-database/","Denali Therapeutics Inc")</f>
        <v>Denali Therapeutics Inc</v>
      </c>
      <c r="C423" t="s">
        <v>1803</v>
      </c>
      <c r="D423">
        <v>20.76</v>
      </c>
      <c r="E423">
        <v>0</v>
      </c>
      <c r="F423" t="s">
        <v>1798</v>
      </c>
      <c r="G423" t="s">
        <v>1798</v>
      </c>
      <c r="H423">
        <v>0</v>
      </c>
      <c r="I423">
        <v>2852.424</v>
      </c>
      <c r="J423" t="s">
        <v>1798</v>
      </c>
      <c r="K423">
        <v>0</v>
      </c>
      <c r="L423">
        <v>1.3164108439773921</v>
      </c>
      <c r="M423">
        <v>34.78</v>
      </c>
      <c r="N423">
        <v>19.57</v>
      </c>
    </row>
    <row r="424" spans="1:14" x14ac:dyDescent="0.35">
      <c r="A424" s="1" t="s">
        <v>436</v>
      </c>
      <c r="B424" t="str">
        <f>HYPERLINK("https://www.suredividend.com/sure-analysis-research-database/","Danimer Scientific Inc")</f>
        <v>Danimer Scientific Inc</v>
      </c>
      <c r="C424" t="s">
        <v>1798</v>
      </c>
      <c r="D424">
        <v>1.66</v>
      </c>
      <c r="E424">
        <v>0</v>
      </c>
      <c r="F424" t="s">
        <v>1798</v>
      </c>
      <c r="G424" t="s">
        <v>1798</v>
      </c>
      <c r="H424">
        <v>0</v>
      </c>
      <c r="I424">
        <v>169.37854300000001</v>
      </c>
      <c r="J424" t="s">
        <v>1798</v>
      </c>
      <c r="K424">
        <v>0</v>
      </c>
      <c r="L424">
        <v>1.9941875325437639</v>
      </c>
      <c r="M424">
        <v>4.59</v>
      </c>
      <c r="N424">
        <v>1.57</v>
      </c>
    </row>
    <row r="425" spans="1:14" x14ac:dyDescent="0.35">
      <c r="A425" s="1" t="s">
        <v>437</v>
      </c>
      <c r="B425" t="str">
        <f>HYPERLINK("https://www.suredividend.com/sure-analysis-research-database/","NOW Inc")</f>
        <v>NOW Inc</v>
      </c>
      <c r="C425" t="s">
        <v>1808</v>
      </c>
      <c r="D425">
        <v>11.8</v>
      </c>
      <c r="E425">
        <v>0</v>
      </c>
      <c r="F425" t="s">
        <v>1798</v>
      </c>
      <c r="G425" t="s">
        <v>1798</v>
      </c>
      <c r="H425">
        <v>0</v>
      </c>
      <c r="I425">
        <v>1259.284224</v>
      </c>
      <c r="J425">
        <v>9.2594428205882355</v>
      </c>
      <c r="K425">
        <v>0</v>
      </c>
      <c r="L425">
        <v>1.2420445240818649</v>
      </c>
      <c r="M425">
        <v>14.86</v>
      </c>
      <c r="N425">
        <v>8.83</v>
      </c>
    </row>
    <row r="426" spans="1:14" x14ac:dyDescent="0.35">
      <c r="A426" s="1" t="s">
        <v>438</v>
      </c>
      <c r="B426" t="str">
        <f>HYPERLINK("https://www.suredividend.com/sure-analysis-research-database/","Krispy Kreme Inc")</f>
        <v>Krispy Kreme Inc</v>
      </c>
      <c r="C426" t="s">
        <v>1798</v>
      </c>
      <c r="D426">
        <v>11.7</v>
      </c>
      <c r="E426">
        <v>1.1903350683886999E-2</v>
      </c>
      <c r="F426" t="s">
        <v>1798</v>
      </c>
      <c r="G426" t="s">
        <v>1798</v>
      </c>
      <c r="H426">
        <v>0.13926920300148199</v>
      </c>
      <c r="I426">
        <v>1967.94</v>
      </c>
      <c r="J426" t="s">
        <v>1798</v>
      </c>
      <c r="K426" t="s">
        <v>1798</v>
      </c>
      <c r="L426">
        <v>0.7107291786405231</v>
      </c>
      <c r="M426">
        <v>16.149999999999999</v>
      </c>
      <c r="N426">
        <v>10.11</v>
      </c>
    </row>
    <row r="427" spans="1:14" x14ac:dyDescent="0.35">
      <c r="A427" s="1" t="s">
        <v>439</v>
      </c>
      <c r="B427" t="str">
        <f>HYPERLINK("https://www.suredividend.com/sure-analysis-research-database/","Diamond Offshore Drilling, Inc.")</f>
        <v>Diamond Offshore Drilling, Inc.</v>
      </c>
      <c r="C427" t="s">
        <v>1808</v>
      </c>
      <c r="D427">
        <v>14.09</v>
      </c>
      <c r="E427">
        <v>0</v>
      </c>
      <c r="F427" t="s">
        <v>1798</v>
      </c>
      <c r="G427" t="s">
        <v>1798</v>
      </c>
      <c r="H427">
        <v>0</v>
      </c>
      <c r="I427">
        <v>1441.7170080000001</v>
      </c>
      <c r="J427" t="s">
        <v>1798</v>
      </c>
      <c r="K427">
        <v>0</v>
      </c>
      <c r="L427">
        <v>1.2893669692406109</v>
      </c>
      <c r="M427">
        <v>17.32</v>
      </c>
      <c r="N427">
        <v>8.09</v>
      </c>
    </row>
    <row r="428" spans="1:14" x14ac:dyDescent="0.35">
      <c r="A428" s="1" t="s">
        <v>440</v>
      </c>
      <c r="B428" t="str">
        <f>HYPERLINK("https://www.suredividend.com/sure-analysis-DOC/","Physicians Realty Trust")</f>
        <v>Physicians Realty Trust</v>
      </c>
      <c r="C428" t="s">
        <v>1800</v>
      </c>
      <c r="D428">
        <v>11.61</v>
      </c>
      <c r="E428">
        <v>7.9242032730404824E-2</v>
      </c>
      <c r="F428">
        <v>0</v>
      </c>
      <c r="G428">
        <v>0</v>
      </c>
      <c r="H428">
        <v>0.89614376566967102</v>
      </c>
      <c r="I428">
        <v>2768.4555380000002</v>
      </c>
      <c r="J428">
        <v>28.502872855274941</v>
      </c>
      <c r="K428">
        <v>2.2584268288046139</v>
      </c>
      <c r="L428">
        <v>0.77594042103573801</v>
      </c>
      <c r="M428">
        <v>15.53</v>
      </c>
      <c r="N428">
        <v>11.35</v>
      </c>
    </row>
    <row r="429" spans="1:14" x14ac:dyDescent="0.35">
      <c r="A429" s="1" t="s">
        <v>441</v>
      </c>
      <c r="B429" t="str">
        <f>HYPERLINK("https://www.suredividend.com/sure-analysis-research-database/","DigitalOcean Holdings Inc")</f>
        <v>DigitalOcean Holdings Inc</v>
      </c>
      <c r="C429" t="s">
        <v>1798</v>
      </c>
      <c r="D429">
        <v>22.94</v>
      </c>
      <c r="E429">
        <v>0</v>
      </c>
      <c r="F429" t="s">
        <v>1798</v>
      </c>
      <c r="G429" t="s">
        <v>1798</v>
      </c>
      <c r="H429">
        <v>0</v>
      </c>
      <c r="I429">
        <v>2038.1675909999999</v>
      </c>
      <c r="J429" t="s">
        <v>1798</v>
      </c>
      <c r="K429">
        <v>0</v>
      </c>
      <c r="L429">
        <v>1.844424969196008</v>
      </c>
      <c r="M429">
        <v>51.69</v>
      </c>
      <c r="N429">
        <v>21.76</v>
      </c>
    </row>
    <row r="430" spans="1:14" x14ac:dyDescent="0.35">
      <c r="A430" s="1" t="s">
        <v>442</v>
      </c>
      <c r="B430" t="str">
        <f>HYPERLINK("https://www.suredividend.com/sure-analysis-research-database/","Doma Holdings Inc")</f>
        <v>Doma Holdings Inc</v>
      </c>
      <c r="C430" t="s">
        <v>1798</v>
      </c>
      <c r="D430">
        <v>4.28</v>
      </c>
      <c r="E430">
        <v>0</v>
      </c>
      <c r="F430" t="s">
        <v>1798</v>
      </c>
      <c r="G430" t="s">
        <v>1798</v>
      </c>
      <c r="H430">
        <v>0</v>
      </c>
      <c r="I430">
        <v>57.509996000000001</v>
      </c>
      <c r="J430" t="s">
        <v>1798</v>
      </c>
      <c r="K430">
        <v>0</v>
      </c>
      <c r="L430">
        <v>1.248170580571847</v>
      </c>
      <c r="M430">
        <v>23.6</v>
      </c>
      <c r="N430">
        <v>3.86</v>
      </c>
    </row>
    <row r="431" spans="1:14" x14ac:dyDescent="0.35">
      <c r="A431" s="1" t="s">
        <v>443</v>
      </c>
      <c r="B431" t="str">
        <f>HYPERLINK("https://www.suredividend.com/sure-analysis-research-database/","Domo Inc.")</f>
        <v>Domo Inc.</v>
      </c>
      <c r="C431" t="s">
        <v>1804</v>
      </c>
      <c r="D431">
        <v>8.84</v>
      </c>
      <c r="E431">
        <v>0</v>
      </c>
      <c r="F431" t="s">
        <v>1798</v>
      </c>
      <c r="G431" t="s">
        <v>1798</v>
      </c>
      <c r="H431">
        <v>0</v>
      </c>
      <c r="I431">
        <v>290.12127700000002</v>
      </c>
      <c r="J431" t="s">
        <v>1798</v>
      </c>
      <c r="K431">
        <v>0</v>
      </c>
      <c r="L431">
        <v>1.828259816228849</v>
      </c>
      <c r="M431">
        <v>20.18</v>
      </c>
      <c r="N431">
        <v>8.8000000000000007</v>
      </c>
    </row>
    <row r="432" spans="1:14" x14ac:dyDescent="0.35">
      <c r="A432" s="1" t="s">
        <v>444</v>
      </c>
      <c r="B432" t="str">
        <f>HYPERLINK("https://www.suredividend.com/sure-analysis-research-database/","Masonite International Corp")</f>
        <v>Masonite International Corp</v>
      </c>
      <c r="C432" t="s">
        <v>1799</v>
      </c>
      <c r="D432">
        <v>83.94</v>
      </c>
      <c r="E432">
        <v>0</v>
      </c>
      <c r="F432" t="s">
        <v>1798</v>
      </c>
      <c r="G432" t="s">
        <v>1798</v>
      </c>
      <c r="H432">
        <v>0</v>
      </c>
      <c r="I432">
        <v>1846.96783</v>
      </c>
      <c r="J432">
        <v>10.56182710931424</v>
      </c>
      <c r="K432">
        <v>0</v>
      </c>
      <c r="L432">
        <v>1.346988702435058</v>
      </c>
      <c r="M432">
        <v>109.58</v>
      </c>
      <c r="N432">
        <v>65.709999999999994</v>
      </c>
    </row>
    <row r="433" spans="1:14" x14ac:dyDescent="0.35">
      <c r="A433" s="1" t="s">
        <v>445</v>
      </c>
      <c r="B433" t="str">
        <f>HYPERLINK("https://www.suredividend.com/sure-analysis-research-database/","Dorman Products Inc")</f>
        <v>Dorman Products Inc</v>
      </c>
      <c r="C433" t="s">
        <v>1802</v>
      </c>
      <c r="D433">
        <v>76.55</v>
      </c>
      <c r="E433">
        <v>0</v>
      </c>
      <c r="F433" t="s">
        <v>1798</v>
      </c>
      <c r="G433" t="s">
        <v>1798</v>
      </c>
      <c r="H433">
        <v>0</v>
      </c>
      <c r="I433">
        <v>2410.4189540000002</v>
      </c>
      <c r="J433">
        <v>27.741039868799628</v>
      </c>
      <c r="K433">
        <v>0</v>
      </c>
      <c r="L433">
        <v>0.94800279688290812</v>
      </c>
      <c r="M433">
        <v>102.25</v>
      </c>
      <c r="N433">
        <v>73.319999999999993</v>
      </c>
    </row>
    <row r="434" spans="1:14" x14ac:dyDescent="0.35">
      <c r="A434" s="1" t="s">
        <v>446</v>
      </c>
      <c r="B434" t="str">
        <f>HYPERLINK("https://www.suredividend.com/sure-analysis-research-database/","Douglas Elliman Inc")</f>
        <v>Douglas Elliman Inc</v>
      </c>
      <c r="C434" t="s">
        <v>1798</v>
      </c>
      <c r="D434">
        <v>2.09</v>
      </c>
      <c r="E434">
        <v>4.5194816855581001E-2</v>
      </c>
      <c r="F434" t="s">
        <v>1798</v>
      </c>
      <c r="G434" t="s">
        <v>1798</v>
      </c>
      <c r="H434">
        <v>9.445716722816401E-2</v>
      </c>
      <c r="I434">
        <v>185.241547</v>
      </c>
      <c r="J434" t="s">
        <v>1798</v>
      </c>
      <c r="K434" t="s">
        <v>1798</v>
      </c>
      <c r="L434">
        <v>1.490936677981008</v>
      </c>
      <c r="M434">
        <v>4.9400000000000004</v>
      </c>
      <c r="N434">
        <v>2.02</v>
      </c>
    </row>
    <row r="435" spans="1:14" x14ac:dyDescent="0.35">
      <c r="A435" s="1" t="s">
        <v>447</v>
      </c>
      <c r="B435" t="str">
        <f>HYPERLINK("https://www.suredividend.com/sure-analysis-research-database/","Diamondrock Hospitality Co.")</f>
        <v>Diamondrock Hospitality Co.</v>
      </c>
      <c r="C435" t="s">
        <v>1800</v>
      </c>
      <c r="D435">
        <v>7.93</v>
      </c>
      <c r="E435">
        <v>1.5045979136298E-2</v>
      </c>
      <c r="F435" t="s">
        <v>1798</v>
      </c>
      <c r="G435" t="s">
        <v>1798</v>
      </c>
      <c r="H435">
        <v>0.119314614550843</v>
      </c>
      <c r="I435">
        <v>1662.343672</v>
      </c>
      <c r="J435">
        <v>19.536987697415579</v>
      </c>
      <c r="K435">
        <v>0.30008705872948438</v>
      </c>
      <c r="L435">
        <v>1.2050440615885349</v>
      </c>
      <c r="M435">
        <v>9.9</v>
      </c>
      <c r="N435">
        <v>7.06</v>
      </c>
    </row>
    <row r="436" spans="1:14" x14ac:dyDescent="0.35">
      <c r="A436" s="1" t="s">
        <v>448</v>
      </c>
      <c r="B436" t="str">
        <f>HYPERLINK("https://www.suredividend.com/sure-analysis-research-database/","Dril-Quip, Inc.")</f>
        <v>Dril-Quip, Inc.</v>
      </c>
      <c r="C436" t="s">
        <v>1808</v>
      </c>
      <c r="D436">
        <v>25.97</v>
      </c>
      <c r="E436">
        <v>0</v>
      </c>
      <c r="F436" t="s">
        <v>1798</v>
      </c>
      <c r="G436" t="s">
        <v>1798</v>
      </c>
      <c r="H436">
        <v>0</v>
      </c>
      <c r="I436">
        <v>887.53641100000004</v>
      </c>
      <c r="J436">
        <v>42.783148254037123</v>
      </c>
      <c r="K436">
        <v>0</v>
      </c>
      <c r="L436">
        <v>0.81826327907209806</v>
      </c>
      <c r="M436">
        <v>35.950000000000003</v>
      </c>
      <c r="N436">
        <v>20.91</v>
      </c>
    </row>
    <row r="437" spans="1:14" x14ac:dyDescent="0.35">
      <c r="A437" s="1" t="s">
        <v>449</v>
      </c>
      <c r="B437" t="str">
        <f>HYPERLINK("https://www.suredividend.com/sure-analysis-research-database/","Diversey Holdings Ltd")</f>
        <v>Diversey Holdings Ltd</v>
      </c>
      <c r="C437" t="s">
        <v>1798</v>
      </c>
      <c r="D437">
        <v>8.39</v>
      </c>
      <c r="E437">
        <v>0</v>
      </c>
      <c r="F437" t="s">
        <v>1798</v>
      </c>
      <c r="G437" t="s">
        <v>1798</v>
      </c>
      <c r="H437">
        <v>0</v>
      </c>
      <c r="I437">
        <v>0</v>
      </c>
      <c r="J437">
        <v>0</v>
      </c>
      <c r="K437" t="s">
        <v>1798</v>
      </c>
    </row>
    <row r="438" spans="1:14" x14ac:dyDescent="0.35">
      <c r="A438" s="1" t="s">
        <v>450</v>
      </c>
      <c r="B438" t="str">
        <f>HYPERLINK("https://www.suredividend.com/sure-analysis-research-database/","Design Therapeutics Inc")</f>
        <v>Design Therapeutics Inc</v>
      </c>
      <c r="C438" t="s">
        <v>1798</v>
      </c>
      <c r="D438">
        <v>2.14</v>
      </c>
      <c r="E438">
        <v>0</v>
      </c>
      <c r="F438" t="s">
        <v>1798</v>
      </c>
      <c r="G438" t="s">
        <v>1798</v>
      </c>
      <c r="H438">
        <v>0</v>
      </c>
      <c r="I438">
        <v>119.811446</v>
      </c>
      <c r="J438">
        <v>0</v>
      </c>
      <c r="K438" t="s">
        <v>1798</v>
      </c>
      <c r="L438">
        <v>1.2714610518512881</v>
      </c>
      <c r="M438">
        <v>16.63</v>
      </c>
      <c r="N438">
        <v>1.94</v>
      </c>
    </row>
    <row r="439" spans="1:14" x14ac:dyDescent="0.35">
      <c r="A439" s="1" t="s">
        <v>451</v>
      </c>
      <c r="B439" t="str">
        <f>HYPERLINK("https://www.suredividend.com/sure-analysis-research-database/","Distribution Solutions Group Inc")</f>
        <v>Distribution Solutions Group Inc</v>
      </c>
      <c r="C439" t="s">
        <v>1798</v>
      </c>
      <c r="D439">
        <v>31.67</v>
      </c>
      <c r="E439">
        <v>0</v>
      </c>
      <c r="F439" t="s">
        <v>1798</v>
      </c>
      <c r="G439" t="s">
        <v>1798</v>
      </c>
      <c r="H439">
        <v>0</v>
      </c>
      <c r="I439">
        <v>739.48610699999995</v>
      </c>
      <c r="J439" t="s">
        <v>1798</v>
      </c>
      <c r="K439">
        <v>0</v>
      </c>
      <c r="L439">
        <v>1.3107916356946749</v>
      </c>
      <c r="M439">
        <v>32.869999999999997</v>
      </c>
      <c r="N439">
        <v>13.12</v>
      </c>
    </row>
    <row r="440" spans="1:14" x14ac:dyDescent="0.35">
      <c r="A440" s="1" t="s">
        <v>452</v>
      </c>
      <c r="B440" t="str">
        <f>HYPERLINK("https://www.suredividend.com/sure-analysis-research-database/","Daseke Inc")</f>
        <v>Daseke Inc</v>
      </c>
      <c r="C440" t="s">
        <v>1799</v>
      </c>
      <c r="D440">
        <v>4.63</v>
      </c>
      <c r="E440">
        <v>0</v>
      </c>
      <c r="F440" t="s">
        <v>1798</v>
      </c>
      <c r="G440" t="s">
        <v>1798</v>
      </c>
      <c r="H440">
        <v>0</v>
      </c>
      <c r="I440">
        <v>212.299376</v>
      </c>
      <c r="J440">
        <v>12.131392920571431</v>
      </c>
      <c r="K440">
        <v>0</v>
      </c>
      <c r="L440">
        <v>1.3645445464767429</v>
      </c>
      <c r="M440">
        <v>9.57</v>
      </c>
      <c r="N440">
        <v>4.49</v>
      </c>
    </row>
    <row r="441" spans="1:14" x14ac:dyDescent="0.35">
      <c r="A441" s="1" t="s">
        <v>453</v>
      </c>
      <c r="B441" t="str">
        <f>HYPERLINK("https://www.suredividend.com/sure-analysis-research-database/","Viant Technology Inc")</f>
        <v>Viant Technology Inc</v>
      </c>
      <c r="C441" t="s">
        <v>1798</v>
      </c>
      <c r="D441">
        <v>5.42</v>
      </c>
      <c r="E441">
        <v>0</v>
      </c>
      <c r="F441" t="s">
        <v>1798</v>
      </c>
      <c r="G441" t="s">
        <v>1798</v>
      </c>
      <c r="H441">
        <v>0</v>
      </c>
      <c r="I441">
        <v>83.156690999999995</v>
      </c>
      <c r="J441" t="s">
        <v>1798</v>
      </c>
      <c r="K441">
        <v>0</v>
      </c>
      <c r="L441">
        <v>1.223626624418144</v>
      </c>
      <c r="M441">
        <v>7.21</v>
      </c>
      <c r="N441">
        <v>3.15</v>
      </c>
    </row>
    <row r="442" spans="1:14" x14ac:dyDescent="0.35">
      <c r="A442" s="1" t="s">
        <v>454</v>
      </c>
      <c r="B442" t="str">
        <f>HYPERLINK("https://www.suredividend.com/sure-analysis-research-database/","Solo Brands Inc")</f>
        <v>Solo Brands Inc</v>
      </c>
      <c r="C442" t="s">
        <v>1798</v>
      </c>
      <c r="D442">
        <v>4.2300000000000004</v>
      </c>
      <c r="E442">
        <v>0</v>
      </c>
      <c r="F442" t="s">
        <v>1798</v>
      </c>
      <c r="G442" t="s">
        <v>1798</v>
      </c>
      <c r="H442">
        <v>0</v>
      </c>
      <c r="I442">
        <v>243.96374</v>
      </c>
      <c r="J442">
        <v>13.95913142358528</v>
      </c>
      <c r="K442">
        <v>0</v>
      </c>
      <c r="L442">
        <v>1.0271780071637171</v>
      </c>
      <c r="M442">
        <v>8.86</v>
      </c>
      <c r="N442">
        <v>3.39</v>
      </c>
    </row>
    <row r="443" spans="1:14" x14ac:dyDescent="0.35">
      <c r="A443" s="1" t="s">
        <v>455</v>
      </c>
      <c r="B443" t="str">
        <f>HYPERLINK("https://www.suredividend.com/sure-analysis-research-database/","Duolingo Inc")</f>
        <v>Duolingo Inc</v>
      </c>
      <c r="C443" t="s">
        <v>1798</v>
      </c>
      <c r="D443">
        <v>160.1</v>
      </c>
      <c r="E443">
        <v>0</v>
      </c>
      <c r="F443" t="s">
        <v>1798</v>
      </c>
      <c r="G443" t="s">
        <v>1798</v>
      </c>
      <c r="H443">
        <v>0</v>
      </c>
      <c r="I443">
        <v>5663.5091620000003</v>
      </c>
      <c r="J443" t="s">
        <v>1798</v>
      </c>
      <c r="K443">
        <v>0</v>
      </c>
      <c r="L443">
        <v>1.379869326518457</v>
      </c>
      <c r="M443">
        <v>179.84</v>
      </c>
      <c r="N443">
        <v>64.73</v>
      </c>
    </row>
    <row r="444" spans="1:14" x14ac:dyDescent="0.35">
      <c r="A444" s="1" t="s">
        <v>456</v>
      </c>
      <c r="B444" t="str">
        <f>HYPERLINK("https://www.suredividend.com/sure-analysis-research-database/","Dynavax Technologies Corp.")</f>
        <v>Dynavax Technologies Corp.</v>
      </c>
      <c r="C444" t="s">
        <v>1803</v>
      </c>
      <c r="D444">
        <v>14.24</v>
      </c>
      <c r="E444">
        <v>0</v>
      </c>
      <c r="F444" t="s">
        <v>1798</v>
      </c>
      <c r="G444" t="s">
        <v>1798</v>
      </c>
      <c r="H444">
        <v>0</v>
      </c>
      <c r="I444">
        <v>1834.0743640000001</v>
      </c>
      <c r="J444">
        <v>16.599610492266201</v>
      </c>
      <c r="K444">
        <v>0</v>
      </c>
      <c r="L444">
        <v>1.2714332761200779</v>
      </c>
      <c r="M444">
        <v>15.12</v>
      </c>
      <c r="N444">
        <v>9.42</v>
      </c>
    </row>
    <row r="445" spans="1:14" x14ac:dyDescent="0.35">
      <c r="A445" s="1" t="s">
        <v>457</v>
      </c>
      <c r="B445" t="str">
        <f>HYPERLINK("https://www.suredividend.com/sure-analysis-DX/","Dynex Capital, Inc.")</f>
        <v>Dynex Capital, Inc.</v>
      </c>
      <c r="C445" t="s">
        <v>1800</v>
      </c>
      <c r="D445">
        <v>11.49</v>
      </c>
      <c r="E445">
        <v>0.13577023498694521</v>
      </c>
      <c r="F445">
        <v>0</v>
      </c>
      <c r="G445">
        <v>0</v>
      </c>
      <c r="H445">
        <v>1.4735873217771009</v>
      </c>
      <c r="I445">
        <v>622.80762500000003</v>
      </c>
      <c r="J445">
        <v>405.20990586206898</v>
      </c>
      <c r="K445">
        <v>48.633244943138649</v>
      </c>
      <c r="L445">
        <v>1.0031178553177571</v>
      </c>
      <c r="M445">
        <v>13.78</v>
      </c>
      <c r="N445">
        <v>9.4600000000000009</v>
      </c>
    </row>
    <row r="446" spans="1:14" x14ac:dyDescent="0.35">
      <c r="A446" s="1" t="s">
        <v>458</v>
      </c>
      <c r="B446" t="str">
        <f>HYPERLINK("https://www.suredividend.com/sure-analysis-research-database/","Destination XL Group Inc")</f>
        <v>Destination XL Group Inc</v>
      </c>
      <c r="C446" t="s">
        <v>1802</v>
      </c>
      <c r="D446">
        <v>4.1100000000000003</v>
      </c>
      <c r="E446">
        <v>0</v>
      </c>
      <c r="F446" t="s">
        <v>1798</v>
      </c>
      <c r="G446" t="s">
        <v>1798</v>
      </c>
      <c r="H446">
        <v>0</v>
      </c>
      <c r="I446">
        <v>248.20152300000001</v>
      </c>
      <c r="J446">
        <v>6.637646702591395</v>
      </c>
      <c r="K446">
        <v>0</v>
      </c>
      <c r="L446">
        <v>1.3413889945165289</v>
      </c>
      <c r="M446">
        <v>7.57</v>
      </c>
      <c r="N446">
        <v>3.69</v>
      </c>
    </row>
    <row r="447" spans="1:14" x14ac:dyDescent="0.35">
      <c r="A447" s="1" t="s">
        <v>459</v>
      </c>
      <c r="B447" t="str">
        <f>HYPERLINK("https://www.suredividend.com/sure-analysis-research-database/","DXP Enterprises, Inc.")</f>
        <v>DXP Enterprises, Inc.</v>
      </c>
      <c r="C447" t="s">
        <v>1799</v>
      </c>
      <c r="D447">
        <v>32.69</v>
      </c>
      <c r="E447">
        <v>0</v>
      </c>
      <c r="F447" t="s">
        <v>1798</v>
      </c>
      <c r="G447" t="s">
        <v>1798</v>
      </c>
      <c r="H447">
        <v>0</v>
      </c>
      <c r="I447">
        <v>546.80935699999998</v>
      </c>
      <c r="J447">
        <v>9.489264137512146</v>
      </c>
      <c r="K447">
        <v>0</v>
      </c>
      <c r="L447">
        <v>1.1053954961484831</v>
      </c>
      <c r="M447">
        <v>39.89</v>
      </c>
      <c r="N447">
        <v>22.06</v>
      </c>
    </row>
    <row r="448" spans="1:14" x14ac:dyDescent="0.35">
      <c r="A448" s="1" t="s">
        <v>460</v>
      </c>
      <c r="B448" t="str">
        <f>HYPERLINK("https://www.suredividend.com/sure-analysis-research-database/","Dycom Industries, Inc.")</f>
        <v>Dycom Industries, Inc.</v>
      </c>
      <c r="C448" t="s">
        <v>1799</v>
      </c>
      <c r="D448">
        <v>83.42</v>
      </c>
      <c r="E448">
        <v>0</v>
      </c>
      <c r="F448" t="s">
        <v>1798</v>
      </c>
      <c r="G448" t="s">
        <v>1798</v>
      </c>
      <c r="H448">
        <v>0</v>
      </c>
      <c r="I448">
        <v>2446.9931459999998</v>
      </c>
      <c r="J448">
        <v>12.83904268649982</v>
      </c>
      <c r="K448">
        <v>0</v>
      </c>
      <c r="L448">
        <v>0.92137785455589305</v>
      </c>
      <c r="M448">
        <v>122.13</v>
      </c>
      <c r="N448">
        <v>77.33</v>
      </c>
    </row>
    <row r="449" spans="1:14" x14ac:dyDescent="0.35">
      <c r="A449" s="1" t="s">
        <v>461</v>
      </c>
      <c r="B449" t="str">
        <f>HYPERLINK("https://www.suredividend.com/sure-analysis-research-database/","Dyne Therapeutics Inc")</f>
        <v>Dyne Therapeutics Inc</v>
      </c>
      <c r="C449" t="s">
        <v>1798</v>
      </c>
      <c r="D449">
        <v>8.16</v>
      </c>
      <c r="E449">
        <v>0</v>
      </c>
      <c r="F449" t="s">
        <v>1798</v>
      </c>
      <c r="G449" t="s">
        <v>1798</v>
      </c>
      <c r="H449">
        <v>0</v>
      </c>
      <c r="I449">
        <v>497.927166</v>
      </c>
      <c r="J449">
        <v>0</v>
      </c>
      <c r="K449" t="s">
        <v>1798</v>
      </c>
      <c r="L449">
        <v>1.0057182448417521</v>
      </c>
      <c r="M449">
        <v>15.6</v>
      </c>
      <c r="N449">
        <v>7.39</v>
      </c>
    </row>
    <row r="450" spans="1:14" x14ac:dyDescent="0.35">
      <c r="A450" s="1" t="s">
        <v>462</v>
      </c>
      <c r="B450" t="str">
        <f>HYPERLINK("https://www.suredividend.com/sure-analysis-research-database/","DZS Inc")</f>
        <v>DZS Inc</v>
      </c>
      <c r="C450" t="s">
        <v>1804</v>
      </c>
      <c r="D450">
        <v>1.64</v>
      </c>
      <c r="E450">
        <v>0</v>
      </c>
      <c r="F450" t="s">
        <v>1798</v>
      </c>
      <c r="G450" t="s">
        <v>1798</v>
      </c>
      <c r="H450">
        <v>0</v>
      </c>
      <c r="I450">
        <v>51.102035999999998</v>
      </c>
      <c r="J450" t="s">
        <v>1798</v>
      </c>
      <c r="K450">
        <v>0</v>
      </c>
      <c r="L450">
        <v>1.1578736965063581</v>
      </c>
      <c r="M450">
        <v>16.25</v>
      </c>
      <c r="N450">
        <v>1.58</v>
      </c>
    </row>
    <row r="451" spans="1:14" x14ac:dyDescent="0.35">
      <c r="A451" s="1" t="s">
        <v>463</v>
      </c>
      <c r="B451" t="str">
        <f>HYPERLINK("https://www.suredividend.com/sure-analysis-research-database/","GrafTech International Ltd.")</f>
        <v>GrafTech International Ltd.</v>
      </c>
      <c r="C451" t="s">
        <v>1799</v>
      </c>
      <c r="D451">
        <v>3.42</v>
      </c>
      <c r="E451">
        <v>8.7667264207190003E-3</v>
      </c>
      <c r="F451">
        <v>0</v>
      </c>
      <c r="G451">
        <v>-0.34819721036862328</v>
      </c>
      <c r="H451">
        <v>2.9982204358859E-2</v>
      </c>
      <c r="I451">
        <v>878.28301799999997</v>
      </c>
      <c r="J451">
        <v>6.8315911233490461</v>
      </c>
      <c r="K451">
        <v>5.9916475537288169E-2</v>
      </c>
      <c r="L451">
        <v>1.392940522421152</v>
      </c>
      <c r="M451">
        <v>6.73</v>
      </c>
      <c r="N451">
        <v>3.32</v>
      </c>
    </row>
    <row r="452" spans="1:14" x14ac:dyDescent="0.35">
      <c r="A452" s="1" t="s">
        <v>464</v>
      </c>
      <c r="B452" t="str">
        <f>HYPERLINK("https://www.suredividend.com/sure-analysis-research-database/","Brinker International, Inc.")</f>
        <v>Brinker International, Inc.</v>
      </c>
      <c r="C452" t="s">
        <v>1802</v>
      </c>
      <c r="D452">
        <v>30.37</v>
      </c>
      <c r="E452">
        <v>0</v>
      </c>
      <c r="F452" t="s">
        <v>1798</v>
      </c>
      <c r="G452" t="s">
        <v>1798</v>
      </c>
      <c r="H452">
        <v>0</v>
      </c>
      <c r="I452">
        <v>1341.801418</v>
      </c>
      <c r="J452">
        <v>13.07798652875244</v>
      </c>
      <c r="K452">
        <v>0</v>
      </c>
      <c r="L452">
        <v>1.2974517671719741</v>
      </c>
      <c r="M452">
        <v>42.12</v>
      </c>
      <c r="N452">
        <v>26.71</v>
      </c>
    </row>
    <row r="453" spans="1:14" x14ac:dyDescent="0.35">
      <c r="A453" s="1" t="s">
        <v>465</v>
      </c>
      <c r="B453" t="str">
        <f>HYPERLINK("https://www.suredividend.com/sure-analysis-research-database/","Eventbrite Inc")</f>
        <v>Eventbrite Inc</v>
      </c>
      <c r="C453" t="s">
        <v>1804</v>
      </c>
      <c r="D453">
        <v>8.4</v>
      </c>
      <c r="E453">
        <v>0</v>
      </c>
      <c r="F453" t="s">
        <v>1798</v>
      </c>
      <c r="G453" t="s">
        <v>1798</v>
      </c>
      <c r="H453">
        <v>0</v>
      </c>
      <c r="I453">
        <v>693</v>
      </c>
      <c r="J453" t="s">
        <v>1798</v>
      </c>
      <c r="K453">
        <v>0</v>
      </c>
      <c r="L453">
        <v>1.6551572397470999</v>
      </c>
      <c r="M453">
        <v>11.91</v>
      </c>
      <c r="N453">
        <v>5.3</v>
      </c>
    </row>
    <row r="454" spans="1:14" x14ac:dyDescent="0.35">
      <c r="A454" s="1" t="s">
        <v>466</v>
      </c>
      <c r="B454" t="str">
        <f>HYPERLINK("https://www.suredividend.com/sure-analysis-research-database/","Eastern Bankshares Inc.")</f>
        <v>Eastern Bankshares Inc.</v>
      </c>
      <c r="C454" t="s">
        <v>1798</v>
      </c>
      <c r="D454">
        <v>11.76</v>
      </c>
      <c r="E454">
        <v>3.3279663647652002E-2</v>
      </c>
      <c r="F454" t="s">
        <v>1798</v>
      </c>
      <c r="G454" t="s">
        <v>1798</v>
      </c>
      <c r="H454">
        <v>0.39136884449639298</v>
      </c>
      <c r="I454">
        <v>2074.1896980000001</v>
      </c>
      <c r="J454" t="s">
        <v>1798</v>
      </c>
      <c r="K454" t="s">
        <v>1798</v>
      </c>
      <c r="L454">
        <v>1.062126723597818</v>
      </c>
      <c r="M454">
        <v>20.6</v>
      </c>
      <c r="N454">
        <v>9.61</v>
      </c>
    </row>
    <row r="455" spans="1:14" x14ac:dyDescent="0.35">
      <c r="A455" s="1" t="s">
        <v>467</v>
      </c>
      <c r="B455" t="str">
        <f>HYPERLINK("https://www.suredividend.com/sure-analysis-EBF/","Ennis Inc.")</f>
        <v>Ennis Inc.</v>
      </c>
      <c r="C455" t="s">
        <v>1799</v>
      </c>
      <c r="D455">
        <v>21.42</v>
      </c>
      <c r="E455">
        <v>4.6685340802987862E-2</v>
      </c>
      <c r="F455">
        <v>0</v>
      </c>
      <c r="G455">
        <v>2.1295687600135119E-2</v>
      </c>
      <c r="H455">
        <v>0.98230500376859908</v>
      </c>
      <c r="I455">
        <v>554.23605299999997</v>
      </c>
      <c r="J455">
        <v>12.04232688553798</v>
      </c>
      <c r="K455">
        <v>0.55497457840033848</v>
      </c>
      <c r="L455">
        <v>0.56795242868063101</v>
      </c>
      <c r="M455">
        <v>22.4</v>
      </c>
      <c r="N455">
        <v>18.489999999999998</v>
      </c>
    </row>
    <row r="456" spans="1:14" x14ac:dyDescent="0.35">
      <c r="A456" s="1" t="s">
        <v>468</v>
      </c>
      <c r="B456" t="str">
        <f>HYPERLINK("https://www.suredividend.com/sure-analysis-research-database/","Ebix Inc.")</f>
        <v>Ebix Inc.</v>
      </c>
      <c r="C456" t="s">
        <v>1804</v>
      </c>
      <c r="D456">
        <v>6.49</v>
      </c>
      <c r="E456">
        <v>1.1556240829003001E-2</v>
      </c>
      <c r="F456" t="s">
        <v>1798</v>
      </c>
      <c r="G456" t="s">
        <v>1798</v>
      </c>
      <c r="H456">
        <v>7.5000002980232003E-2</v>
      </c>
      <c r="I456">
        <v>200.55034599999999</v>
      </c>
      <c r="J456">
        <v>5.9880074525259772</v>
      </c>
      <c r="K456">
        <v>6.8807342183699077E-2</v>
      </c>
      <c r="L456">
        <v>2.893885767682908</v>
      </c>
      <c r="M456">
        <v>32.869999999999997</v>
      </c>
      <c r="N456">
        <v>5.42</v>
      </c>
    </row>
    <row r="457" spans="1:14" x14ac:dyDescent="0.35">
      <c r="A457" s="1" t="s">
        <v>469</v>
      </c>
      <c r="B457" t="str">
        <f>HYPERLINK("https://www.suredividend.com/sure-analysis-research-database/","Emergent Biosolutions Inc")</f>
        <v>Emergent Biosolutions Inc</v>
      </c>
      <c r="C457" t="s">
        <v>1803</v>
      </c>
      <c r="D457">
        <v>2.52</v>
      </c>
      <c r="E457">
        <v>0</v>
      </c>
      <c r="F457" t="s">
        <v>1798</v>
      </c>
      <c r="G457" t="s">
        <v>1798</v>
      </c>
      <c r="H457">
        <v>0</v>
      </c>
      <c r="I457">
        <v>130.553708</v>
      </c>
      <c r="J457" t="s">
        <v>1798</v>
      </c>
      <c r="K457">
        <v>0</v>
      </c>
      <c r="L457">
        <v>2.138863930373212</v>
      </c>
      <c r="M457">
        <v>21.88</v>
      </c>
      <c r="N457">
        <v>2.48</v>
      </c>
    </row>
    <row r="458" spans="1:14" x14ac:dyDescent="0.35">
      <c r="A458" s="1" t="s">
        <v>470</v>
      </c>
      <c r="B458" t="str">
        <f>HYPERLINK("https://www.suredividend.com/sure-analysis-EBTC/","Enterprise Bancorp, Inc.")</f>
        <v>Enterprise Bancorp, Inc.</v>
      </c>
      <c r="C458" t="s">
        <v>1801</v>
      </c>
      <c r="D458">
        <v>26.84</v>
      </c>
      <c r="E458">
        <v>3.4277198211624442E-2</v>
      </c>
      <c r="F458" t="s">
        <v>1798</v>
      </c>
      <c r="G458" t="s">
        <v>1798</v>
      </c>
      <c r="H458">
        <v>0.87679335313207707</v>
      </c>
      <c r="I458">
        <v>328.59720800000002</v>
      </c>
      <c r="J458">
        <v>0</v>
      </c>
      <c r="K458" t="s">
        <v>1798</v>
      </c>
      <c r="L458">
        <v>0.86584712671793207</v>
      </c>
      <c r="M458">
        <v>35.35</v>
      </c>
      <c r="N458">
        <v>25.45</v>
      </c>
    </row>
    <row r="459" spans="1:14" x14ac:dyDescent="0.35">
      <c r="A459" s="1" t="s">
        <v>471</v>
      </c>
      <c r="B459" t="str">
        <f>HYPERLINK("https://www.suredividend.com/sure-analysis-research-database/","Encore Capital Group, Inc.")</f>
        <v>Encore Capital Group, Inc.</v>
      </c>
      <c r="C459" t="s">
        <v>1801</v>
      </c>
      <c r="D459">
        <v>47.13</v>
      </c>
      <c r="E459">
        <v>0</v>
      </c>
      <c r="F459" t="s">
        <v>1798</v>
      </c>
      <c r="G459" t="s">
        <v>1798</v>
      </c>
      <c r="H459">
        <v>0</v>
      </c>
      <c r="I459">
        <v>1106.8521969999999</v>
      </c>
      <c r="J459">
        <v>334.69978755367413</v>
      </c>
      <c r="K459">
        <v>0</v>
      </c>
      <c r="L459">
        <v>0.83433486749398811</v>
      </c>
      <c r="M459">
        <v>58.46</v>
      </c>
      <c r="N459">
        <v>42.5</v>
      </c>
    </row>
    <row r="460" spans="1:14" x14ac:dyDescent="0.35">
      <c r="A460" s="1" t="s">
        <v>472</v>
      </c>
      <c r="B460" t="str">
        <f>HYPERLINK("https://www.suredividend.com/sure-analysis-research-database/","Ecovyst Inc")</f>
        <v>Ecovyst Inc</v>
      </c>
      <c r="C460" t="s">
        <v>1798</v>
      </c>
      <c r="D460">
        <v>9.34</v>
      </c>
      <c r="E460">
        <v>0</v>
      </c>
      <c r="F460" t="s">
        <v>1798</v>
      </c>
      <c r="G460" t="s">
        <v>1798</v>
      </c>
      <c r="H460">
        <v>0</v>
      </c>
      <c r="I460">
        <v>1089.4519989999999</v>
      </c>
      <c r="J460">
        <v>15.29527712725333</v>
      </c>
      <c r="K460">
        <v>0</v>
      </c>
      <c r="L460">
        <v>0.94208099851512406</v>
      </c>
      <c r="M460">
        <v>12.35</v>
      </c>
      <c r="N460">
        <v>8.1999999999999993</v>
      </c>
    </row>
    <row r="461" spans="1:14" x14ac:dyDescent="0.35">
      <c r="A461" s="1" t="s">
        <v>473</v>
      </c>
      <c r="B461" t="str">
        <f>HYPERLINK("https://www.suredividend.com/sure-analysis-research-database/","Editas Medicine Inc")</f>
        <v>Editas Medicine Inc</v>
      </c>
      <c r="C461" t="s">
        <v>1803</v>
      </c>
      <c r="D461">
        <v>7.05</v>
      </c>
      <c r="E461">
        <v>0</v>
      </c>
      <c r="F461" t="s">
        <v>1798</v>
      </c>
      <c r="G461" t="s">
        <v>1798</v>
      </c>
      <c r="H461">
        <v>0</v>
      </c>
      <c r="I461">
        <v>575.50996399999997</v>
      </c>
      <c r="J461" t="s">
        <v>1798</v>
      </c>
      <c r="K461">
        <v>0</v>
      </c>
      <c r="L461">
        <v>1.7019907292733081</v>
      </c>
      <c r="M461">
        <v>14.23</v>
      </c>
      <c r="N461">
        <v>6.33</v>
      </c>
    </row>
    <row r="462" spans="1:14" x14ac:dyDescent="0.35">
      <c r="A462" s="1" t="s">
        <v>474</v>
      </c>
      <c r="B462" t="str">
        <f>HYPERLINK("https://www.suredividend.com/sure-analysis-research-database/","Excelerate Energy Inc")</f>
        <v>Excelerate Energy Inc</v>
      </c>
      <c r="C462" t="s">
        <v>1806</v>
      </c>
      <c r="D462">
        <v>15.21</v>
      </c>
      <c r="E462">
        <v>6.5623248559840003E-3</v>
      </c>
      <c r="F462" t="s">
        <v>1798</v>
      </c>
      <c r="G462" t="s">
        <v>1798</v>
      </c>
      <c r="H462">
        <v>9.9812961059519006E-2</v>
      </c>
      <c r="I462">
        <v>399.32587999999998</v>
      </c>
      <c r="J462">
        <v>27.985554703903571</v>
      </c>
      <c r="K462">
        <v>0.18374992831281109</v>
      </c>
      <c r="L462">
        <v>1.056087217329809</v>
      </c>
      <c r="M462">
        <v>31.02</v>
      </c>
      <c r="N462">
        <v>14.88</v>
      </c>
    </row>
    <row r="463" spans="1:14" x14ac:dyDescent="0.35">
      <c r="A463" s="1" t="s">
        <v>475</v>
      </c>
      <c r="B463" t="str">
        <f>HYPERLINK("https://www.suredividend.com/sure-analysis-EFC/","Ellington Financial Inc")</f>
        <v>Ellington Financial Inc</v>
      </c>
      <c r="C463" t="s">
        <v>1801</v>
      </c>
      <c r="D463">
        <v>12.57</v>
      </c>
      <c r="E463">
        <v>0.14319809069212411</v>
      </c>
      <c r="F463">
        <v>0</v>
      </c>
      <c r="G463">
        <v>0</v>
      </c>
      <c r="H463">
        <v>1.690504634121393</v>
      </c>
      <c r="I463">
        <v>854.97499700000003</v>
      </c>
      <c r="J463">
        <v>27.352197750335911</v>
      </c>
      <c r="K463">
        <v>3.4877339263903302</v>
      </c>
      <c r="L463">
        <v>0.98504643478779808</v>
      </c>
      <c r="M463">
        <v>13.73</v>
      </c>
      <c r="N463">
        <v>9.9700000000000006</v>
      </c>
    </row>
    <row r="464" spans="1:14" x14ac:dyDescent="0.35">
      <c r="A464" s="1" t="s">
        <v>476</v>
      </c>
      <c r="B464" t="str">
        <f>HYPERLINK("https://www.suredividend.com/sure-analysis-research-database/","Enterprise Financial Services Corp.")</f>
        <v>Enterprise Financial Services Corp.</v>
      </c>
      <c r="C464" t="s">
        <v>1801</v>
      </c>
      <c r="D464">
        <v>36.659999999999997</v>
      </c>
      <c r="E464">
        <v>2.6556568886397999E-2</v>
      </c>
      <c r="F464">
        <v>8.6956521739130377E-2</v>
      </c>
      <c r="G464">
        <v>0.1397230490720158</v>
      </c>
      <c r="H464">
        <v>0.97356381537535908</v>
      </c>
      <c r="I464">
        <v>1370.501986</v>
      </c>
      <c r="J464">
        <v>6.4855264168997282</v>
      </c>
      <c r="K464">
        <v>0.1726176977615885</v>
      </c>
      <c r="L464">
        <v>0.90390560778081508</v>
      </c>
      <c r="M464">
        <v>54.68</v>
      </c>
      <c r="N464">
        <v>35.28</v>
      </c>
    </row>
    <row r="465" spans="1:14" x14ac:dyDescent="0.35">
      <c r="A465" s="1" t="s">
        <v>477</v>
      </c>
      <c r="B465" t="str">
        <f>HYPERLINK("https://www.suredividend.com/sure-analysis-research-database/","eGain Corp")</f>
        <v>eGain Corp</v>
      </c>
      <c r="C465" t="s">
        <v>1804</v>
      </c>
      <c r="D465">
        <v>6.08</v>
      </c>
      <c r="E465">
        <v>0</v>
      </c>
      <c r="F465" t="s">
        <v>1798</v>
      </c>
      <c r="G465" t="s">
        <v>1798</v>
      </c>
      <c r="H465">
        <v>0</v>
      </c>
      <c r="I465">
        <v>190.29892899999999</v>
      </c>
      <c r="J465">
        <v>90.231829909909905</v>
      </c>
      <c r="K465">
        <v>0</v>
      </c>
      <c r="L465">
        <v>1.0008442794303991</v>
      </c>
      <c r="M465">
        <v>10.35</v>
      </c>
      <c r="N465">
        <v>5.61</v>
      </c>
    </row>
    <row r="466" spans="1:14" x14ac:dyDescent="0.35">
      <c r="A466" s="1" t="s">
        <v>478</v>
      </c>
      <c r="B466" t="str">
        <f>HYPERLINK("https://www.suredividend.com/sure-analysis-research-database/","Eagle Bancorp Inc (MD)")</f>
        <v>Eagle Bancorp Inc (MD)</v>
      </c>
      <c r="C466" t="s">
        <v>1801</v>
      </c>
      <c r="D466">
        <v>19.239999999999998</v>
      </c>
      <c r="E466">
        <v>6.8188789906943006E-2</v>
      </c>
      <c r="F466" t="s">
        <v>1798</v>
      </c>
      <c r="G466" t="s">
        <v>1798</v>
      </c>
      <c r="H466">
        <v>1.311952317809594</v>
      </c>
      <c r="I466">
        <v>575.39018899999996</v>
      </c>
      <c r="J466">
        <v>4.3453222374939582</v>
      </c>
      <c r="K466">
        <v>0.31162762893339518</v>
      </c>
      <c r="L466">
        <v>1.0203370158977689</v>
      </c>
      <c r="M466">
        <v>46.64</v>
      </c>
      <c r="N466">
        <v>16.12</v>
      </c>
    </row>
    <row r="467" spans="1:14" x14ac:dyDescent="0.35">
      <c r="A467" s="1" t="s">
        <v>479</v>
      </c>
      <c r="B467" t="str">
        <f>HYPERLINK("https://www.suredividend.com/sure-analysis-research-database/","8X8 Inc.")</f>
        <v>8X8 Inc.</v>
      </c>
      <c r="C467" t="s">
        <v>1804</v>
      </c>
      <c r="D467">
        <v>2.38</v>
      </c>
      <c r="E467">
        <v>0</v>
      </c>
      <c r="F467" t="s">
        <v>1798</v>
      </c>
      <c r="G467" t="s">
        <v>1798</v>
      </c>
      <c r="H467">
        <v>0</v>
      </c>
      <c r="I467">
        <v>285.470797</v>
      </c>
      <c r="J467" t="s">
        <v>1798</v>
      </c>
      <c r="K467">
        <v>0</v>
      </c>
      <c r="L467">
        <v>2.4048398758614749</v>
      </c>
      <c r="M467">
        <v>6.49</v>
      </c>
      <c r="N467">
        <v>2.33</v>
      </c>
    </row>
    <row r="468" spans="1:14" x14ac:dyDescent="0.35">
      <c r="A468" s="1" t="s">
        <v>480</v>
      </c>
      <c r="B468" t="str">
        <f>HYPERLINK("https://www.suredividend.com/sure-analysis-research-database/","Edgio Inc")</f>
        <v>Edgio Inc</v>
      </c>
      <c r="C468" t="s">
        <v>1798</v>
      </c>
      <c r="D468">
        <v>0.84840000000000004</v>
      </c>
      <c r="E468">
        <v>0</v>
      </c>
      <c r="F468" t="s">
        <v>1798</v>
      </c>
      <c r="G468" t="s">
        <v>1798</v>
      </c>
      <c r="H468">
        <v>0</v>
      </c>
      <c r="I468">
        <v>190.85284999999999</v>
      </c>
      <c r="J468" t="s">
        <v>1798</v>
      </c>
      <c r="K468">
        <v>0</v>
      </c>
      <c r="L468">
        <v>0.48493272508037899</v>
      </c>
      <c r="M468">
        <v>3.06</v>
      </c>
      <c r="N468">
        <v>0.45</v>
      </c>
    </row>
    <row r="469" spans="1:14" x14ac:dyDescent="0.35">
      <c r="A469" s="1" t="s">
        <v>481</v>
      </c>
      <c r="B469" t="str">
        <f>HYPERLINK("https://www.suredividend.com/sure-analysis-research-database/","Eagle Bulk Shipping Inc")</f>
        <v>Eagle Bulk Shipping Inc</v>
      </c>
      <c r="C469" t="s">
        <v>1799</v>
      </c>
      <c r="D469">
        <v>42.76</v>
      </c>
      <c r="E469">
        <v>4.0961233194177001E-2</v>
      </c>
      <c r="F469" t="s">
        <v>1798</v>
      </c>
      <c r="G469" t="s">
        <v>1798</v>
      </c>
      <c r="H469">
        <v>1.7515023313830369</v>
      </c>
      <c r="I469">
        <v>424.99121200000002</v>
      </c>
      <c r="J469">
        <v>3.4918061013384158</v>
      </c>
      <c r="K469">
        <v>0.22255429877802249</v>
      </c>
      <c r="L469">
        <v>0.79544334347512502</v>
      </c>
      <c r="M469">
        <v>65.28</v>
      </c>
      <c r="N469">
        <v>38.659999999999997</v>
      </c>
    </row>
    <row r="470" spans="1:14" x14ac:dyDescent="0.35">
      <c r="A470" s="1" t="s">
        <v>482</v>
      </c>
      <c r="B470" t="str">
        <f>HYPERLINK("https://www.suredividend.com/sure-analysis-research-database/","Eagle Pharmaceuticals Inc")</f>
        <v>Eagle Pharmaceuticals Inc</v>
      </c>
      <c r="C470" t="s">
        <v>1803</v>
      </c>
      <c r="D470">
        <v>13.43</v>
      </c>
      <c r="E470">
        <v>0</v>
      </c>
      <c r="F470" t="s">
        <v>1798</v>
      </c>
      <c r="G470" t="s">
        <v>1798</v>
      </c>
      <c r="H470">
        <v>0</v>
      </c>
      <c r="I470">
        <v>174.415021</v>
      </c>
      <c r="J470">
        <v>14.597842361064609</v>
      </c>
      <c r="K470">
        <v>0</v>
      </c>
      <c r="L470">
        <v>1.03579142234143</v>
      </c>
      <c r="M470">
        <v>40.85</v>
      </c>
      <c r="N470">
        <v>12.36</v>
      </c>
    </row>
    <row r="471" spans="1:14" x14ac:dyDescent="0.35">
      <c r="A471" s="1" t="s">
        <v>483</v>
      </c>
      <c r="B471" t="str">
        <f>HYPERLINK("https://www.suredividend.com/sure-analysis-research-database/","VAALCO Energy, Inc.")</f>
        <v>VAALCO Energy, Inc.</v>
      </c>
      <c r="C471" t="s">
        <v>1808</v>
      </c>
      <c r="D471">
        <v>4.17</v>
      </c>
      <c r="E471">
        <v>5.1780581888861997E-2</v>
      </c>
      <c r="F471" t="s">
        <v>1798</v>
      </c>
      <c r="G471" t="s">
        <v>1798</v>
      </c>
      <c r="H471">
        <v>0.21592502647655601</v>
      </c>
      <c r="I471">
        <v>444.004144</v>
      </c>
      <c r="J471">
        <v>12.963246164491551</v>
      </c>
      <c r="K471">
        <v>0.59532678929295835</v>
      </c>
      <c r="L471">
        <v>0.98020466280345209</v>
      </c>
      <c r="M471">
        <v>5.45</v>
      </c>
      <c r="N471">
        <v>3.41</v>
      </c>
    </row>
    <row r="472" spans="1:14" x14ac:dyDescent="0.35">
      <c r="A472" s="1" t="s">
        <v>484</v>
      </c>
      <c r="B472" t="str">
        <f>HYPERLINK("https://www.suredividend.com/sure-analysis-research-database/","eHealth Inc")</f>
        <v>eHealth Inc</v>
      </c>
      <c r="C472" t="s">
        <v>1801</v>
      </c>
      <c r="D472">
        <v>8.19</v>
      </c>
      <c r="E472">
        <v>0</v>
      </c>
      <c r="F472" t="s">
        <v>1798</v>
      </c>
      <c r="G472" t="s">
        <v>1798</v>
      </c>
      <c r="H472">
        <v>0</v>
      </c>
      <c r="I472">
        <v>230.04728800000001</v>
      </c>
      <c r="J472" t="s">
        <v>1798</v>
      </c>
      <c r="K472">
        <v>0</v>
      </c>
      <c r="L472">
        <v>1.4323416311509349</v>
      </c>
      <c r="M472">
        <v>10.57</v>
      </c>
      <c r="N472">
        <v>2.67</v>
      </c>
    </row>
    <row r="473" spans="1:14" x14ac:dyDescent="0.35">
      <c r="A473" s="1" t="s">
        <v>485</v>
      </c>
      <c r="B473" t="str">
        <f>HYPERLINK("https://www.suredividend.com/sure-analysis-research-database/","Employers Holdings Inc")</f>
        <v>Employers Holdings Inc</v>
      </c>
      <c r="C473" t="s">
        <v>1801</v>
      </c>
      <c r="D473">
        <v>39.9</v>
      </c>
      <c r="E473">
        <v>2.6620573083657E-2</v>
      </c>
      <c r="F473">
        <v>7.6923076923077094E-2</v>
      </c>
      <c r="G473">
        <v>4.9414522844583919E-2</v>
      </c>
      <c r="H473">
        <v>1.0621608660379529</v>
      </c>
      <c r="I473">
        <v>1039.9461389999999</v>
      </c>
      <c r="J473">
        <v>8.3329017524038456</v>
      </c>
      <c r="K473">
        <v>0.23191285284671459</v>
      </c>
      <c r="L473">
        <v>0.57323293299091804</v>
      </c>
      <c r="M473">
        <v>45.19</v>
      </c>
      <c r="N473">
        <v>33.380000000000003</v>
      </c>
    </row>
    <row r="474" spans="1:14" x14ac:dyDescent="0.35">
      <c r="A474" s="1" t="s">
        <v>486</v>
      </c>
      <c r="B474" t="str">
        <f>HYPERLINK("https://www.suredividend.com/sure-analysis-research-database/","Eiger BioPharmaceuticals Inc")</f>
        <v>Eiger BioPharmaceuticals Inc</v>
      </c>
      <c r="C474" t="s">
        <v>1803</v>
      </c>
      <c r="D474">
        <v>0.2505</v>
      </c>
      <c r="E474">
        <v>0</v>
      </c>
      <c r="F474" t="s">
        <v>1798</v>
      </c>
      <c r="G474" t="s">
        <v>1798</v>
      </c>
      <c r="H474">
        <v>0</v>
      </c>
      <c r="I474">
        <v>11.096252</v>
      </c>
      <c r="J474">
        <v>0</v>
      </c>
      <c r="K474" t="s">
        <v>1798</v>
      </c>
      <c r="L474">
        <v>1.1472531617616919</v>
      </c>
      <c r="M474">
        <v>6.03</v>
      </c>
      <c r="N474">
        <v>0.2306</v>
      </c>
    </row>
    <row r="475" spans="1:14" x14ac:dyDescent="0.35">
      <c r="A475" s="1" t="s">
        <v>487</v>
      </c>
      <c r="B475" t="str">
        <f>HYPERLINK("https://www.suredividend.com/sure-analysis-research-database/","e.l.f. Beauty Inc")</f>
        <v>e.l.f. Beauty Inc</v>
      </c>
      <c r="C475" t="s">
        <v>1805</v>
      </c>
      <c r="D475">
        <v>101.39</v>
      </c>
      <c r="E475">
        <v>0</v>
      </c>
      <c r="F475" t="s">
        <v>1798</v>
      </c>
      <c r="G475" t="s">
        <v>1798</v>
      </c>
      <c r="H475">
        <v>0</v>
      </c>
      <c r="I475">
        <v>5538.08007</v>
      </c>
      <c r="J475">
        <v>55.359763987584721</v>
      </c>
      <c r="K475">
        <v>0</v>
      </c>
      <c r="L475">
        <v>0.98420665738094104</v>
      </c>
      <c r="M475">
        <v>139.85</v>
      </c>
      <c r="N475">
        <v>39.86</v>
      </c>
    </row>
    <row r="476" spans="1:14" x14ac:dyDescent="0.35">
      <c r="A476" s="1" t="s">
        <v>488</v>
      </c>
      <c r="B476" t="str">
        <f>HYPERLINK("https://www.suredividend.com/sure-analysis-research-database/","Elme Communities")</f>
        <v>Elme Communities</v>
      </c>
      <c r="C476" t="s">
        <v>1798</v>
      </c>
      <c r="D476">
        <v>13.95</v>
      </c>
      <c r="E476">
        <v>5.0029293795469998E-2</v>
      </c>
      <c r="F476" t="s">
        <v>1798</v>
      </c>
      <c r="G476" t="s">
        <v>1798</v>
      </c>
      <c r="H476">
        <v>0.69790864844681011</v>
      </c>
      <c r="I476">
        <v>1225.1373229999999</v>
      </c>
      <c r="J476" t="s">
        <v>1798</v>
      </c>
      <c r="K476" t="s">
        <v>1798</v>
      </c>
      <c r="L476">
        <v>0.91254501080838302</v>
      </c>
      <c r="M476">
        <v>19.38</v>
      </c>
      <c r="N476">
        <v>13.19</v>
      </c>
    </row>
    <row r="477" spans="1:14" x14ac:dyDescent="0.35">
      <c r="A477" s="1" t="s">
        <v>489</v>
      </c>
      <c r="B477" t="str">
        <f>HYPERLINK("https://www.suredividend.com/sure-analysis-research-database/","Embecta Corp")</f>
        <v>Embecta Corp</v>
      </c>
      <c r="C477" t="s">
        <v>1798</v>
      </c>
      <c r="D477">
        <v>15.3</v>
      </c>
      <c r="E477">
        <v>3.8569658757757003E-2</v>
      </c>
      <c r="F477" t="s">
        <v>1798</v>
      </c>
      <c r="G477" t="s">
        <v>1798</v>
      </c>
      <c r="H477">
        <v>0.59011577899369105</v>
      </c>
      <c r="I477">
        <v>876.74440700000002</v>
      </c>
      <c r="J477">
        <v>3.9210393864042929</v>
      </c>
      <c r="K477">
        <v>0.15170071439426511</v>
      </c>
      <c r="L477">
        <v>1.125868992434935</v>
      </c>
      <c r="M477">
        <v>35.450000000000003</v>
      </c>
      <c r="N477">
        <v>12.72</v>
      </c>
    </row>
    <row r="478" spans="1:14" x14ac:dyDescent="0.35">
      <c r="A478" s="1" t="s">
        <v>490</v>
      </c>
      <c r="B478" t="str">
        <f>HYPERLINK("https://www.suredividend.com/sure-analysis-research-database/","Emcor Group, Inc.")</f>
        <v>Emcor Group, Inc.</v>
      </c>
      <c r="C478" t="s">
        <v>1799</v>
      </c>
      <c r="D478">
        <v>202.02</v>
      </c>
      <c r="E478">
        <v>4.1504790825200007E-3</v>
      </c>
      <c r="F478">
        <v>0.2</v>
      </c>
      <c r="G478">
        <v>0.17607902252467361</v>
      </c>
      <c r="H478">
        <v>0.8384797842508751</v>
      </c>
      <c r="I478">
        <v>9605.1903949999996</v>
      </c>
      <c r="J478">
        <v>19.839695944974601</v>
      </c>
      <c r="K478">
        <v>8.3347891078615816E-2</v>
      </c>
      <c r="L478">
        <v>0.87062978122267409</v>
      </c>
      <c r="M478">
        <v>227.3</v>
      </c>
      <c r="N478">
        <v>123.11</v>
      </c>
    </row>
    <row r="479" spans="1:14" x14ac:dyDescent="0.35">
      <c r="A479" s="1" t="s">
        <v>491</v>
      </c>
      <c r="B479" t="str">
        <f>HYPERLINK("https://www.suredividend.com/sure-analysis-research-database/","Enfusion Inc")</f>
        <v>Enfusion Inc</v>
      </c>
      <c r="C479" t="s">
        <v>1798</v>
      </c>
      <c r="D479">
        <v>8.7100000000000009</v>
      </c>
      <c r="E479">
        <v>0</v>
      </c>
      <c r="F479" t="s">
        <v>1798</v>
      </c>
      <c r="G479" t="s">
        <v>1798</v>
      </c>
      <c r="H479">
        <v>0</v>
      </c>
      <c r="I479">
        <v>733.63260400000001</v>
      </c>
      <c r="J479">
        <v>130.84226932762621</v>
      </c>
      <c r="K479">
        <v>0</v>
      </c>
      <c r="L479">
        <v>0.76621895184702304</v>
      </c>
      <c r="M479">
        <v>14.61</v>
      </c>
      <c r="N479">
        <v>7.37</v>
      </c>
    </row>
    <row r="480" spans="1:14" x14ac:dyDescent="0.35">
      <c r="A480" s="1" t="s">
        <v>492</v>
      </c>
      <c r="B480" t="str">
        <f>HYPERLINK("https://www.suredividend.com/sure-analysis-research-database/","Enochian Biosciences Inc")</f>
        <v>Enochian Biosciences Inc</v>
      </c>
      <c r="C480" t="s">
        <v>1803</v>
      </c>
      <c r="D480">
        <v>0.70000000000000007</v>
      </c>
      <c r="E480">
        <v>0</v>
      </c>
      <c r="F480" t="s">
        <v>1798</v>
      </c>
      <c r="G480" t="s">
        <v>1798</v>
      </c>
      <c r="H480">
        <v>0</v>
      </c>
      <c r="I480">
        <v>40.798513999999997</v>
      </c>
      <c r="J480">
        <v>0</v>
      </c>
      <c r="K480" t="s">
        <v>1798</v>
      </c>
      <c r="L480">
        <v>1.377727815675019</v>
      </c>
      <c r="M480">
        <v>2.99</v>
      </c>
      <c r="N480">
        <v>0.39279999999999998</v>
      </c>
    </row>
    <row r="481" spans="1:14" x14ac:dyDescent="0.35">
      <c r="A481" s="1" t="s">
        <v>493</v>
      </c>
      <c r="B481" t="str">
        <f>HYPERLINK("https://www.suredividend.com/sure-analysis-research-database/","Energizer Holdings Inc")</f>
        <v>Energizer Holdings Inc</v>
      </c>
      <c r="C481" t="s">
        <v>1799</v>
      </c>
      <c r="D481">
        <v>30.96</v>
      </c>
      <c r="E481">
        <v>3.8263914606072001E-2</v>
      </c>
      <c r="F481">
        <v>0</v>
      </c>
      <c r="G481">
        <v>0</v>
      </c>
      <c r="H481">
        <v>1.1846507962040189</v>
      </c>
      <c r="I481">
        <v>2213.181947</v>
      </c>
      <c r="J481" t="s">
        <v>1798</v>
      </c>
      <c r="K481" t="s">
        <v>1798</v>
      </c>
      <c r="L481">
        <v>0.9193692453256731</v>
      </c>
      <c r="M481">
        <v>37</v>
      </c>
      <c r="N481">
        <v>25.26</v>
      </c>
    </row>
    <row r="482" spans="1:14" x14ac:dyDescent="0.35">
      <c r="A482" s="1" t="s">
        <v>494</v>
      </c>
      <c r="B482" t="str">
        <f>HYPERLINK("https://www.suredividend.com/sure-analysis-research-database/","Enersys")</f>
        <v>Enersys</v>
      </c>
      <c r="C482" t="s">
        <v>1799</v>
      </c>
      <c r="D482">
        <v>93.15</v>
      </c>
      <c r="E482">
        <v>8.0279326944260009E-3</v>
      </c>
      <c r="F482">
        <v>0.28571428571428559</v>
      </c>
      <c r="G482">
        <v>5.1547496797280427E-2</v>
      </c>
      <c r="H482">
        <v>0.74780193048587407</v>
      </c>
      <c r="I482">
        <v>3822.868082</v>
      </c>
      <c r="J482">
        <v>18.064008629488399</v>
      </c>
      <c r="K482">
        <v>0.14634088659214761</v>
      </c>
      <c r="L482">
        <v>1.4267934181380479</v>
      </c>
      <c r="M482">
        <v>113.07</v>
      </c>
      <c r="N482">
        <v>57.99</v>
      </c>
    </row>
    <row r="483" spans="1:14" x14ac:dyDescent="0.35">
      <c r="A483" s="1" t="s">
        <v>495</v>
      </c>
      <c r="B483" t="str">
        <f>HYPERLINK("https://www.suredividend.com/sure-analysis-ENSG/","Ensign Group Inc")</f>
        <v>Ensign Group Inc</v>
      </c>
      <c r="C483" t="s">
        <v>1803</v>
      </c>
      <c r="D483">
        <v>95.64</v>
      </c>
      <c r="E483">
        <v>2.4048515265579261E-3</v>
      </c>
      <c r="F483">
        <v>0</v>
      </c>
      <c r="G483">
        <v>3.8950477489882777E-2</v>
      </c>
      <c r="H483">
        <v>0.22960885702679801</v>
      </c>
      <c r="I483">
        <v>5375.0495810000002</v>
      </c>
      <c r="J483">
        <v>22.349943162726881</v>
      </c>
      <c r="K483">
        <v>5.4409681759904738E-2</v>
      </c>
      <c r="L483">
        <v>0.619525995131739</v>
      </c>
      <c r="M483">
        <v>103.91</v>
      </c>
      <c r="N483">
        <v>81.91</v>
      </c>
    </row>
    <row r="484" spans="1:14" x14ac:dyDescent="0.35">
      <c r="A484" s="1" t="s">
        <v>496</v>
      </c>
      <c r="B484" t="str">
        <f>HYPERLINK("https://www.suredividend.com/sure-analysis-research-database/","Enanta Pharmaceuticals Inc")</f>
        <v>Enanta Pharmaceuticals Inc</v>
      </c>
      <c r="C484" t="s">
        <v>1803</v>
      </c>
      <c r="D484">
        <v>9.6300000000000008</v>
      </c>
      <c r="E484">
        <v>0</v>
      </c>
      <c r="F484" t="s">
        <v>1798</v>
      </c>
      <c r="G484" t="s">
        <v>1798</v>
      </c>
      <c r="H484">
        <v>0</v>
      </c>
      <c r="I484">
        <v>202.76342500000001</v>
      </c>
      <c r="J484" t="s">
        <v>1798</v>
      </c>
      <c r="K484">
        <v>0</v>
      </c>
      <c r="L484">
        <v>1.0652940419002019</v>
      </c>
      <c r="M484">
        <v>62.06</v>
      </c>
      <c r="N484">
        <v>9.44</v>
      </c>
    </row>
    <row r="485" spans="1:14" x14ac:dyDescent="0.35">
      <c r="A485" s="1" t="s">
        <v>497</v>
      </c>
      <c r="B485" t="str">
        <f>HYPERLINK("https://www.suredividend.com/sure-analysis-research-database/","Envestnet Inc.")</f>
        <v>Envestnet Inc.</v>
      </c>
      <c r="C485" t="s">
        <v>1804</v>
      </c>
      <c r="D485">
        <v>41.83</v>
      </c>
      <c r="E485">
        <v>0</v>
      </c>
      <c r="F485" t="s">
        <v>1798</v>
      </c>
      <c r="G485" t="s">
        <v>1798</v>
      </c>
      <c r="H485">
        <v>0</v>
      </c>
      <c r="I485">
        <v>2281.1647910000002</v>
      </c>
      <c r="J485" t="s">
        <v>1798</v>
      </c>
      <c r="K485">
        <v>0</v>
      </c>
      <c r="L485">
        <v>1.1328887410090269</v>
      </c>
      <c r="M485">
        <v>69.22</v>
      </c>
      <c r="N485">
        <v>38.35</v>
      </c>
    </row>
    <row r="486" spans="1:14" x14ac:dyDescent="0.35">
      <c r="A486" s="1" t="s">
        <v>498</v>
      </c>
      <c r="B486" t="str">
        <f>HYPERLINK("https://www.suredividend.com/sure-analysis-research-database/","Enova International Inc.")</f>
        <v>Enova International Inc.</v>
      </c>
      <c r="C486" t="s">
        <v>1801</v>
      </c>
      <c r="D486">
        <v>49.7</v>
      </c>
      <c r="E486">
        <v>0</v>
      </c>
      <c r="F486" t="s">
        <v>1798</v>
      </c>
      <c r="G486" t="s">
        <v>1798</v>
      </c>
      <c r="H486">
        <v>0</v>
      </c>
      <c r="I486">
        <v>1530.1311459999999</v>
      </c>
      <c r="J486">
        <v>7.5881295420733164</v>
      </c>
      <c r="K486">
        <v>0</v>
      </c>
      <c r="L486">
        <v>1.329906218644102</v>
      </c>
      <c r="M486">
        <v>58.64</v>
      </c>
      <c r="N486">
        <v>29.83</v>
      </c>
    </row>
    <row r="487" spans="1:14" x14ac:dyDescent="0.35">
      <c r="A487" s="1" t="s">
        <v>499</v>
      </c>
      <c r="B487" t="str">
        <f>HYPERLINK("https://www.suredividend.com/sure-analysis-research-database/","Enovix Corporation")</f>
        <v>Enovix Corporation</v>
      </c>
      <c r="C487" t="s">
        <v>1798</v>
      </c>
      <c r="D487">
        <v>10.18</v>
      </c>
      <c r="E487">
        <v>0</v>
      </c>
      <c r="F487" t="s">
        <v>1798</v>
      </c>
      <c r="G487" t="s">
        <v>1798</v>
      </c>
      <c r="H487">
        <v>0</v>
      </c>
      <c r="I487">
        <v>1630.0922390000001</v>
      </c>
      <c r="J487" t="s">
        <v>1798</v>
      </c>
      <c r="K487">
        <v>0</v>
      </c>
      <c r="L487">
        <v>2.3915567480584841</v>
      </c>
      <c r="M487">
        <v>23.9</v>
      </c>
      <c r="N487">
        <v>6.5</v>
      </c>
    </row>
    <row r="488" spans="1:14" x14ac:dyDescent="0.35">
      <c r="A488" s="1" t="s">
        <v>500</v>
      </c>
      <c r="B488" t="str">
        <f>HYPERLINK("https://www.suredividend.com/sure-analysis-research-database/","Evolus Inc")</f>
        <v>Evolus Inc</v>
      </c>
      <c r="C488" t="s">
        <v>1803</v>
      </c>
      <c r="D488">
        <v>8.14</v>
      </c>
      <c r="E488">
        <v>0</v>
      </c>
      <c r="F488" t="s">
        <v>1798</v>
      </c>
      <c r="G488" t="s">
        <v>1798</v>
      </c>
      <c r="H488">
        <v>0</v>
      </c>
      <c r="I488">
        <v>463.74852299999998</v>
      </c>
      <c r="J488" t="s">
        <v>1798</v>
      </c>
      <c r="K488">
        <v>0</v>
      </c>
      <c r="L488">
        <v>0.65798752679219008</v>
      </c>
      <c r="M488">
        <v>11.49</v>
      </c>
      <c r="N488">
        <v>6.51</v>
      </c>
    </row>
    <row r="489" spans="1:14" x14ac:dyDescent="0.35">
      <c r="A489" s="1" t="s">
        <v>501</v>
      </c>
      <c r="B489" t="str">
        <f>HYPERLINK("https://www.suredividend.com/sure-analysis-research-database/","Empire Petroleum Corporation")</f>
        <v>Empire Petroleum Corporation</v>
      </c>
      <c r="C489" t="s">
        <v>1798</v>
      </c>
      <c r="D489">
        <v>9.39</v>
      </c>
      <c r="E489">
        <v>0</v>
      </c>
      <c r="F489" t="s">
        <v>1798</v>
      </c>
      <c r="G489" t="s">
        <v>1798</v>
      </c>
      <c r="H489">
        <v>0</v>
      </c>
      <c r="I489">
        <v>213.376294</v>
      </c>
      <c r="J489">
        <v>0</v>
      </c>
      <c r="K489" t="s">
        <v>1798</v>
      </c>
      <c r="L489">
        <v>0.79401883430956111</v>
      </c>
      <c r="M489">
        <v>16.95</v>
      </c>
      <c r="N489">
        <v>8</v>
      </c>
    </row>
    <row r="490" spans="1:14" x14ac:dyDescent="0.35">
      <c r="A490" s="1" t="s">
        <v>502</v>
      </c>
      <c r="B490" t="str">
        <f>HYPERLINK("https://www.suredividend.com/sure-analysis-research-database/","Enerpac Tool Group Corp")</f>
        <v>Enerpac Tool Group Corp</v>
      </c>
      <c r="C490" t="s">
        <v>1799</v>
      </c>
      <c r="D490">
        <v>25.9</v>
      </c>
      <c r="E490">
        <v>1.544401509881E-3</v>
      </c>
      <c r="F490" t="s">
        <v>1798</v>
      </c>
      <c r="G490" t="s">
        <v>1798</v>
      </c>
      <c r="H490">
        <v>3.9999999105930002E-2</v>
      </c>
      <c r="I490">
        <v>1453.086452</v>
      </c>
      <c r="J490">
        <v>42.285137108602022</v>
      </c>
      <c r="K490">
        <v>6.6923204125698507E-2</v>
      </c>
      <c r="L490">
        <v>0.81481842521983106</v>
      </c>
      <c r="M490">
        <v>28.93</v>
      </c>
      <c r="N490">
        <v>21.58</v>
      </c>
    </row>
    <row r="491" spans="1:14" x14ac:dyDescent="0.35">
      <c r="A491" s="1" t="s">
        <v>503</v>
      </c>
      <c r="B491" t="str">
        <f>HYPERLINK("https://www.suredividend.com/sure-analysis-research-database/","Edgewell Personal Care Co")</f>
        <v>Edgewell Personal Care Co</v>
      </c>
      <c r="C491" t="s">
        <v>1805</v>
      </c>
      <c r="D491">
        <v>34.75</v>
      </c>
      <c r="E491">
        <v>1.7168618945167999E-2</v>
      </c>
      <c r="F491" t="s">
        <v>1798</v>
      </c>
      <c r="G491" t="s">
        <v>1798</v>
      </c>
      <c r="H491">
        <v>0.59660950834460402</v>
      </c>
      <c r="I491">
        <v>1765.7132120000001</v>
      </c>
      <c r="J491">
        <v>15.07867815755764</v>
      </c>
      <c r="K491">
        <v>0.26398650811708152</v>
      </c>
      <c r="L491">
        <v>0.72032009988887202</v>
      </c>
      <c r="M491">
        <v>45.78</v>
      </c>
      <c r="N491">
        <v>33.71</v>
      </c>
    </row>
    <row r="492" spans="1:14" x14ac:dyDescent="0.35">
      <c r="A492" s="1" t="s">
        <v>504</v>
      </c>
      <c r="B492" t="str">
        <f>HYPERLINK("https://www.suredividend.com/sure-analysis-EPRT/","Essential Properties Realty Trust Inc")</f>
        <v>Essential Properties Realty Trust Inc</v>
      </c>
      <c r="C492" t="s">
        <v>1800</v>
      </c>
      <c r="D492">
        <v>21.3</v>
      </c>
      <c r="E492">
        <v>5.258215962441315E-2</v>
      </c>
      <c r="F492">
        <v>3.7037037037036979E-2</v>
      </c>
      <c r="G492">
        <v>5.9223841048812183E-2</v>
      </c>
      <c r="H492">
        <v>1.0896875800392081</v>
      </c>
      <c r="I492">
        <v>3322.9821360000001</v>
      </c>
      <c r="J492">
        <v>19.863721681042989</v>
      </c>
      <c r="K492">
        <v>0.94755441742539837</v>
      </c>
      <c r="L492">
        <v>0.82075956576621212</v>
      </c>
      <c r="M492">
        <v>25.81</v>
      </c>
      <c r="N492">
        <v>17.989999999999998</v>
      </c>
    </row>
    <row r="493" spans="1:14" x14ac:dyDescent="0.35">
      <c r="A493" s="1" t="s">
        <v>505</v>
      </c>
      <c r="B493" t="str">
        <f>HYPERLINK("https://www.suredividend.com/sure-analysis-research-database/","Equity Bancshares Inc")</f>
        <v>Equity Bancshares Inc</v>
      </c>
      <c r="C493" t="s">
        <v>1801</v>
      </c>
      <c r="D493">
        <v>23.85</v>
      </c>
      <c r="E493">
        <v>9.2034449237E-3</v>
      </c>
      <c r="F493" t="s">
        <v>1798</v>
      </c>
      <c r="G493" t="s">
        <v>1798</v>
      </c>
      <c r="H493">
        <v>0.21950216143024601</v>
      </c>
      <c r="I493">
        <v>367.57951500000001</v>
      </c>
      <c r="J493">
        <v>0</v>
      </c>
      <c r="K493" t="s">
        <v>1798</v>
      </c>
      <c r="L493">
        <v>0.90959636135034205</v>
      </c>
      <c r="M493">
        <v>37.25</v>
      </c>
      <c r="N493">
        <v>20.22</v>
      </c>
    </row>
    <row r="494" spans="1:14" x14ac:dyDescent="0.35">
      <c r="A494" s="1" t="s">
        <v>506</v>
      </c>
      <c r="B494" t="str">
        <f>HYPERLINK("https://www.suredividend.com/sure-analysis-research-database/","Equity Commonwealth")</f>
        <v>Equity Commonwealth</v>
      </c>
      <c r="C494" t="s">
        <v>1800</v>
      </c>
      <c r="D494">
        <v>18.54</v>
      </c>
      <c r="E494">
        <v>0</v>
      </c>
      <c r="F494" t="s">
        <v>1798</v>
      </c>
      <c r="G494" t="s">
        <v>1798</v>
      </c>
      <c r="H494">
        <v>0</v>
      </c>
      <c r="I494">
        <v>2034.402673</v>
      </c>
      <c r="J494">
        <v>32.014645654801249</v>
      </c>
      <c r="K494">
        <v>0</v>
      </c>
      <c r="L494">
        <v>0.42664544429224199</v>
      </c>
      <c r="M494">
        <v>22.89</v>
      </c>
      <c r="N494">
        <v>18.100000000000001</v>
      </c>
    </row>
    <row r="495" spans="1:14" x14ac:dyDescent="0.35">
      <c r="A495" s="1" t="s">
        <v>507</v>
      </c>
      <c r="B495" t="str">
        <f>HYPERLINK("https://www.suredividend.com/sure-analysis-research-database/","EQRx Inc")</f>
        <v>EQRx Inc</v>
      </c>
      <c r="C495" t="s">
        <v>1798</v>
      </c>
      <c r="D495">
        <v>2.3199999999999998</v>
      </c>
      <c r="E495">
        <v>0</v>
      </c>
      <c r="F495" t="s">
        <v>1798</v>
      </c>
      <c r="G495" t="s">
        <v>1798</v>
      </c>
      <c r="H495">
        <v>0</v>
      </c>
      <c r="I495">
        <v>1130.8028019999999</v>
      </c>
      <c r="J495">
        <v>0</v>
      </c>
      <c r="K495" t="s">
        <v>1798</v>
      </c>
      <c r="L495">
        <v>0.81181130636819809</v>
      </c>
      <c r="M495">
        <v>5.71</v>
      </c>
      <c r="N495">
        <v>1.58</v>
      </c>
    </row>
    <row r="496" spans="1:14" x14ac:dyDescent="0.35">
      <c r="A496" s="1" t="s">
        <v>508</v>
      </c>
      <c r="B496" t="str">
        <f>HYPERLINK("https://www.suredividend.com/sure-analysis-research-database/","Erasca Inc")</f>
        <v>Erasca Inc</v>
      </c>
      <c r="C496" t="s">
        <v>1798</v>
      </c>
      <c r="D496">
        <v>2.34</v>
      </c>
      <c r="E496">
        <v>0</v>
      </c>
      <c r="F496" t="s">
        <v>1798</v>
      </c>
      <c r="G496" t="s">
        <v>1798</v>
      </c>
      <c r="H496">
        <v>0</v>
      </c>
      <c r="I496">
        <v>353.44089600000001</v>
      </c>
      <c r="J496">
        <v>0</v>
      </c>
      <c r="K496" t="s">
        <v>1798</v>
      </c>
      <c r="L496">
        <v>1.6234085500490789</v>
      </c>
      <c r="M496">
        <v>9.25</v>
      </c>
      <c r="N496">
        <v>1.82</v>
      </c>
    </row>
    <row r="497" spans="1:14" x14ac:dyDescent="0.35">
      <c r="A497" s="1" t="s">
        <v>509</v>
      </c>
      <c r="B497" t="str">
        <f>HYPERLINK("https://www.suredividend.com/sure-analysis-research-database/","Energy Recovery Inc")</f>
        <v>Energy Recovery Inc</v>
      </c>
      <c r="C497" t="s">
        <v>1799</v>
      </c>
      <c r="D497">
        <v>19.510000000000002</v>
      </c>
      <c r="E497">
        <v>0</v>
      </c>
      <c r="F497" t="s">
        <v>1798</v>
      </c>
      <c r="G497" t="s">
        <v>1798</v>
      </c>
      <c r="H497">
        <v>0</v>
      </c>
      <c r="I497">
        <v>1100.4928050000001</v>
      </c>
      <c r="J497">
        <v>104.28246043968539</v>
      </c>
      <c r="K497">
        <v>0</v>
      </c>
      <c r="L497">
        <v>1.2305448494807281</v>
      </c>
      <c r="M497">
        <v>30.76</v>
      </c>
      <c r="N497">
        <v>17.32</v>
      </c>
    </row>
    <row r="498" spans="1:14" x14ac:dyDescent="0.35">
      <c r="A498" s="1" t="s">
        <v>510</v>
      </c>
      <c r="B498" t="str">
        <f>HYPERLINK("https://www.suredividend.com/sure-analysis-research-database/","Esco Technologies, Inc.")</f>
        <v>Esco Technologies, Inc.</v>
      </c>
      <c r="C498" t="s">
        <v>1804</v>
      </c>
      <c r="D498">
        <v>102.19</v>
      </c>
      <c r="E498">
        <v>3.1277459330849998E-3</v>
      </c>
      <c r="F498">
        <v>0</v>
      </c>
      <c r="G498">
        <v>0</v>
      </c>
      <c r="H498">
        <v>0.31962435690200097</v>
      </c>
      <c r="I498">
        <v>2634.7201129999999</v>
      </c>
      <c r="J498">
        <v>28.767088624819841</v>
      </c>
      <c r="K498">
        <v>9.054514359830057E-2</v>
      </c>
      <c r="L498">
        <v>0.9979831074188551</v>
      </c>
      <c r="M498">
        <v>109.49</v>
      </c>
      <c r="N498">
        <v>75.05</v>
      </c>
    </row>
    <row r="499" spans="1:14" x14ac:dyDescent="0.35">
      <c r="A499" s="1" t="s">
        <v>511</v>
      </c>
      <c r="B499" t="str">
        <f>HYPERLINK("https://www.suredividend.com/sure-analysis-research-database/","Enstar Group Limited")</f>
        <v>Enstar Group Limited</v>
      </c>
      <c r="C499" t="s">
        <v>1801</v>
      </c>
      <c r="D499">
        <v>238</v>
      </c>
      <c r="E499">
        <v>0</v>
      </c>
      <c r="F499" t="s">
        <v>1798</v>
      </c>
      <c r="G499" t="s">
        <v>1798</v>
      </c>
      <c r="H499">
        <v>0</v>
      </c>
      <c r="I499">
        <v>3815.4743899999999</v>
      </c>
      <c r="J499">
        <v>12.151192324840761</v>
      </c>
      <c r="K499">
        <v>0</v>
      </c>
      <c r="L499">
        <v>0.71437475818736107</v>
      </c>
      <c r="M499">
        <v>271.39</v>
      </c>
      <c r="N499">
        <v>184.06</v>
      </c>
    </row>
    <row r="500" spans="1:14" x14ac:dyDescent="0.35">
      <c r="A500" s="1" t="s">
        <v>512</v>
      </c>
      <c r="B500" t="str">
        <f>HYPERLINK("https://www.suredividend.com/sure-analysis-research-database/","Engagesmart Inc")</f>
        <v>Engagesmart Inc</v>
      </c>
      <c r="C500" t="s">
        <v>1798</v>
      </c>
      <c r="D500">
        <v>20.69</v>
      </c>
      <c r="E500">
        <v>0</v>
      </c>
      <c r="F500" t="s">
        <v>1798</v>
      </c>
      <c r="G500" t="s">
        <v>1798</v>
      </c>
      <c r="H500">
        <v>0</v>
      </c>
      <c r="I500">
        <v>3462.6879789999998</v>
      </c>
      <c r="J500">
        <v>172.12745337127811</v>
      </c>
      <c r="K500">
        <v>0</v>
      </c>
      <c r="L500">
        <v>1.0498286072223351</v>
      </c>
      <c r="M500">
        <v>21.84</v>
      </c>
      <c r="N500">
        <v>15.01</v>
      </c>
    </row>
    <row r="501" spans="1:14" x14ac:dyDescent="0.35">
      <c r="A501" s="1" t="s">
        <v>513</v>
      </c>
      <c r="B501" t="str">
        <f>HYPERLINK("https://www.suredividend.com/sure-analysis-research-database/","Essent Group Ltd")</f>
        <v>Essent Group Ltd</v>
      </c>
      <c r="C501" t="s">
        <v>1801</v>
      </c>
      <c r="D501">
        <v>47.86</v>
      </c>
      <c r="E501">
        <v>2.0318376291373001E-2</v>
      </c>
      <c r="F501" t="s">
        <v>1798</v>
      </c>
      <c r="G501" t="s">
        <v>1798</v>
      </c>
      <c r="H501">
        <v>0.97243748930515805</v>
      </c>
      <c r="I501">
        <v>5120.4662120000003</v>
      </c>
      <c r="J501">
        <v>7.6598988625487481</v>
      </c>
      <c r="K501">
        <v>0.1560894846396722</v>
      </c>
      <c r="L501">
        <v>0.99115817902223102</v>
      </c>
      <c r="M501">
        <v>53.39</v>
      </c>
      <c r="N501">
        <v>34.57</v>
      </c>
    </row>
    <row r="502" spans="1:14" x14ac:dyDescent="0.35">
      <c r="A502" s="1" t="s">
        <v>514</v>
      </c>
      <c r="B502" t="str">
        <f>HYPERLINK("https://www.suredividend.com/sure-analysis-research-database/","Esperion Therapeutics Inc.")</f>
        <v>Esperion Therapeutics Inc.</v>
      </c>
      <c r="C502" t="s">
        <v>1803</v>
      </c>
      <c r="D502">
        <v>0.83000000000000007</v>
      </c>
      <c r="E502">
        <v>0</v>
      </c>
      <c r="F502" t="s">
        <v>1798</v>
      </c>
      <c r="G502" t="s">
        <v>1798</v>
      </c>
      <c r="H502">
        <v>0</v>
      </c>
      <c r="I502">
        <v>88.805243000000004</v>
      </c>
      <c r="J502">
        <v>0</v>
      </c>
      <c r="K502" t="s">
        <v>1798</v>
      </c>
      <c r="L502">
        <v>0.291437875414363</v>
      </c>
      <c r="M502">
        <v>8.8699999999999992</v>
      </c>
      <c r="N502">
        <v>0.70000000000000007</v>
      </c>
    </row>
    <row r="503" spans="1:14" x14ac:dyDescent="0.35">
      <c r="A503" s="1" t="s">
        <v>515</v>
      </c>
      <c r="B503" t="str">
        <f>HYPERLINK("https://www.suredividend.com/sure-analysis-research-database/","Esquire Financial Holdings Inc")</f>
        <v>Esquire Financial Holdings Inc</v>
      </c>
      <c r="C503" t="s">
        <v>1801</v>
      </c>
      <c r="D503">
        <v>45.64</v>
      </c>
      <c r="E503">
        <v>9.8056438216530002E-3</v>
      </c>
      <c r="F503" t="s">
        <v>1798</v>
      </c>
      <c r="G503" t="s">
        <v>1798</v>
      </c>
      <c r="H503">
        <v>0.44752958402027798</v>
      </c>
      <c r="I503">
        <v>374.36356000000001</v>
      </c>
      <c r="J503">
        <v>9.8214329690164472</v>
      </c>
      <c r="K503">
        <v>9.7289040004408273E-2</v>
      </c>
      <c r="L503">
        <v>1.04205507425264</v>
      </c>
      <c r="M503">
        <v>53.76</v>
      </c>
      <c r="N503">
        <v>34.47</v>
      </c>
    </row>
    <row r="504" spans="1:14" x14ac:dyDescent="0.35">
      <c r="A504" s="1" t="s">
        <v>516</v>
      </c>
      <c r="B504" t="str">
        <f>HYPERLINK("https://www.suredividend.com/sure-analysis-ESRT/","Empire State Realty Trust Inc")</f>
        <v>Empire State Realty Trust Inc</v>
      </c>
      <c r="C504" t="s">
        <v>1800</v>
      </c>
      <c r="D504">
        <v>7.84</v>
      </c>
      <c r="E504">
        <v>1.785714285714286E-2</v>
      </c>
      <c r="F504" t="s">
        <v>1798</v>
      </c>
      <c r="G504" t="s">
        <v>1798</v>
      </c>
      <c r="H504">
        <v>0.139058280238122</v>
      </c>
      <c r="I504">
        <v>1255.2734390000001</v>
      </c>
      <c r="J504">
        <v>26.939510660142499</v>
      </c>
      <c r="K504">
        <v>0.79461874421783996</v>
      </c>
      <c r="L504">
        <v>1.2517546547687179</v>
      </c>
      <c r="M504">
        <v>9.0399999999999991</v>
      </c>
      <c r="N504">
        <v>5.34</v>
      </c>
    </row>
    <row r="505" spans="1:14" x14ac:dyDescent="0.35">
      <c r="A505" s="1" t="s">
        <v>517</v>
      </c>
      <c r="B505" t="str">
        <f>HYPERLINK("https://www.suredividend.com/sure-analysis-research-database/","Earthstone Energy Inc")</f>
        <v>Earthstone Energy Inc</v>
      </c>
      <c r="C505" t="s">
        <v>1808</v>
      </c>
      <c r="D505">
        <v>21.52</v>
      </c>
      <c r="E505">
        <v>0</v>
      </c>
      <c r="F505" t="s">
        <v>1798</v>
      </c>
      <c r="G505" t="s">
        <v>1798</v>
      </c>
      <c r="H505">
        <v>0</v>
      </c>
      <c r="I505">
        <v>2288.2443039999998</v>
      </c>
      <c r="J505">
        <v>0</v>
      </c>
      <c r="K505" t="s">
        <v>1798</v>
      </c>
      <c r="L505">
        <v>1.238576184627189</v>
      </c>
      <c r="M505">
        <v>21.98</v>
      </c>
      <c r="N505">
        <v>11.32</v>
      </c>
    </row>
    <row r="506" spans="1:14" x14ac:dyDescent="0.35">
      <c r="A506" s="1" t="s">
        <v>518</v>
      </c>
      <c r="B506" t="str">
        <f>HYPERLINK("https://www.suredividend.com/sure-analysis-ETD/","Ethan Allen Interiors, Inc.")</f>
        <v>Ethan Allen Interiors, Inc.</v>
      </c>
      <c r="C506" t="s">
        <v>1798</v>
      </c>
      <c r="D506">
        <v>29.03</v>
      </c>
      <c r="E506">
        <v>4.9603858077850498E-2</v>
      </c>
      <c r="F506">
        <v>0.125</v>
      </c>
      <c r="G506">
        <v>0.11382417860287911</v>
      </c>
      <c r="H506">
        <v>1.3375965195727031</v>
      </c>
      <c r="I506">
        <v>737.17585999999994</v>
      </c>
      <c r="J506">
        <v>6.9671747581918027</v>
      </c>
      <c r="K506">
        <v>0.32387324929121142</v>
      </c>
      <c r="L506">
        <v>0.71080666589340902</v>
      </c>
      <c r="M506">
        <v>35.81</v>
      </c>
      <c r="N506">
        <v>20.82</v>
      </c>
    </row>
    <row r="507" spans="1:14" x14ac:dyDescent="0.35">
      <c r="A507" s="1" t="s">
        <v>519</v>
      </c>
      <c r="B507" t="str">
        <f>HYPERLINK("https://www.suredividend.com/sure-analysis-research-database/","Equitrans Midstream Corporation")</f>
        <v>Equitrans Midstream Corporation</v>
      </c>
      <c r="C507" t="s">
        <v>1808</v>
      </c>
      <c r="D507">
        <v>9.51</v>
      </c>
      <c r="E507">
        <v>6.1122128980995012E-2</v>
      </c>
      <c r="F507" t="s">
        <v>1798</v>
      </c>
      <c r="G507" t="s">
        <v>1798</v>
      </c>
      <c r="H507">
        <v>0.581271446609264</v>
      </c>
      <c r="I507">
        <v>4120.3121099999998</v>
      </c>
      <c r="J507" t="s">
        <v>1798</v>
      </c>
      <c r="K507" t="s">
        <v>1798</v>
      </c>
      <c r="L507">
        <v>1.082971330212906</v>
      </c>
      <c r="M507">
        <v>10.32</v>
      </c>
      <c r="N507">
        <v>4.3899999999999997</v>
      </c>
    </row>
    <row r="508" spans="1:14" x14ac:dyDescent="0.35">
      <c r="A508" s="1" t="s">
        <v>520</v>
      </c>
      <c r="B508" t="str">
        <f>HYPERLINK("https://www.suredividend.com/sure-analysis-research-database/","E2open Parent Holdings Inc")</f>
        <v>E2open Parent Holdings Inc</v>
      </c>
      <c r="C508" t="s">
        <v>1798</v>
      </c>
      <c r="D508">
        <v>2.4500000000000002</v>
      </c>
      <c r="E508">
        <v>0</v>
      </c>
      <c r="F508" t="s">
        <v>1798</v>
      </c>
      <c r="G508" t="s">
        <v>1798</v>
      </c>
      <c r="H508">
        <v>0</v>
      </c>
      <c r="I508">
        <v>743.09356000000002</v>
      </c>
      <c r="J508">
        <v>0</v>
      </c>
      <c r="K508" t="s">
        <v>1798</v>
      </c>
      <c r="L508">
        <v>1.4482712797462729</v>
      </c>
      <c r="M508">
        <v>7.21</v>
      </c>
      <c r="N508">
        <v>2.15</v>
      </c>
    </row>
    <row r="509" spans="1:14" x14ac:dyDescent="0.35">
      <c r="A509" s="1" t="s">
        <v>521</v>
      </c>
      <c r="B509" t="str">
        <f>HYPERLINK("https://www.suredividend.com/sure-analysis-research-database/","Everbridge Inc")</f>
        <v>Everbridge Inc</v>
      </c>
      <c r="C509" t="s">
        <v>1804</v>
      </c>
      <c r="D509">
        <v>20.58</v>
      </c>
      <c r="E509">
        <v>0</v>
      </c>
      <c r="F509" t="s">
        <v>1798</v>
      </c>
      <c r="G509" t="s">
        <v>1798</v>
      </c>
      <c r="H509">
        <v>0</v>
      </c>
      <c r="I509">
        <v>838.85516500000006</v>
      </c>
      <c r="J509" t="s">
        <v>1798</v>
      </c>
      <c r="K509">
        <v>0</v>
      </c>
      <c r="L509">
        <v>1.882058009005303</v>
      </c>
      <c r="M509">
        <v>36.409999999999997</v>
      </c>
      <c r="N509">
        <v>19.899999999999999</v>
      </c>
    </row>
    <row r="510" spans="1:14" x14ac:dyDescent="0.35">
      <c r="A510" s="1" t="s">
        <v>522</v>
      </c>
      <c r="B510" t="str">
        <f>HYPERLINK("https://www.suredividend.com/sure-analysis-research-database/","Entravision Communications Corp.")</f>
        <v>Entravision Communications Corp.</v>
      </c>
      <c r="C510" t="s">
        <v>1807</v>
      </c>
      <c r="D510">
        <v>3.75</v>
      </c>
      <c r="E510">
        <v>4.5943468669339002E-2</v>
      </c>
      <c r="F510">
        <v>1</v>
      </c>
      <c r="G510">
        <v>0</v>
      </c>
      <c r="H510">
        <v>0.17228800751002399</v>
      </c>
      <c r="I510">
        <v>294.91504500000002</v>
      </c>
      <c r="J510">
        <v>37.727394780606367</v>
      </c>
      <c r="K510">
        <v>1.9445599041763431</v>
      </c>
      <c r="L510">
        <v>1.4722835669538941</v>
      </c>
      <c r="M510">
        <v>7.09</v>
      </c>
      <c r="N510">
        <v>3.42</v>
      </c>
    </row>
    <row r="511" spans="1:14" x14ac:dyDescent="0.35">
      <c r="A511" s="1" t="s">
        <v>523</v>
      </c>
      <c r="B511" t="str">
        <f>HYPERLINK("https://www.suredividend.com/sure-analysis-research-database/","EverCommerce Inc")</f>
        <v>EverCommerce Inc</v>
      </c>
      <c r="C511" t="s">
        <v>1798</v>
      </c>
      <c r="D511">
        <v>9.91</v>
      </c>
      <c r="E511">
        <v>0</v>
      </c>
      <c r="F511" t="s">
        <v>1798</v>
      </c>
      <c r="G511" t="s">
        <v>1798</v>
      </c>
      <c r="H511">
        <v>0</v>
      </c>
      <c r="I511">
        <v>1870.4202680000001</v>
      </c>
      <c r="J511" t="s">
        <v>1798</v>
      </c>
      <c r="K511">
        <v>0</v>
      </c>
      <c r="L511">
        <v>1.284288683736807</v>
      </c>
      <c r="M511">
        <v>13.47</v>
      </c>
      <c r="N511">
        <v>5.87</v>
      </c>
    </row>
    <row r="512" spans="1:14" x14ac:dyDescent="0.35">
      <c r="A512" s="1" t="s">
        <v>524</v>
      </c>
      <c r="B512" t="str">
        <f>HYPERLINK("https://www.suredividend.com/sure-analysis-research-database/","EverQuote Inc")</f>
        <v>EverQuote Inc</v>
      </c>
      <c r="C512" t="s">
        <v>1807</v>
      </c>
      <c r="D512">
        <v>7.25</v>
      </c>
      <c r="E512">
        <v>0</v>
      </c>
      <c r="F512" t="s">
        <v>1798</v>
      </c>
      <c r="G512" t="s">
        <v>1798</v>
      </c>
      <c r="H512">
        <v>0</v>
      </c>
      <c r="I512">
        <v>201.274573</v>
      </c>
      <c r="J512" t="s">
        <v>1798</v>
      </c>
      <c r="K512">
        <v>0</v>
      </c>
      <c r="L512">
        <v>1.2472358340809711</v>
      </c>
      <c r="M512">
        <v>18.86</v>
      </c>
      <c r="N512">
        <v>5.23</v>
      </c>
    </row>
    <row r="513" spans="1:14" x14ac:dyDescent="0.35">
      <c r="A513" s="1" t="s">
        <v>525</v>
      </c>
      <c r="B513" t="str">
        <f>HYPERLINK("https://www.suredividend.com/sure-analysis-research-database/","EVgo Inc")</f>
        <v>EVgo Inc</v>
      </c>
      <c r="C513" t="s">
        <v>1798</v>
      </c>
      <c r="D513">
        <v>2.87</v>
      </c>
      <c r="E513">
        <v>0</v>
      </c>
      <c r="F513" t="s">
        <v>1798</v>
      </c>
      <c r="G513" t="s">
        <v>1798</v>
      </c>
      <c r="H513">
        <v>0</v>
      </c>
      <c r="I513">
        <v>292.88350000000003</v>
      </c>
      <c r="J513" t="s">
        <v>1798</v>
      </c>
      <c r="K513">
        <v>0</v>
      </c>
      <c r="L513">
        <v>1.865181677466802</v>
      </c>
      <c r="M513">
        <v>8.16</v>
      </c>
      <c r="N513">
        <v>2.82</v>
      </c>
    </row>
    <row r="514" spans="1:14" x14ac:dyDescent="0.35">
      <c r="A514" s="1" t="s">
        <v>526</v>
      </c>
      <c r="B514" t="str">
        <f>HYPERLINK("https://www.suredividend.com/sure-analysis-research-database/","Evolent Health Inc")</f>
        <v>Evolent Health Inc</v>
      </c>
      <c r="C514" t="s">
        <v>1803</v>
      </c>
      <c r="D514">
        <v>28</v>
      </c>
      <c r="E514">
        <v>0</v>
      </c>
      <c r="F514" t="s">
        <v>1798</v>
      </c>
      <c r="G514" t="s">
        <v>1798</v>
      </c>
      <c r="H514">
        <v>0</v>
      </c>
      <c r="I514">
        <v>3170.8454959999999</v>
      </c>
      <c r="J514" t="s">
        <v>1798</v>
      </c>
      <c r="K514">
        <v>0</v>
      </c>
      <c r="L514">
        <v>1.054129265576599</v>
      </c>
      <c r="M514">
        <v>36.700000000000003</v>
      </c>
      <c r="N514">
        <v>21.83</v>
      </c>
    </row>
    <row r="515" spans="1:14" x14ac:dyDescent="0.35">
      <c r="A515" s="1" t="s">
        <v>527</v>
      </c>
      <c r="B515" t="str">
        <f>HYPERLINK("https://www.suredividend.com/sure-analysis-research-database/","Evolv Technologies Holdings Inc")</f>
        <v>Evolv Technologies Holdings Inc</v>
      </c>
      <c r="C515" t="s">
        <v>1798</v>
      </c>
      <c r="D515">
        <v>3.77</v>
      </c>
      <c r="E515">
        <v>0</v>
      </c>
      <c r="F515" t="s">
        <v>1798</v>
      </c>
      <c r="G515" t="s">
        <v>1798</v>
      </c>
      <c r="H515">
        <v>0</v>
      </c>
      <c r="I515">
        <v>565.48045300000001</v>
      </c>
      <c r="J515" t="s">
        <v>1798</v>
      </c>
      <c r="K515">
        <v>0</v>
      </c>
      <c r="L515">
        <v>2.216433344732808</v>
      </c>
      <c r="M515">
        <v>8.3000000000000007</v>
      </c>
      <c r="N515">
        <v>1.98</v>
      </c>
    </row>
    <row r="516" spans="1:14" x14ac:dyDescent="0.35">
      <c r="A516" s="1" t="s">
        <v>528</v>
      </c>
      <c r="B516" t="str">
        <f>HYPERLINK("https://www.suredividend.com/sure-analysis-research-database/","Everi Holdings Inc")</f>
        <v>Everi Holdings Inc</v>
      </c>
      <c r="C516" t="s">
        <v>1802</v>
      </c>
      <c r="D516">
        <v>11.71</v>
      </c>
      <c r="E516">
        <v>0</v>
      </c>
      <c r="F516" t="s">
        <v>1798</v>
      </c>
      <c r="G516" t="s">
        <v>1798</v>
      </c>
      <c r="H516">
        <v>0</v>
      </c>
      <c r="I516">
        <v>1030.3978079999999</v>
      </c>
      <c r="J516">
        <v>9.2075437637166235</v>
      </c>
      <c r="K516">
        <v>0</v>
      </c>
      <c r="L516">
        <v>1.142914638850792</v>
      </c>
      <c r="M516">
        <v>19.850000000000001</v>
      </c>
      <c r="N516">
        <v>11.52</v>
      </c>
    </row>
    <row r="517" spans="1:14" x14ac:dyDescent="0.35">
      <c r="A517" s="1" t="s">
        <v>529</v>
      </c>
      <c r="B517" t="str">
        <f>HYPERLINK("https://www.suredividend.com/sure-analysis-research-database/","Evertec Inc")</f>
        <v>Evertec Inc</v>
      </c>
      <c r="C517" t="s">
        <v>1804</v>
      </c>
      <c r="D517">
        <v>36.520000000000003</v>
      </c>
      <c r="E517">
        <v>5.4654397696060003E-3</v>
      </c>
      <c r="F517" t="s">
        <v>1798</v>
      </c>
      <c r="G517" t="s">
        <v>1798</v>
      </c>
      <c r="H517">
        <v>0.19959786038604299</v>
      </c>
      <c r="I517">
        <v>2367.9242610000001</v>
      </c>
      <c r="J517">
        <v>10.53679881403824</v>
      </c>
      <c r="K517">
        <v>5.8533096887402637E-2</v>
      </c>
      <c r="L517">
        <v>1.014017897407123</v>
      </c>
      <c r="M517">
        <v>41.98</v>
      </c>
      <c r="N517">
        <v>30.05</v>
      </c>
    </row>
    <row r="518" spans="1:14" x14ac:dyDescent="0.35">
      <c r="A518" s="1" t="s">
        <v>530</v>
      </c>
      <c r="B518" t="str">
        <f>HYPERLINK("https://www.suredividend.com/sure-analysis-research-database/","European Wax Center Inc")</f>
        <v>European Wax Center Inc</v>
      </c>
      <c r="C518" t="s">
        <v>1798</v>
      </c>
      <c r="D518">
        <v>14.89</v>
      </c>
      <c r="E518">
        <v>0</v>
      </c>
      <c r="F518" t="s">
        <v>1798</v>
      </c>
      <c r="G518" t="s">
        <v>1798</v>
      </c>
      <c r="H518">
        <v>0</v>
      </c>
      <c r="I518">
        <v>749.45804199999998</v>
      </c>
      <c r="J518">
        <v>94.533052777497474</v>
      </c>
      <c r="K518">
        <v>0</v>
      </c>
      <c r="L518">
        <v>0.92027157857443009</v>
      </c>
      <c r="M518">
        <v>20.7</v>
      </c>
      <c r="N518">
        <v>12.02</v>
      </c>
    </row>
    <row r="519" spans="1:14" x14ac:dyDescent="0.35">
      <c r="A519" s="1" t="s">
        <v>531</v>
      </c>
      <c r="B519" t="str">
        <f>HYPERLINK("https://www.suredividend.com/sure-analysis-research-database/","Edgewise Therapeutics Inc")</f>
        <v>Edgewise Therapeutics Inc</v>
      </c>
      <c r="C519" t="s">
        <v>1798</v>
      </c>
      <c r="D519">
        <v>6.71</v>
      </c>
      <c r="E519">
        <v>0</v>
      </c>
      <c r="F519" t="s">
        <v>1798</v>
      </c>
      <c r="G519" t="s">
        <v>1798</v>
      </c>
      <c r="H519">
        <v>0</v>
      </c>
      <c r="I519">
        <v>425.81196999999997</v>
      </c>
      <c r="J519">
        <v>0</v>
      </c>
      <c r="K519" t="s">
        <v>1798</v>
      </c>
      <c r="L519">
        <v>0.96968483620756607</v>
      </c>
      <c r="M519">
        <v>11.48</v>
      </c>
      <c r="N519">
        <v>5.49</v>
      </c>
    </row>
    <row r="520" spans="1:14" x14ac:dyDescent="0.35">
      <c r="A520" s="1" t="s">
        <v>532</v>
      </c>
      <c r="B520" t="str">
        <f>HYPERLINK("https://www.suredividend.com/sure-analysis-research-database/","ExlService Holdings Inc")</f>
        <v>ExlService Holdings Inc</v>
      </c>
      <c r="C520" t="s">
        <v>1804</v>
      </c>
      <c r="D520">
        <v>29.12</v>
      </c>
      <c r="E520">
        <v>0</v>
      </c>
      <c r="F520" t="s">
        <v>1798</v>
      </c>
      <c r="G520" t="s">
        <v>1798</v>
      </c>
      <c r="H520">
        <v>0</v>
      </c>
      <c r="I520">
        <v>965.16519000000005</v>
      </c>
      <c r="J520">
        <v>5.6329420523744771</v>
      </c>
      <c r="K520">
        <v>0</v>
      </c>
      <c r="L520">
        <v>0.98506905696733804</v>
      </c>
      <c r="M520">
        <v>38.24</v>
      </c>
      <c r="N520">
        <v>27.16</v>
      </c>
    </row>
    <row r="521" spans="1:14" x14ac:dyDescent="0.35">
      <c r="A521" s="1" t="s">
        <v>533</v>
      </c>
      <c r="B521" t="str">
        <f>HYPERLINK("https://www.suredividend.com/sure-analysis-research-database/","eXp World Holdings Inc")</f>
        <v>eXp World Holdings Inc</v>
      </c>
      <c r="C521" t="s">
        <v>1800</v>
      </c>
      <c r="D521">
        <v>14.29</v>
      </c>
      <c r="E521">
        <v>1.2879355385072001E-2</v>
      </c>
      <c r="F521" t="s">
        <v>1798</v>
      </c>
      <c r="G521" t="s">
        <v>1798</v>
      </c>
      <c r="H521">
        <v>0.184045988452681</v>
      </c>
      <c r="I521">
        <v>2194.7751779999999</v>
      </c>
      <c r="J521">
        <v>271.76512852154531</v>
      </c>
      <c r="K521">
        <v>3.559883722488995</v>
      </c>
      <c r="L521">
        <v>2.1196753337584542</v>
      </c>
      <c r="M521">
        <v>25.33</v>
      </c>
      <c r="N521">
        <v>9.86</v>
      </c>
    </row>
    <row r="522" spans="1:14" x14ac:dyDescent="0.35">
      <c r="A522" s="1" t="s">
        <v>534</v>
      </c>
      <c r="B522" t="str">
        <f>HYPERLINK("https://www.suredividend.com/sure-analysis-EXPO/","Exponent Inc.")</f>
        <v>Exponent Inc.</v>
      </c>
      <c r="C522" t="s">
        <v>1799</v>
      </c>
      <c r="D522">
        <v>87.87</v>
      </c>
      <c r="E522">
        <v>1.183566632525321E-2</v>
      </c>
      <c r="F522">
        <v>8.3333333333333481E-2</v>
      </c>
      <c r="G522">
        <v>0.1486983549970351</v>
      </c>
      <c r="H522">
        <v>1.013663573548311</v>
      </c>
      <c r="I522">
        <v>4468.0963579999998</v>
      </c>
      <c r="J522">
        <v>43.874549360749441</v>
      </c>
      <c r="K522">
        <v>0.51455003733416804</v>
      </c>
      <c r="L522">
        <v>0.92717185357154608</v>
      </c>
      <c r="M522">
        <v>111.51</v>
      </c>
      <c r="N522">
        <v>84.03</v>
      </c>
    </row>
    <row r="523" spans="1:14" x14ac:dyDescent="0.35">
      <c r="A523" s="1" t="s">
        <v>535</v>
      </c>
      <c r="B523" t="str">
        <f>HYPERLINK("https://www.suredividend.com/sure-analysis-research-database/","Express Inc.")</f>
        <v>Express Inc.</v>
      </c>
      <c r="C523" t="s">
        <v>1802</v>
      </c>
      <c r="D523">
        <v>8.4</v>
      </c>
      <c r="E523">
        <v>0</v>
      </c>
      <c r="F523" t="s">
        <v>1798</v>
      </c>
      <c r="G523" t="s">
        <v>1798</v>
      </c>
      <c r="H523">
        <v>0</v>
      </c>
      <c r="I523">
        <v>31.459897999999999</v>
      </c>
      <c r="J523">
        <v>0.173591965965711</v>
      </c>
      <c r="K523">
        <v>0</v>
      </c>
      <c r="L523">
        <v>1.855944960760171</v>
      </c>
      <c r="M523">
        <v>42.8</v>
      </c>
      <c r="N523">
        <v>7.36</v>
      </c>
    </row>
    <row r="524" spans="1:14" x14ac:dyDescent="0.35">
      <c r="A524" s="1" t="s">
        <v>536</v>
      </c>
      <c r="B524" t="str">
        <f>HYPERLINK("https://www.suredividend.com/sure-analysis-research-database/","Extreme Networks Inc.")</f>
        <v>Extreme Networks Inc.</v>
      </c>
      <c r="C524" t="s">
        <v>1804</v>
      </c>
      <c r="D524">
        <v>22.92</v>
      </c>
      <c r="E524">
        <v>0</v>
      </c>
      <c r="F524" t="s">
        <v>1798</v>
      </c>
      <c r="G524" t="s">
        <v>1798</v>
      </c>
      <c r="H524">
        <v>0</v>
      </c>
      <c r="I524">
        <v>2968.8248039999999</v>
      </c>
      <c r="J524">
        <v>38.02578071778057</v>
      </c>
      <c r="K524">
        <v>0</v>
      </c>
      <c r="L524">
        <v>1.313496182585977</v>
      </c>
      <c r="M524">
        <v>32.729999999999997</v>
      </c>
      <c r="N524">
        <v>13.47</v>
      </c>
    </row>
    <row r="525" spans="1:14" x14ac:dyDescent="0.35">
      <c r="A525" s="1" t="s">
        <v>537</v>
      </c>
      <c r="B525" t="str">
        <f>HYPERLINK("https://www.suredividend.com/sure-analysis-research-database/","National Vision Holdings Inc")</f>
        <v>National Vision Holdings Inc</v>
      </c>
      <c r="C525" t="s">
        <v>1802</v>
      </c>
      <c r="D525">
        <v>13.91</v>
      </c>
      <c r="E525">
        <v>0</v>
      </c>
      <c r="F525" t="s">
        <v>1798</v>
      </c>
      <c r="G525" t="s">
        <v>1798</v>
      </c>
      <c r="H525">
        <v>0</v>
      </c>
      <c r="I525">
        <v>1087.174831</v>
      </c>
      <c r="J525">
        <v>41.614347601148317</v>
      </c>
      <c r="K525">
        <v>0</v>
      </c>
      <c r="L525">
        <v>1.3853273229409411</v>
      </c>
      <c r="M525">
        <v>43.82</v>
      </c>
      <c r="N525">
        <v>13.71</v>
      </c>
    </row>
    <row r="526" spans="1:14" x14ac:dyDescent="0.35">
      <c r="A526" s="1" t="s">
        <v>538</v>
      </c>
      <c r="B526" t="str">
        <f>HYPERLINK("https://www.suredividend.com/sure-analysis-research-database/","EyePoint Pharmaceuticals Inc")</f>
        <v>EyePoint Pharmaceuticals Inc</v>
      </c>
      <c r="C526" t="s">
        <v>1803</v>
      </c>
      <c r="D526">
        <v>8.1</v>
      </c>
      <c r="E526">
        <v>0</v>
      </c>
      <c r="F526" t="s">
        <v>1798</v>
      </c>
      <c r="G526" t="s">
        <v>1798</v>
      </c>
      <c r="H526">
        <v>0</v>
      </c>
      <c r="I526">
        <v>283.37075599999997</v>
      </c>
      <c r="J526">
        <v>0</v>
      </c>
      <c r="K526" t="s">
        <v>1798</v>
      </c>
      <c r="L526">
        <v>0.89658503127977607</v>
      </c>
      <c r="M526">
        <v>15.63</v>
      </c>
      <c r="N526">
        <v>2.19</v>
      </c>
    </row>
    <row r="527" spans="1:14" x14ac:dyDescent="0.35">
      <c r="A527" s="1" t="s">
        <v>539</v>
      </c>
      <c r="B527" t="str">
        <f>HYPERLINK("https://www.suredividend.com/sure-analysis-research-database/","EZCorp, Inc.")</f>
        <v>EZCorp, Inc.</v>
      </c>
      <c r="C527" t="s">
        <v>1801</v>
      </c>
      <c r="D527">
        <v>8.06</v>
      </c>
      <c r="E527">
        <v>0</v>
      </c>
      <c r="F527" t="s">
        <v>1798</v>
      </c>
      <c r="G527" t="s">
        <v>1798</v>
      </c>
      <c r="H527">
        <v>0</v>
      </c>
      <c r="I527">
        <v>419.93872699999997</v>
      </c>
      <c r="J527">
        <v>11.813619341716601</v>
      </c>
      <c r="K527">
        <v>0</v>
      </c>
      <c r="L527">
        <v>0.69676725039995002</v>
      </c>
      <c r="M527">
        <v>10.68</v>
      </c>
      <c r="N527">
        <v>7.05</v>
      </c>
    </row>
    <row r="528" spans="1:14" x14ac:dyDescent="0.35">
      <c r="A528" s="1" t="s">
        <v>540</v>
      </c>
      <c r="B528" t="str">
        <f>HYPERLINK("https://www.suredividend.com/sure-analysis-research-database/","First Advantage Corp.")</f>
        <v>First Advantage Corp.</v>
      </c>
      <c r="C528" t="s">
        <v>1798</v>
      </c>
      <c r="D528">
        <v>13.87</v>
      </c>
      <c r="E528">
        <v>0</v>
      </c>
      <c r="F528" t="s">
        <v>1798</v>
      </c>
      <c r="G528" t="s">
        <v>1798</v>
      </c>
      <c r="H528">
        <v>0</v>
      </c>
      <c r="I528">
        <v>2013.766922</v>
      </c>
      <c r="J528">
        <v>0</v>
      </c>
      <c r="K528" t="s">
        <v>1798</v>
      </c>
      <c r="L528">
        <v>1.1525666198699629</v>
      </c>
      <c r="M528">
        <v>14.69</v>
      </c>
      <c r="N528">
        <v>9.07</v>
      </c>
    </row>
    <row r="529" spans="1:14" x14ac:dyDescent="0.35">
      <c r="A529" s="1" t="s">
        <v>541</v>
      </c>
      <c r="B529" t="str">
        <f>HYPERLINK("https://www.suredividend.com/sure-analysis-research-database/","Faro Technologies Inc.")</f>
        <v>Faro Technologies Inc.</v>
      </c>
      <c r="C529" t="s">
        <v>1804</v>
      </c>
      <c r="D529">
        <v>13.68</v>
      </c>
      <c r="E529">
        <v>0</v>
      </c>
      <c r="F529" t="s">
        <v>1798</v>
      </c>
      <c r="G529" t="s">
        <v>1798</v>
      </c>
      <c r="H529">
        <v>0</v>
      </c>
      <c r="I529">
        <v>259.22954299999998</v>
      </c>
      <c r="J529" t="s">
        <v>1798</v>
      </c>
      <c r="K529">
        <v>0</v>
      </c>
      <c r="L529">
        <v>1.369990842583505</v>
      </c>
      <c r="M529">
        <v>36.74</v>
      </c>
      <c r="N529">
        <v>10.3</v>
      </c>
    </row>
    <row r="530" spans="1:14" x14ac:dyDescent="0.35">
      <c r="A530" s="1" t="s">
        <v>542</v>
      </c>
      <c r="B530" t="str">
        <f>HYPERLINK("https://www.suredividend.com/sure-analysis-research-database/","Fate Therapeutics Inc")</f>
        <v>Fate Therapeutics Inc</v>
      </c>
      <c r="C530" t="s">
        <v>1803</v>
      </c>
      <c r="D530">
        <v>1.7</v>
      </c>
      <c r="E530">
        <v>0</v>
      </c>
      <c r="F530" t="s">
        <v>1798</v>
      </c>
      <c r="G530" t="s">
        <v>1798</v>
      </c>
      <c r="H530">
        <v>0</v>
      </c>
      <c r="I530">
        <v>167.55613399999999</v>
      </c>
      <c r="J530" t="s">
        <v>1798</v>
      </c>
      <c r="K530">
        <v>0</v>
      </c>
      <c r="L530">
        <v>1.2955430549432001</v>
      </c>
      <c r="M530">
        <v>23.96</v>
      </c>
      <c r="N530">
        <v>1.66</v>
      </c>
    </row>
    <row r="531" spans="1:14" x14ac:dyDescent="0.35">
      <c r="A531" s="1" t="s">
        <v>543</v>
      </c>
      <c r="B531" t="str">
        <f>HYPERLINK("https://www.suredividend.com/sure-analysis-research-database/","First Business Financial Services Inc")</f>
        <v>First Business Financial Services Inc</v>
      </c>
      <c r="C531" t="s">
        <v>1801</v>
      </c>
      <c r="D531">
        <v>30.25</v>
      </c>
      <c r="E531">
        <v>2.8509430064398999E-2</v>
      </c>
      <c r="F531">
        <v>0.15189873417721511</v>
      </c>
      <c r="G531">
        <v>0.10197228772148011</v>
      </c>
      <c r="H531">
        <v>0.86241025944808203</v>
      </c>
      <c r="I531">
        <v>251.54281599999999</v>
      </c>
      <c r="J531">
        <v>6.9052052336115084</v>
      </c>
      <c r="K531">
        <v>0.19336552902423371</v>
      </c>
      <c r="L531">
        <v>0.75853717257563302</v>
      </c>
      <c r="M531">
        <v>38.4</v>
      </c>
      <c r="N531">
        <v>24.22</v>
      </c>
    </row>
    <row r="532" spans="1:14" x14ac:dyDescent="0.35">
      <c r="A532" s="1" t="s">
        <v>544</v>
      </c>
      <c r="B532" t="str">
        <f>HYPERLINK("https://www.suredividend.com/sure-analysis-research-database/","FB Financial Corp")</f>
        <v>FB Financial Corp</v>
      </c>
      <c r="C532" t="s">
        <v>1801</v>
      </c>
      <c r="D532">
        <v>27.68</v>
      </c>
      <c r="E532">
        <v>2.0810231570782E-2</v>
      </c>
      <c r="F532">
        <v>0.15384615384615369</v>
      </c>
      <c r="G532">
        <v>0.13396657763302719</v>
      </c>
      <c r="H532">
        <v>0.57602720987927003</v>
      </c>
      <c r="I532">
        <v>1295.386328</v>
      </c>
      <c r="J532">
        <v>9.1447211340308083</v>
      </c>
      <c r="K532">
        <v>0.19073748671499011</v>
      </c>
      <c r="L532">
        <v>1.1806937162180751</v>
      </c>
      <c r="M532">
        <v>43.5</v>
      </c>
      <c r="N532">
        <v>24.09</v>
      </c>
    </row>
    <row r="533" spans="1:14" x14ac:dyDescent="0.35">
      <c r="A533" s="1" t="s">
        <v>545</v>
      </c>
      <c r="B533" t="str">
        <f>HYPERLINK("https://www.suredividend.com/sure-analysis-research-database/","First Bancshares Inc Miss")</f>
        <v>First Bancshares Inc Miss</v>
      </c>
      <c r="C533" t="s">
        <v>1801</v>
      </c>
      <c r="D533">
        <v>26.49</v>
      </c>
      <c r="E533">
        <v>3.1799541149503001E-2</v>
      </c>
      <c r="F533">
        <v>0.2105263157894737</v>
      </c>
      <c r="G533">
        <v>0.35691163482860699</v>
      </c>
      <c r="H533">
        <v>0.84236984505033707</v>
      </c>
      <c r="I533">
        <v>823.72755700000005</v>
      </c>
      <c r="J533">
        <v>11.702836554619459</v>
      </c>
      <c r="K533">
        <v>0.33034111570601449</v>
      </c>
      <c r="L533">
        <v>1.060008534687138</v>
      </c>
      <c r="M533">
        <v>34.520000000000003</v>
      </c>
      <c r="N533">
        <v>22.09</v>
      </c>
    </row>
    <row r="534" spans="1:14" x14ac:dyDescent="0.35">
      <c r="A534" s="1" t="s">
        <v>546</v>
      </c>
      <c r="B534" t="str">
        <f>HYPERLINK("https://www.suredividend.com/sure-analysis-research-database/","First Bancorp")</f>
        <v>First Bancorp</v>
      </c>
      <c r="C534" t="s">
        <v>1801</v>
      </c>
      <c r="D534">
        <v>27.3</v>
      </c>
      <c r="E534">
        <v>3.9351771394207001E-2</v>
      </c>
      <c r="F534">
        <v>0</v>
      </c>
      <c r="G534">
        <v>0.12888132073019751</v>
      </c>
      <c r="H534">
        <v>1.07430335906186</v>
      </c>
      <c r="I534">
        <v>1121.570759</v>
      </c>
      <c r="J534">
        <v>9.3287760602859606</v>
      </c>
      <c r="K534">
        <v>0.34322791024340582</v>
      </c>
      <c r="L534">
        <v>0.94245474086413805</v>
      </c>
      <c r="M534">
        <v>47.01</v>
      </c>
      <c r="N534">
        <v>25.47</v>
      </c>
    </row>
    <row r="535" spans="1:14" x14ac:dyDescent="0.35">
      <c r="A535" s="1" t="s">
        <v>547</v>
      </c>
      <c r="B535" t="str">
        <f>HYPERLINK("https://www.suredividend.com/sure-analysis-research-database/","First Bancorp PR")</f>
        <v>First Bancorp PR</v>
      </c>
      <c r="C535" t="s">
        <v>1801</v>
      </c>
      <c r="D535">
        <v>13.57</v>
      </c>
      <c r="E535">
        <v>3.9179786055126002E-2</v>
      </c>
      <c r="F535">
        <v>0.16666666666666671</v>
      </c>
      <c r="G535">
        <v>0.36082210785873881</v>
      </c>
      <c r="H535">
        <v>0.53166969676806608</v>
      </c>
      <c r="I535">
        <v>2419.5098720000001</v>
      </c>
      <c r="J535">
        <v>8.3682422146093458</v>
      </c>
      <c r="K535">
        <v>0.33649980808105451</v>
      </c>
      <c r="L535">
        <v>1.205795545980622</v>
      </c>
      <c r="M535">
        <v>15.59</v>
      </c>
      <c r="N535">
        <v>9.9499999999999993</v>
      </c>
    </row>
    <row r="536" spans="1:14" x14ac:dyDescent="0.35">
      <c r="A536" s="1" t="s">
        <v>548</v>
      </c>
      <c r="B536" t="str">
        <f>HYPERLINK("https://www.suredividend.com/sure-analysis-research-database/","Franklin BSP Realty Trust Inc.")</f>
        <v>Franklin BSP Realty Trust Inc.</v>
      </c>
      <c r="C536" t="s">
        <v>1798</v>
      </c>
      <c r="D536">
        <v>12.6</v>
      </c>
      <c r="E536">
        <v>0.10832770635966101</v>
      </c>
      <c r="F536" t="s">
        <v>1798</v>
      </c>
      <c r="G536" t="s">
        <v>1798</v>
      </c>
      <c r="H536">
        <v>1.364929100131735</v>
      </c>
      <c r="I536">
        <v>1035.8538619999999</v>
      </c>
      <c r="J536">
        <v>8.8169031144401409</v>
      </c>
      <c r="K536">
        <v>0.96121767614910913</v>
      </c>
      <c r="L536">
        <v>1.176945959310274</v>
      </c>
      <c r="M536">
        <v>14.32</v>
      </c>
      <c r="N536">
        <v>10.210000000000001</v>
      </c>
    </row>
    <row r="537" spans="1:14" x14ac:dyDescent="0.35">
      <c r="A537" s="1" t="s">
        <v>549</v>
      </c>
      <c r="B537" t="str">
        <f>HYPERLINK("https://www.suredividend.com/sure-analysis-research-database/","Franklin Covey Co.")</f>
        <v>Franklin Covey Co.</v>
      </c>
      <c r="C537" t="s">
        <v>1799</v>
      </c>
      <c r="D537">
        <v>40.049999999999997</v>
      </c>
      <c r="E537">
        <v>0</v>
      </c>
      <c r="F537" t="s">
        <v>1798</v>
      </c>
      <c r="G537" t="s">
        <v>1798</v>
      </c>
      <c r="H537">
        <v>0</v>
      </c>
      <c r="I537">
        <v>528.83333600000003</v>
      </c>
      <c r="J537">
        <v>31.959469172659691</v>
      </c>
      <c r="K537">
        <v>0</v>
      </c>
      <c r="L537">
        <v>0.67265653407813908</v>
      </c>
      <c r="M537">
        <v>54.7</v>
      </c>
      <c r="N537">
        <v>34.36</v>
      </c>
    </row>
    <row r="538" spans="1:14" x14ac:dyDescent="0.35">
      <c r="A538" s="1" t="s">
        <v>550</v>
      </c>
      <c r="B538" t="str">
        <f>HYPERLINK("https://www.suredividend.com/sure-analysis-research-database/","First Community Bankshares Inc.")</f>
        <v>First Community Bankshares Inc.</v>
      </c>
      <c r="C538" t="s">
        <v>1801</v>
      </c>
      <c r="D538">
        <v>30.35</v>
      </c>
      <c r="E538">
        <v>3.7418261516405003E-2</v>
      </c>
      <c r="F538">
        <v>0</v>
      </c>
      <c r="G538">
        <v>6.6683901275273794E-2</v>
      </c>
      <c r="H538">
        <v>1.1356442370228941</v>
      </c>
      <c r="I538">
        <v>570.24253799999997</v>
      </c>
      <c r="J538">
        <v>11.99752868398906</v>
      </c>
      <c r="K538">
        <v>0.40271072234854388</v>
      </c>
      <c r="L538">
        <v>0.7223834129088571</v>
      </c>
      <c r="M538">
        <v>37.909999999999997</v>
      </c>
      <c r="N538">
        <v>21.89</v>
      </c>
    </row>
    <row r="539" spans="1:14" x14ac:dyDescent="0.35">
      <c r="A539" s="1" t="s">
        <v>551</v>
      </c>
      <c r="B539" t="str">
        <f>HYPERLINK("https://www.suredividend.com/sure-analysis-research-database/","Fuelcell Energy Inc")</f>
        <v>Fuelcell Energy Inc</v>
      </c>
      <c r="C539" t="s">
        <v>1799</v>
      </c>
      <c r="D539">
        <v>1.29</v>
      </c>
      <c r="E539">
        <v>0</v>
      </c>
      <c r="F539" t="s">
        <v>1798</v>
      </c>
      <c r="G539" t="s">
        <v>1798</v>
      </c>
      <c r="H539">
        <v>0</v>
      </c>
      <c r="I539">
        <v>524.72121100000004</v>
      </c>
      <c r="J539" t="s">
        <v>1798</v>
      </c>
      <c r="K539">
        <v>0</v>
      </c>
      <c r="L539">
        <v>2.5900656274338418</v>
      </c>
      <c r="M539">
        <v>4.3600000000000003</v>
      </c>
      <c r="N539">
        <v>1.1299999999999999</v>
      </c>
    </row>
    <row r="540" spans="1:14" x14ac:dyDescent="0.35">
      <c r="A540" s="1" t="s">
        <v>552</v>
      </c>
      <c r="B540" t="str">
        <f>HYPERLINK("https://www.suredividend.com/sure-analysis-research-database/","First Commonwealth Financial Corp.")</f>
        <v>First Commonwealth Financial Corp.</v>
      </c>
      <c r="C540" t="s">
        <v>1801</v>
      </c>
      <c r="D540">
        <v>12.18</v>
      </c>
      <c r="E540">
        <v>3.9685475274672012E-2</v>
      </c>
      <c r="F540">
        <v>4.1666666666666741E-2</v>
      </c>
      <c r="G540">
        <v>6.790716584560208E-2</v>
      </c>
      <c r="H540">
        <v>0.48336908884551599</v>
      </c>
      <c r="I540">
        <v>1247.307699</v>
      </c>
      <c r="J540">
        <v>8.7404012354070595</v>
      </c>
      <c r="K540">
        <v>0.32882250941871838</v>
      </c>
      <c r="L540">
        <v>0.98609591889127812</v>
      </c>
      <c r="M540">
        <v>16.21</v>
      </c>
      <c r="N540">
        <v>11.23</v>
      </c>
    </row>
    <row r="541" spans="1:14" x14ac:dyDescent="0.35">
      <c r="A541" s="1" t="s">
        <v>553</v>
      </c>
      <c r="B541" t="str">
        <f>HYPERLINK("https://www.suredividend.com/sure-analysis-research-database/","FirstCash Holdings Inc")</f>
        <v>FirstCash Holdings Inc</v>
      </c>
      <c r="C541" t="s">
        <v>1801</v>
      </c>
      <c r="D541">
        <v>99.65</v>
      </c>
      <c r="E541">
        <v>1.3341279659386999E-2</v>
      </c>
      <c r="F541">
        <v>6.0606060606060552E-2</v>
      </c>
      <c r="G541">
        <v>6.9610375725068785E-2</v>
      </c>
      <c r="H541">
        <v>1.329458518057937</v>
      </c>
      <c r="I541">
        <v>4495.0034310000001</v>
      </c>
      <c r="J541">
        <v>19.37919133778832</v>
      </c>
      <c r="K541">
        <v>0.26589170361158743</v>
      </c>
      <c r="L541">
        <v>0.62394377072848406</v>
      </c>
      <c r="M541">
        <v>104.57</v>
      </c>
      <c r="N541">
        <v>78.39</v>
      </c>
    </row>
    <row r="542" spans="1:14" x14ac:dyDescent="0.35">
      <c r="A542" s="1" t="s">
        <v>554</v>
      </c>
      <c r="B542" t="str">
        <f>HYPERLINK("https://www.suredividend.com/sure-analysis-FCPT/","Four Corners Property Trust Inc")</f>
        <v>Four Corners Property Trust Inc</v>
      </c>
      <c r="C542" t="s">
        <v>1800</v>
      </c>
      <c r="D542">
        <v>21.55</v>
      </c>
      <c r="E542">
        <v>6.3573085846867758E-2</v>
      </c>
      <c r="F542">
        <v>2.2556390977443549E-2</v>
      </c>
      <c r="G542">
        <v>3.4113513981932631E-2</v>
      </c>
      <c r="H542">
        <v>1.331243286391093</v>
      </c>
      <c r="I542">
        <v>1951.6939809999999</v>
      </c>
      <c r="J542">
        <v>20.732705673706128</v>
      </c>
      <c r="K542">
        <v>1.1993182760280121</v>
      </c>
      <c r="L542">
        <v>0.62389154270952507</v>
      </c>
      <c r="M542">
        <v>28.1</v>
      </c>
      <c r="N542">
        <v>21.35</v>
      </c>
    </row>
    <row r="543" spans="1:14" x14ac:dyDescent="0.35">
      <c r="A543" s="1" t="s">
        <v>555</v>
      </c>
      <c r="B543" t="str">
        <f>HYPERLINK("https://www.suredividend.com/sure-analysis-research-database/","Focus Universal Inc")</f>
        <v>Focus Universal Inc</v>
      </c>
      <c r="C543" t="s">
        <v>1804</v>
      </c>
      <c r="D543">
        <v>1.94</v>
      </c>
      <c r="E543">
        <v>0</v>
      </c>
      <c r="F543" t="s">
        <v>1798</v>
      </c>
      <c r="G543" t="s">
        <v>1798</v>
      </c>
      <c r="H543">
        <v>0</v>
      </c>
      <c r="I543">
        <v>125.75432499999999</v>
      </c>
      <c r="J543">
        <v>0</v>
      </c>
      <c r="K543" t="s">
        <v>1798</v>
      </c>
      <c r="L543">
        <v>1.861344381490867</v>
      </c>
      <c r="M543">
        <v>9.6</v>
      </c>
      <c r="N543">
        <v>1.4</v>
      </c>
    </row>
    <row r="544" spans="1:14" x14ac:dyDescent="0.35">
      <c r="A544" s="1" t="s">
        <v>556</v>
      </c>
      <c r="B544" t="str">
        <f>HYPERLINK("https://www.suredividend.com/sure-analysis-research-database/","4D Molecular Therapeutics Inc")</f>
        <v>4D Molecular Therapeutics Inc</v>
      </c>
      <c r="C544" t="s">
        <v>1798</v>
      </c>
      <c r="D544">
        <v>10.46</v>
      </c>
      <c r="E544">
        <v>0</v>
      </c>
      <c r="F544" t="s">
        <v>1798</v>
      </c>
      <c r="G544" t="s">
        <v>1798</v>
      </c>
      <c r="H544">
        <v>0</v>
      </c>
      <c r="I544">
        <v>439.87417099999999</v>
      </c>
      <c r="J544" t="s">
        <v>1798</v>
      </c>
      <c r="K544">
        <v>0</v>
      </c>
      <c r="L544">
        <v>1.143240827688911</v>
      </c>
      <c r="M544">
        <v>26.49</v>
      </c>
      <c r="N544">
        <v>6.58</v>
      </c>
    </row>
    <row r="545" spans="1:14" x14ac:dyDescent="0.35">
      <c r="A545" s="1" t="s">
        <v>557</v>
      </c>
      <c r="B545" t="str">
        <f>HYPERLINK("https://www.suredividend.com/sure-analysis-research-database/","Fresh Del Monte Produce Inc")</f>
        <v>Fresh Del Monte Produce Inc</v>
      </c>
      <c r="C545" t="s">
        <v>1805</v>
      </c>
      <c r="D545">
        <v>25.35</v>
      </c>
      <c r="E545">
        <v>2.7352776508557001E-2</v>
      </c>
      <c r="F545" t="s">
        <v>1798</v>
      </c>
      <c r="G545" t="s">
        <v>1798</v>
      </c>
      <c r="H545">
        <v>0.69339288449193004</v>
      </c>
      <c r="I545">
        <v>1219.8467149999999</v>
      </c>
      <c r="J545">
        <v>8.8202943969631242</v>
      </c>
      <c r="K545">
        <v>0.2407614182263646</v>
      </c>
      <c r="L545">
        <v>0.42188690372334298</v>
      </c>
      <c r="M545">
        <v>31.86</v>
      </c>
      <c r="N545">
        <v>24.17</v>
      </c>
    </row>
    <row r="546" spans="1:14" x14ac:dyDescent="0.35">
      <c r="A546" s="1" t="s">
        <v>558</v>
      </c>
      <c r="B546" t="str">
        <f>HYPERLINK("https://www.suredividend.com/sure-analysis-research-database/","5E Advanced Materials Inc")</f>
        <v>5E Advanced Materials Inc</v>
      </c>
      <c r="C546" t="s">
        <v>1798</v>
      </c>
      <c r="D546">
        <v>3.1</v>
      </c>
      <c r="E546">
        <v>0</v>
      </c>
      <c r="F546" t="s">
        <v>1798</v>
      </c>
      <c r="G546" t="s">
        <v>1798</v>
      </c>
      <c r="H546">
        <v>0</v>
      </c>
      <c r="I546">
        <v>137.07705899999999</v>
      </c>
      <c r="J546">
        <v>0</v>
      </c>
      <c r="K546" t="s">
        <v>1798</v>
      </c>
      <c r="L546">
        <v>1.6381961408385139</v>
      </c>
      <c r="M546">
        <v>14.37</v>
      </c>
      <c r="N546">
        <v>2.17</v>
      </c>
    </row>
    <row r="547" spans="1:14" x14ac:dyDescent="0.35">
      <c r="A547" s="1" t="s">
        <v>559</v>
      </c>
      <c r="B547" t="str">
        <f>HYPERLINK("https://www.suredividend.com/sure-analysis-FELE/","Franklin Electric Co., Inc.")</f>
        <v>Franklin Electric Co., Inc.</v>
      </c>
      <c r="C547" t="s">
        <v>1799</v>
      </c>
      <c r="D547">
        <v>86.56</v>
      </c>
      <c r="E547">
        <v>1.0397412199630311E-2</v>
      </c>
      <c r="F547">
        <v>0.15384615384615369</v>
      </c>
      <c r="G547">
        <v>0.13396657763302719</v>
      </c>
      <c r="H547">
        <v>0.86461693167341502</v>
      </c>
      <c r="I547">
        <v>4004.3363199999999</v>
      </c>
      <c r="J547">
        <v>19.9389350172783</v>
      </c>
      <c r="K547">
        <v>0.20201330179285401</v>
      </c>
      <c r="L547">
        <v>0.96725299715869706</v>
      </c>
      <c r="M547">
        <v>106.87</v>
      </c>
      <c r="N547">
        <v>76.67</v>
      </c>
    </row>
    <row r="548" spans="1:14" x14ac:dyDescent="0.35">
      <c r="A548" s="1" t="s">
        <v>560</v>
      </c>
      <c r="B548" t="str">
        <f>HYPERLINK("https://www.suredividend.com/sure-analysis-research-database/","Futurefuel Corp")</f>
        <v>Futurefuel Corp</v>
      </c>
      <c r="C548" t="s">
        <v>1809</v>
      </c>
      <c r="D548">
        <v>6.81</v>
      </c>
      <c r="E548">
        <v>3.4847281257237003E-2</v>
      </c>
      <c r="F548">
        <v>0</v>
      </c>
      <c r="G548">
        <v>0</v>
      </c>
      <c r="H548">
        <v>0.23730998536178699</v>
      </c>
      <c r="I548">
        <v>298.02768500000002</v>
      </c>
      <c r="J548">
        <v>7.1068960255156792</v>
      </c>
      <c r="K548">
        <v>0.2476622681713494</v>
      </c>
      <c r="L548">
        <v>1.221353458572952</v>
      </c>
      <c r="M548">
        <v>10.220000000000001</v>
      </c>
      <c r="N548">
        <v>6.04</v>
      </c>
    </row>
    <row r="549" spans="1:14" x14ac:dyDescent="0.35">
      <c r="A549" s="1" t="s">
        <v>561</v>
      </c>
      <c r="B549" t="str">
        <f>HYPERLINK("https://www.suredividend.com/sure-analysis-research-database/","First Financial Bancorp")</f>
        <v>First Financial Bancorp</v>
      </c>
      <c r="C549" t="s">
        <v>1801</v>
      </c>
      <c r="D549">
        <v>19.23</v>
      </c>
      <c r="E549">
        <v>4.6408276985953012E-2</v>
      </c>
      <c r="F549">
        <v>0</v>
      </c>
      <c r="G549">
        <v>2.834672210021361E-2</v>
      </c>
      <c r="H549">
        <v>0.89243116643988907</v>
      </c>
      <c r="I549">
        <v>1829.2450389999999</v>
      </c>
      <c r="J549">
        <v>7.0123362204775717</v>
      </c>
      <c r="K549">
        <v>0.32452042415995969</v>
      </c>
      <c r="L549">
        <v>1.0465306174867419</v>
      </c>
      <c r="M549">
        <v>25.29</v>
      </c>
      <c r="N549">
        <v>17.190000000000001</v>
      </c>
    </row>
    <row r="550" spans="1:14" x14ac:dyDescent="0.35">
      <c r="A550" s="1" t="s">
        <v>562</v>
      </c>
      <c r="B550" t="str">
        <f>HYPERLINK("https://www.suredividend.com/sure-analysis-research-database/","Flushing Financial Corp.")</f>
        <v>Flushing Financial Corp.</v>
      </c>
      <c r="C550" t="s">
        <v>1801</v>
      </c>
      <c r="D550">
        <v>12.24</v>
      </c>
      <c r="E550">
        <v>6.8706694094736009E-2</v>
      </c>
      <c r="F550">
        <v>0</v>
      </c>
      <c r="G550">
        <v>1.9244876491456561E-2</v>
      </c>
      <c r="H550">
        <v>0.84096993571957002</v>
      </c>
      <c r="I550">
        <v>354.51857699999999</v>
      </c>
      <c r="J550">
        <v>7.4671646616256293</v>
      </c>
      <c r="K550">
        <v>0.53908329212792949</v>
      </c>
      <c r="L550">
        <v>1.067381790143233</v>
      </c>
      <c r="M550">
        <v>19.64</v>
      </c>
      <c r="N550">
        <v>8.65</v>
      </c>
    </row>
    <row r="551" spans="1:14" x14ac:dyDescent="0.35">
      <c r="A551" s="1" t="s">
        <v>563</v>
      </c>
      <c r="B551" t="str">
        <f>HYPERLINK("https://www.suredividend.com/sure-analysis-research-database/","Faraday Future Intelligent Electric Inc")</f>
        <v>Faraday Future Intelligent Electric Inc</v>
      </c>
      <c r="C551" t="s">
        <v>1798</v>
      </c>
      <c r="D551">
        <v>1.05</v>
      </c>
      <c r="E551">
        <v>0</v>
      </c>
      <c r="F551" t="s">
        <v>1798</v>
      </c>
      <c r="G551" t="s">
        <v>1798</v>
      </c>
      <c r="H551">
        <v>0</v>
      </c>
      <c r="I551">
        <v>690.443714</v>
      </c>
      <c r="J551">
        <v>0</v>
      </c>
      <c r="K551" t="s">
        <v>1798</v>
      </c>
      <c r="L551">
        <v>1.9070773177059439</v>
      </c>
      <c r="M551">
        <v>105.6</v>
      </c>
      <c r="N551">
        <v>1.01</v>
      </c>
    </row>
    <row r="552" spans="1:14" x14ac:dyDescent="0.35">
      <c r="A552" s="1" t="s">
        <v>564</v>
      </c>
      <c r="B552" t="str">
        <f>HYPERLINK("https://www.suredividend.com/sure-analysis-FFIN/","First Financial Bankshares, Inc.")</f>
        <v>First Financial Bankshares, Inc.</v>
      </c>
      <c r="C552" t="s">
        <v>1801</v>
      </c>
      <c r="D552">
        <v>23.91</v>
      </c>
      <c r="E552">
        <v>3.0112923462986201E-2</v>
      </c>
      <c r="F552">
        <v>5.8823529411764497E-2</v>
      </c>
      <c r="G552">
        <v>-3.035973390442093E-2</v>
      </c>
      <c r="H552">
        <v>0.69085849047080505</v>
      </c>
      <c r="I552">
        <v>3412.941996</v>
      </c>
      <c r="J552">
        <v>15.41179497114473</v>
      </c>
      <c r="K552">
        <v>0.44571515514245491</v>
      </c>
      <c r="L552">
        <v>1.080347645694941</v>
      </c>
      <c r="M552">
        <v>44.56</v>
      </c>
      <c r="N552">
        <v>23.71</v>
      </c>
    </row>
    <row r="553" spans="1:14" x14ac:dyDescent="0.35">
      <c r="A553" s="1" t="s">
        <v>565</v>
      </c>
      <c r="B553" t="str">
        <f>HYPERLINK("https://www.suredividend.com/sure-analysis-research-database/","First Foundation Inc")</f>
        <v>First Foundation Inc</v>
      </c>
      <c r="C553" t="s">
        <v>1801</v>
      </c>
      <c r="D553">
        <v>5.71</v>
      </c>
      <c r="E553">
        <v>4.5106822700819997E-2</v>
      </c>
      <c r="F553" t="s">
        <v>1798</v>
      </c>
      <c r="G553" t="s">
        <v>1798</v>
      </c>
      <c r="H553">
        <v>0.25755995762168699</v>
      </c>
      <c r="I553">
        <v>322.29395</v>
      </c>
      <c r="J553">
        <v>0</v>
      </c>
      <c r="K553" t="s">
        <v>1798</v>
      </c>
      <c r="L553">
        <v>1.621722682231219</v>
      </c>
      <c r="M553">
        <v>18.89</v>
      </c>
      <c r="N553">
        <v>3.68</v>
      </c>
    </row>
    <row r="554" spans="1:14" x14ac:dyDescent="0.35">
      <c r="A554" s="1" t="s">
        <v>566</v>
      </c>
      <c r="B554" t="str">
        <f>HYPERLINK("https://www.suredividend.com/sure-analysis-research-database/","First Guaranty Bancshares Inc")</f>
        <v>First Guaranty Bancshares Inc</v>
      </c>
      <c r="C554" t="s">
        <v>1801</v>
      </c>
      <c r="D554">
        <v>10.53</v>
      </c>
      <c r="E554">
        <v>5.8646071427492001E-2</v>
      </c>
      <c r="F554">
        <v>0</v>
      </c>
      <c r="G554">
        <v>0</v>
      </c>
      <c r="H554">
        <v>0.61754313213149503</v>
      </c>
      <c r="I554">
        <v>120.369304</v>
      </c>
      <c r="J554">
        <v>0</v>
      </c>
      <c r="K554" t="s">
        <v>1798</v>
      </c>
      <c r="L554">
        <v>0.77541175143958307</v>
      </c>
      <c r="M554">
        <v>23.51</v>
      </c>
      <c r="N554">
        <v>10.48</v>
      </c>
    </row>
    <row r="555" spans="1:14" x14ac:dyDescent="0.35">
      <c r="A555" s="1" t="s">
        <v>567</v>
      </c>
      <c r="B555" t="str">
        <f>HYPERLINK("https://www.suredividend.com/sure-analysis-research-database/","FibroGen Inc")</f>
        <v>FibroGen Inc</v>
      </c>
      <c r="C555" t="s">
        <v>1803</v>
      </c>
      <c r="D555">
        <v>0.59499999999999997</v>
      </c>
      <c r="E555">
        <v>0</v>
      </c>
      <c r="F555" t="s">
        <v>1798</v>
      </c>
      <c r="G555" t="s">
        <v>1798</v>
      </c>
      <c r="H555">
        <v>0</v>
      </c>
      <c r="I555">
        <v>58.435049999999997</v>
      </c>
      <c r="J555" t="s">
        <v>1798</v>
      </c>
      <c r="K555">
        <v>0</v>
      </c>
      <c r="L555">
        <v>1.329524947230712</v>
      </c>
      <c r="M555">
        <v>25.69</v>
      </c>
      <c r="N555">
        <v>0.59</v>
      </c>
    </row>
    <row r="556" spans="1:14" x14ac:dyDescent="0.35">
      <c r="A556" s="1" t="s">
        <v>568</v>
      </c>
      <c r="B556" t="str">
        <f>HYPERLINK("https://www.suredividend.com/sure-analysis-research-database/","Federated Hermes Inc")</f>
        <v>Federated Hermes Inc</v>
      </c>
      <c r="C556" t="s">
        <v>1801</v>
      </c>
      <c r="D556">
        <v>33.049999999999997</v>
      </c>
      <c r="E556">
        <v>3.2902526778503E-2</v>
      </c>
      <c r="F556">
        <v>-0.87037037037037035</v>
      </c>
      <c r="G556">
        <v>-0.33542981092151208</v>
      </c>
      <c r="H556">
        <v>1.0874285100295431</v>
      </c>
      <c r="I556">
        <v>2917.8561340000001</v>
      </c>
      <c r="J556">
        <v>11.45420695451458</v>
      </c>
      <c r="K556">
        <v>0.36247617000984772</v>
      </c>
      <c r="L556">
        <v>0.67238197829369406</v>
      </c>
      <c r="M556">
        <v>44.84</v>
      </c>
      <c r="N556">
        <v>29.94</v>
      </c>
    </row>
    <row r="557" spans="1:14" x14ac:dyDescent="0.35">
      <c r="A557" s="1" t="s">
        <v>569</v>
      </c>
      <c r="B557" t="str">
        <f>HYPERLINK("https://www.suredividend.com/sure-analysis-research-database/","Foghorn Therapeutics Inc")</f>
        <v>Foghorn Therapeutics Inc</v>
      </c>
      <c r="C557" t="s">
        <v>1798</v>
      </c>
      <c r="D557">
        <v>3.49</v>
      </c>
      <c r="E557">
        <v>0</v>
      </c>
      <c r="F557" t="s">
        <v>1798</v>
      </c>
      <c r="G557" t="s">
        <v>1798</v>
      </c>
      <c r="H557">
        <v>0</v>
      </c>
      <c r="I557">
        <v>146.09898699999999</v>
      </c>
      <c r="J557" t="s">
        <v>1798</v>
      </c>
      <c r="K557">
        <v>0</v>
      </c>
      <c r="L557">
        <v>1.0617278323699171</v>
      </c>
      <c r="M557">
        <v>9.9700000000000006</v>
      </c>
      <c r="N557">
        <v>3.32</v>
      </c>
    </row>
    <row r="558" spans="1:14" x14ac:dyDescent="0.35">
      <c r="A558" s="1" t="s">
        <v>570</v>
      </c>
      <c r="B558" t="str">
        <f>HYPERLINK("https://www.suredividend.com/sure-analysis-research-database/","First Interstate BancSystem Inc.")</f>
        <v>First Interstate BancSystem Inc.</v>
      </c>
      <c r="C558" t="s">
        <v>1801</v>
      </c>
      <c r="D558">
        <v>22.98</v>
      </c>
      <c r="E558">
        <v>7.8017029397125001E-2</v>
      </c>
      <c r="F558">
        <v>0.14634146341463411</v>
      </c>
      <c r="G558">
        <v>8.6794001831422829E-2</v>
      </c>
      <c r="H558">
        <v>1.7928313355459371</v>
      </c>
      <c r="I558">
        <v>2413.320741</v>
      </c>
      <c r="J558">
        <v>8.1862983067164183</v>
      </c>
      <c r="K558">
        <v>0.63801826887755764</v>
      </c>
      <c r="L558">
        <v>0.91488854188752611</v>
      </c>
      <c r="M558">
        <v>42.49</v>
      </c>
      <c r="N558">
        <v>20.36</v>
      </c>
    </row>
    <row r="559" spans="1:14" x14ac:dyDescent="0.35">
      <c r="A559" s="1" t="s">
        <v>571</v>
      </c>
      <c r="B559" t="str">
        <f>HYPERLINK("https://www.suredividend.com/sure-analysis-research-database/","Figs Inc")</f>
        <v>Figs Inc</v>
      </c>
      <c r="C559" t="s">
        <v>1798</v>
      </c>
      <c r="D559">
        <v>6.24</v>
      </c>
      <c r="E559">
        <v>0</v>
      </c>
      <c r="F559" t="s">
        <v>1798</v>
      </c>
      <c r="G559" t="s">
        <v>1798</v>
      </c>
      <c r="H559">
        <v>0</v>
      </c>
      <c r="I559">
        <v>1002.88032</v>
      </c>
      <c r="J559">
        <v>72.014959069366654</v>
      </c>
      <c r="K559">
        <v>0</v>
      </c>
      <c r="L559">
        <v>1.8343545025510559</v>
      </c>
      <c r="M559">
        <v>10.199999999999999</v>
      </c>
      <c r="N559">
        <v>5.31</v>
      </c>
    </row>
    <row r="560" spans="1:14" x14ac:dyDescent="0.35">
      <c r="A560" s="1" t="s">
        <v>572</v>
      </c>
      <c r="B560" t="str">
        <f>HYPERLINK("https://www.suredividend.com/sure-analysis-FISI/","Financial Institutions Inc.")</f>
        <v>Financial Institutions Inc.</v>
      </c>
      <c r="C560" t="s">
        <v>1801</v>
      </c>
      <c r="D560">
        <v>16.46</v>
      </c>
      <c r="E560">
        <v>7.2904009720534624E-2</v>
      </c>
      <c r="F560">
        <v>3.4482758620689953E-2</v>
      </c>
      <c r="G560">
        <v>4.5639552591273169E-2</v>
      </c>
      <c r="H560">
        <v>1.136467119680715</v>
      </c>
      <c r="I560">
        <v>253.51362800000001</v>
      </c>
      <c r="J560">
        <v>4.9761242884622936</v>
      </c>
      <c r="K560">
        <v>0.34334354068903777</v>
      </c>
      <c r="L560">
        <v>0.85903796264207211</v>
      </c>
      <c r="M560">
        <v>24.4</v>
      </c>
      <c r="N560">
        <v>12.91</v>
      </c>
    </row>
    <row r="561" spans="1:14" x14ac:dyDescent="0.35">
      <c r="A561" s="1" t="s">
        <v>573</v>
      </c>
      <c r="B561" t="str">
        <f>HYPERLINK("https://www.suredividend.com/sure-analysis-research-database/","Comfort Systems USA, Inc.")</f>
        <v>Comfort Systems USA, Inc.</v>
      </c>
      <c r="C561" t="s">
        <v>1799</v>
      </c>
      <c r="D561">
        <v>158.84</v>
      </c>
      <c r="E561">
        <v>4.713756084051E-3</v>
      </c>
      <c r="F561">
        <v>0.60714285714285698</v>
      </c>
      <c r="G561">
        <v>0.20112443398143129</v>
      </c>
      <c r="H561">
        <v>0.74873301639078105</v>
      </c>
      <c r="I561">
        <v>5681.5859229999996</v>
      </c>
      <c r="J561">
        <v>23.320455618373689</v>
      </c>
      <c r="K561">
        <v>0.11043259828772579</v>
      </c>
      <c r="L561">
        <v>1.072365872389448</v>
      </c>
      <c r="M561">
        <v>192.33</v>
      </c>
      <c r="N561">
        <v>102.29</v>
      </c>
    </row>
    <row r="562" spans="1:14" x14ac:dyDescent="0.35">
      <c r="A562" s="1" t="s">
        <v>574</v>
      </c>
      <c r="B562" t="str">
        <f>HYPERLINK("https://www.suredividend.com/sure-analysis-research-database/","National Beverage Corp.")</f>
        <v>National Beverage Corp.</v>
      </c>
      <c r="C562" t="s">
        <v>1805</v>
      </c>
      <c r="D562">
        <v>45.23</v>
      </c>
      <c r="E562">
        <v>0</v>
      </c>
      <c r="F562" t="s">
        <v>1798</v>
      </c>
      <c r="G562" t="s">
        <v>1798</v>
      </c>
      <c r="H562">
        <v>0</v>
      </c>
      <c r="I562">
        <v>4222.4080240000003</v>
      </c>
      <c r="J562">
        <v>27.007682076870431</v>
      </c>
      <c r="K562">
        <v>0</v>
      </c>
      <c r="L562">
        <v>0.70359276955467709</v>
      </c>
      <c r="M562">
        <v>55.12</v>
      </c>
      <c r="N562">
        <v>40.11</v>
      </c>
    </row>
    <row r="563" spans="1:14" x14ac:dyDescent="0.35">
      <c r="A563" s="1" t="s">
        <v>575</v>
      </c>
      <c r="B563" t="str">
        <f>HYPERLINK("https://www.suredividend.com/sure-analysis-research-database/","Foot Locker Inc")</f>
        <v>Foot Locker Inc</v>
      </c>
      <c r="C563" t="s">
        <v>1802</v>
      </c>
      <c r="D563">
        <v>20.86</v>
      </c>
      <c r="E563">
        <v>7.4839463076969009E-2</v>
      </c>
      <c r="F563">
        <v>0</v>
      </c>
      <c r="G563">
        <v>3.002598081465924E-2</v>
      </c>
      <c r="H563">
        <v>1.5611511997855929</v>
      </c>
      <c r="I563">
        <v>1964.1598690000001</v>
      </c>
      <c r="J563">
        <v>13.453149787671229</v>
      </c>
      <c r="K563">
        <v>1.0137345453153199</v>
      </c>
      <c r="L563">
        <v>1.179652350580638</v>
      </c>
      <c r="M563">
        <v>45.15</v>
      </c>
      <c r="N563">
        <v>14.56</v>
      </c>
    </row>
    <row r="564" spans="1:14" x14ac:dyDescent="0.35">
      <c r="A564" s="1" t="s">
        <v>576</v>
      </c>
      <c r="B564" t="str">
        <f>HYPERLINK("https://www.suredividend.com/sure-analysis-research-database/","Fulgent Genetics Inc")</f>
        <v>Fulgent Genetics Inc</v>
      </c>
      <c r="C564" t="s">
        <v>1803</v>
      </c>
      <c r="D564">
        <v>24.9</v>
      </c>
      <c r="E564">
        <v>0</v>
      </c>
      <c r="F564" t="s">
        <v>1798</v>
      </c>
      <c r="G564" t="s">
        <v>1798</v>
      </c>
      <c r="H564">
        <v>0</v>
      </c>
      <c r="I564">
        <v>745.17846499999996</v>
      </c>
      <c r="J564" t="s">
        <v>1798</v>
      </c>
      <c r="K564">
        <v>0</v>
      </c>
      <c r="L564">
        <v>1.2035216634859409</v>
      </c>
      <c r="M564">
        <v>44.09</v>
      </c>
      <c r="N564">
        <v>24.31</v>
      </c>
    </row>
    <row r="565" spans="1:14" x14ac:dyDescent="0.35">
      <c r="A565" s="1" t="s">
        <v>577</v>
      </c>
      <c r="B565" t="str">
        <f>HYPERLINK("https://www.suredividend.com/sure-analysis-FLIC/","First Of Long Island Corp.")</f>
        <v>First Of Long Island Corp.</v>
      </c>
      <c r="C565" t="s">
        <v>1801</v>
      </c>
      <c r="D565">
        <v>10.55</v>
      </c>
      <c r="E565">
        <v>7.962085308056871E-2</v>
      </c>
      <c r="F565">
        <v>0</v>
      </c>
      <c r="G565">
        <v>4.3167563810134979E-2</v>
      </c>
      <c r="H565">
        <v>0.81165299490292309</v>
      </c>
      <c r="I565">
        <v>238.14268100000001</v>
      </c>
      <c r="J565">
        <v>6.6617064255342964</v>
      </c>
      <c r="K565">
        <v>0.51370442715374875</v>
      </c>
      <c r="L565">
        <v>0.94754075763144807</v>
      </c>
      <c r="M565">
        <v>18.07</v>
      </c>
      <c r="N565">
        <v>8.34</v>
      </c>
    </row>
    <row r="566" spans="1:14" x14ac:dyDescent="0.35">
      <c r="A566" s="1" t="s">
        <v>578</v>
      </c>
      <c r="B566" t="str">
        <f>HYPERLINK("https://www.suredividend.com/sure-analysis-research-database/","Full House Resorts, Inc.")</f>
        <v>Full House Resorts, Inc.</v>
      </c>
      <c r="C566" t="s">
        <v>1802</v>
      </c>
      <c r="D566">
        <v>4.1399999999999997</v>
      </c>
      <c r="E566">
        <v>0</v>
      </c>
      <c r="F566" t="s">
        <v>1798</v>
      </c>
      <c r="G566" t="s">
        <v>1798</v>
      </c>
      <c r="H566">
        <v>0</v>
      </c>
      <c r="I566">
        <v>143.15162799999999</v>
      </c>
      <c r="J566">
        <v>0</v>
      </c>
      <c r="K566" t="s">
        <v>1798</v>
      </c>
      <c r="L566">
        <v>1.4417369977911469</v>
      </c>
      <c r="M566">
        <v>10.130000000000001</v>
      </c>
      <c r="N566">
        <v>3.95</v>
      </c>
    </row>
    <row r="567" spans="1:14" x14ac:dyDescent="0.35">
      <c r="A567" s="1" t="s">
        <v>579</v>
      </c>
      <c r="B567" t="str">
        <f>HYPERLINK("https://www.suredividend.com/sure-analysis-research-database/","Fluence Energy Inc")</f>
        <v>Fluence Energy Inc</v>
      </c>
      <c r="C567" t="s">
        <v>1798</v>
      </c>
      <c r="D567">
        <v>20.7</v>
      </c>
      <c r="E567">
        <v>0</v>
      </c>
      <c r="F567" t="s">
        <v>1798</v>
      </c>
      <c r="G567" t="s">
        <v>1798</v>
      </c>
      <c r="H567">
        <v>0</v>
      </c>
      <c r="I567">
        <v>2453.0965769999998</v>
      </c>
      <c r="J567" t="s">
        <v>1798</v>
      </c>
      <c r="K567">
        <v>0</v>
      </c>
      <c r="L567">
        <v>2.3876957221845529</v>
      </c>
      <c r="M567">
        <v>31.32</v>
      </c>
      <c r="N567">
        <v>11.9</v>
      </c>
    </row>
    <row r="568" spans="1:14" x14ac:dyDescent="0.35">
      <c r="A568" s="1" t="s">
        <v>580</v>
      </c>
      <c r="B568" t="str">
        <f>HYPERLINK("https://www.suredividend.com/sure-analysis-research-database/","Flex Lng Ltd")</f>
        <v>Flex Lng Ltd</v>
      </c>
      <c r="C568" t="s">
        <v>1808</v>
      </c>
      <c r="D568">
        <v>30.75</v>
      </c>
      <c r="E568">
        <v>9.451735001941601E-2</v>
      </c>
      <c r="F568" t="s">
        <v>1798</v>
      </c>
      <c r="G568" t="s">
        <v>1798</v>
      </c>
      <c r="H568">
        <v>2.9064085130970718</v>
      </c>
      <c r="I568">
        <v>1676.499994</v>
      </c>
      <c r="J568">
        <v>0</v>
      </c>
      <c r="K568" t="s">
        <v>1798</v>
      </c>
      <c r="L568">
        <v>0.8624037157321901</v>
      </c>
      <c r="M568">
        <v>36.18</v>
      </c>
      <c r="N568">
        <v>27.54</v>
      </c>
    </row>
    <row r="569" spans="1:14" x14ac:dyDescent="0.35">
      <c r="A569" s="1" t="s">
        <v>581</v>
      </c>
      <c r="B569" t="str">
        <f>HYPERLINK("https://www.suredividend.com/sure-analysis-research-database/","Fluor Corporation")</f>
        <v>Fluor Corporation</v>
      </c>
      <c r="C569" t="s">
        <v>1799</v>
      </c>
      <c r="D569">
        <v>36.15</v>
      </c>
      <c r="E569">
        <v>0</v>
      </c>
      <c r="F569" t="s">
        <v>1798</v>
      </c>
      <c r="G569" t="s">
        <v>1798</v>
      </c>
      <c r="H569">
        <v>0</v>
      </c>
      <c r="I569">
        <v>5182.7656360000001</v>
      </c>
      <c r="J569" t="s">
        <v>1798</v>
      </c>
      <c r="K569">
        <v>0</v>
      </c>
      <c r="L569">
        <v>1.0844329239066299</v>
      </c>
      <c r="M569">
        <v>38.869999999999997</v>
      </c>
      <c r="N569">
        <v>25.69</v>
      </c>
    </row>
    <row r="570" spans="1:14" x14ac:dyDescent="0.35">
      <c r="A570" s="1" t="s">
        <v>582</v>
      </c>
      <c r="B570" t="str">
        <f>HYPERLINK("https://www.suredividend.com/sure-analysis-research-database/","1-800 Flowers.com Inc.")</f>
        <v>1-800 Flowers.com Inc.</v>
      </c>
      <c r="C570" t="s">
        <v>1802</v>
      </c>
      <c r="D570">
        <v>6.9</v>
      </c>
      <c r="E570">
        <v>0</v>
      </c>
      <c r="F570" t="s">
        <v>1798</v>
      </c>
      <c r="G570" t="s">
        <v>1798</v>
      </c>
      <c r="H570">
        <v>0</v>
      </c>
      <c r="I570">
        <v>260.35900400000003</v>
      </c>
      <c r="J570" t="s">
        <v>1798</v>
      </c>
      <c r="K570">
        <v>0</v>
      </c>
      <c r="L570">
        <v>1.9383083226941391</v>
      </c>
      <c r="M570">
        <v>13.29</v>
      </c>
      <c r="N570">
        <v>5.98</v>
      </c>
    </row>
    <row r="571" spans="1:14" x14ac:dyDescent="0.35">
      <c r="A571" s="1" t="s">
        <v>583</v>
      </c>
      <c r="B571" t="str">
        <f>HYPERLINK("https://www.suredividend.com/sure-analysis-research-database/","Flywire Corp")</f>
        <v>Flywire Corp</v>
      </c>
      <c r="C571" t="s">
        <v>1798</v>
      </c>
      <c r="D571">
        <v>27.66</v>
      </c>
      <c r="E571">
        <v>0</v>
      </c>
      <c r="F571" t="s">
        <v>1798</v>
      </c>
      <c r="G571" t="s">
        <v>1798</v>
      </c>
      <c r="H571">
        <v>0</v>
      </c>
      <c r="I571">
        <v>3275.2612049999998</v>
      </c>
      <c r="J571" t="s">
        <v>1798</v>
      </c>
      <c r="K571">
        <v>0</v>
      </c>
      <c r="L571">
        <v>1.733048523639716</v>
      </c>
      <c r="M571">
        <v>35.799999999999997</v>
      </c>
      <c r="N571">
        <v>17.16</v>
      </c>
    </row>
    <row r="572" spans="1:14" x14ac:dyDescent="0.35">
      <c r="A572" s="1" t="s">
        <v>584</v>
      </c>
      <c r="B572" t="str">
        <f>HYPERLINK("https://www.suredividend.com/sure-analysis-FMAO/","Farmers &amp; Merchants Bancorp Inc.")</f>
        <v>Farmers &amp; Merchants Bancorp Inc.</v>
      </c>
      <c r="C572" t="s">
        <v>1801</v>
      </c>
      <c r="D572">
        <v>17.22</v>
      </c>
      <c r="E572">
        <v>4.878048780487805E-2</v>
      </c>
      <c r="F572">
        <v>0</v>
      </c>
      <c r="G572">
        <v>6.9610375725068785E-2</v>
      </c>
      <c r="H572">
        <v>0.81605962439537905</v>
      </c>
      <c r="I572">
        <v>234.787037</v>
      </c>
      <c r="J572">
        <v>0</v>
      </c>
      <c r="K572" t="s">
        <v>1798</v>
      </c>
      <c r="L572">
        <v>1.21123476037077</v>
      </c>
      <c r="M572">
        <v>29.07</v>
      </c>
      <c r="N572">
        <v>16.61</v>
      </c>
    </row>
    <row r="573" spans="1:14" x14ac:dyDescent="0.35">
      <c r="A573" s="1" t="s">
        <v>585</v>
      </c>
      <c r="B573" t="str">
        <f>HYPERLINK("https://www.suredividend.com/sure-analysis-FMBH/","First Mid Bancshares Inc.")</f>
        <v>First Mid Bancshares Inc.</v>
      </c>
      <c r="C573" t="s">
        <v>1801</v>
      </c>
      <c r="D573">
        <v>26.89</v>
      </c>
      <c r="E573">
        <v>3.4213462253625877E-2</v>
      </c>
      <c r="F573" t="s">
        <v>1798</v>
      </c>
      <c r="G573" t="s">
        <v>1798</v>
      </c>
      <c r="H573">
        <v>0.89876740854966208</v>
      </c>
      <c r="I573">
        <v>552.315652</v>
      </c>
      <c r="J573">
        <v>0</v>
      </c>
      <c r="K573" t="s">
        <v>1798</v>
      </c>
      <c r="L573">
        <v>0.97038018387914105</v>
      </c>
      <c r="M573">
        <v>35.42</v>
      </c>
      <c r="N573">
        <v>21.01</v>
      </c>
    </row>
    <row r="574" spans="1:14" x14ac:dyDescent="0.35">
      <c r="A574" s="1" t="s">
        <v>586</v>
      </c>
      <c r="B574" t="str">
        <f>HYPERLINK("https://www.suredividend.com/sure-analysis-research-database/","Farmers National Banc Corp.")</f>
        <v>Farmers National Banc Corp.</v>
      </c>
      <c r="C574" t="s">
        <v>1801</v>
      </c>
      <c r="D574">
        <v>11.03</v>
      </c>
      <c r="E574">
        <v>5.9431524984036997E-2</v>
      </c>
      <c r="F574">
        <v>6.25E-2</v>
      </c>
      <c r="G574">
        <v>0.16271101521949821</v>
      </c>
      <c r="H574">
        <v>0.6555297205739361</v>
      </c>
      <c r="I574">
        <v>413.48910999999998</v>
      </c>
      <c r="J574">
        <v>0</v>
      </c>
      <c r="K574" t="s">
        <v>1798</v>
      </c>
      <c r="L574">
        <v>0.96343058504658508</v>
      </c>
      <c r="M574">
        <v>14.31</v>
      </c>
      <c r="N574">
        <v>10.25</v>
      </c>
    </row>
    <row r="575" spans="1:14" x14ac:dyDescent="0.35">
      <c r="A575" s="1" t="s">
        <v>587</v>
      </c>
      <c r="B575" t="str">
        <f>HYPERLINK("https://www.suredividend.com/sure-analysis-research-database/","Fabrinet")</f>
        <v>Fabrinet</v>
      </c>
      <c r="C575" t="s">
        <v>1804</v>
      </c>
      <c r="D575">
        <v>173.18</v>
      </c>
      <c r="E575">
        <v>0</v>
      </c>
      <c r="F575" t="s">
        <v>1798</v>
      </c>
      <c r="G575" t="s">
        <v>1798</v>
      </c>
      <c r="H575">
        <v>0</v>
      </c>
      <c r="I575">
        <v>6267.5308830000004</v>
      </c>
      <c r="J575">
        <v>25.28117074723794</v>
      </c>
      <c r="K575">
        <v>0</v>
      </c>
      <c r="L575">
        <v>1.0931786004424551</v>
      </c>
      <c r="M575">
        <v>183.74</v>
      </c>
      <c r="N575">
        <v>90.19</v>
      </c>
    </row>
    <row r="576" spans="1:14" x14ac:dyDescent="0.35">
      <c r="A576" s="1" t="s">
        <v>588</v>
      </c>
      <c r="B576" t="str">
        <f>HYPERLINK("https://www.suredividend.com/sure-analysis-research-database/","Paragon 28 Inc")</f>
        <v>Paragon 28 Inc</v>
      </c>
      <c r="C576" t="s">
        <v>1798</v>
      </c>
      <c r="D576">
        <v>9.18</v>
      </c>
      <c r="E576">
        <v>0</v>
      </c>
      <c r="F576" t="s">
        <v>1798</v>
      </c>
      <c r="G576" t="s">
        <v>1798</v>
      </c>
      <c r="H576">
        <v>0</v>
      </c>
      <c r="I576">
        <v>757.76381600000002</v>
      </c>
      <c r="J576" t="s">
        <v>1798</v>
      </c>
      <c r="K576">
        <v>0</v>
      </c>
      <c r="L576">
        <v>1.093028115770651</v>
      </c>
      <c r="M576">
        <v>21.49</v>
      </c>
      <c r="N576">
        <v>9.0399999999999991</v>
      </c>
    </row>
    <row r="577" spans="1:14" x14ac:dyDescent="0.35">
      <c r="A577" s="1" t="s">
        <v>589</v>
      </c>
      <c r="B577" t="str">
        <f>HYPERLINK("https://www.suredividend.com/sure-analysis-research-database/","Funko Inc")</f>
        <v>Funko Inc</v>
      </c>
      <c r="C577" t="s">
        <v>1802</v>
      </c>
      <c r="D577">
        <v>7.53</v>
      </c>
      <c r="E577">
        <v>0</v>
      </c>
      <c r="F577" t="s">
        <v>1798</v>
      </c>
      <c r="G577" t="s">
        <v>1798</v>
      </c>
      <c r="H577">
        <v>0</v>
      </c>
      <c r="I577">
        <v>365.26518700000003</v>
      </c>
      <c r="J577" t="s">
        <v>1798</v>
      </c>
      <c r="K577">
        <v>0</v>
      </c>
      <c r="L577">
        <v>1.091261259613485</v>
      </c>
      <c r="M577">
        <v>22.77</v>
      </c>
      <c r="N577">
        <v>5.27</v>
      </c>
    </row>
    <row r="578" spans="1:14" x14ac:dyDescent="0.35">
      <c r="A578" s="1" t="s">
        <v>590</v>
      </c>
      <c r="B578" t="str">
        <f>HYPERLINK("https://www.suredividend.com/sure-analysis-research-database/","First Bancorp Inc (ME)")</f>
        <v>First Bancorp Inc (ME)</v>
      </c>
      <c r="C578" t="s">
        <v>1801</v>
      </c>
      <c r="D578">
        <v>23.23</v>
      </c>
      <c r="E578">
        <v>7.0406269286770004E-2</v>
      </c>
      <c r="F578">
        <v>2.941176470588247E-2</v>
      </c>
      <c r="G578">
        <v>3.8326670088616899E-2</v>
      </c>
      <c r="H578">
        <v>1.635537635531672</v>
      </c>
      <c r="I578">
        <v>257.52794299999999</v>
      </c>
      <c r="J578">
        <v>7.4316204256485729</v>
      </c>
      <c r="K578">
        <v>0.52253598579286642</v>
      </c>
      <c r="L578">
        <v>0.74032077164765209</v>
      </c>
      <c r="M578">
        <v>29.13</v>
      </c>
      <c r="N578">
        <v>21.23</v>
      </c>
    </row>
    <row r="579" spans="1:14" x14ac:dyDescent="0.35">
      <c r="A579" s="1" t="s">
        <v>591</v>
      </c>
      <c r="B579" t="str">
        <f>HYPERLINK("https://www.suredividend.com/sure-analysis-research-database/","Finance of America Companies Inc")</f>
        <v>Finance of America Companies Inc</v>
      </c>
      <c r="C579" t="s">
        <v>1798</v>
      </c>
      <c r="D579">
        <v>1.06</v>
      </c>
      <c r="E579">
        <v>0</v>
      </c>
      <c r="F579" t="s">
        <v>1798</v>
      </c>
      <c r="G579" t="s">
        <v>1798</v>
      </c>
      <c r="H579">
        <v>0</v>
      </c>
      <c r="I579">
        <v>93.042884000000001</v>
      </c>
      <c r="J579">
        <v>0</v>
      </c>
      <c r="K579" t="s">
        <v>1798</v>
      </c>
      <c r="L579">
        <v>0.88683560596364408</v>
      </c>
      <c r="M579">
        <v>2.25</v>
      </c>
      <c r="N579">
        <v>1.01</v>
      </c>
    </row>
    <row r="580" spans="1:14" x14ac:dyDescent="0.35">
      <c r="A580" s="1" t="s">
        <v>592</v>
      </c>
      <c r="B580" t="str">
        <f>HYPERLINK("https://www.suredividend.com/sure-analysis-research-database/","Focus Financial Partners Inc")</f>
        <v>Focus Financial Partners Inc</v>
      </c>
      <c r="C580" t="s">
        <v>1801</v>
      </c>
      <c r="D580">
        <v>52.99</v>
      </c>
      <c r="E580">
        <v>0</v>
      </c>
      <c r="F580" t="s">
        <v>1798</v>
      </c>
      <c r="G580" t="s">
        <v>1798</v>
      </c>
      <c r="H580">
        <v>0</v>
      </c>
      <c r="I580">
        <v>0</v>
      </c>
      <c r="J580">
        <v>0</v>
      </c>
      <c r="K580" t="s">
        <v>1798</v>
      </c>
    </row>
    <row r="581" spans="1:14" x14ac:dyDescent="0.35">
      <c r="A581" s="1" t="s">
        <v>593</v>
      </c>
      <c r="B581" t="str">
        <f>HYPERLINK("https://www.suredividend.com/sure-analysis-research-database/","Amicus Therapeutics Inc")</f>
        <v>Amicus Therapeutics Inc</v>
      </c>
      <c r="C581" t="s">
        <v>1803</v>
      </c>
      <c r="D581">
        <v>10.44</v>
      </c>
      <c r="E581">
        <v>0</v>
      </c>
      <c r="F581" t="s">
        <v>1798</v>
      </c>
      <c r="G581" t="s">
        <v>1798</v>
      </c>
      <c r="H581">
        <v>0</v>
      </c>
      <c r="I581">
        <v>2997.542582</v>
      </c>
      <c r="J581" t="s">
        <v>1798</v>
      </c>
      <c r="K581">
        <v>0</v>
      </c>
      <c r="L581">
        <v>0.79500426858506801</v>
      </c>
      <c r="M581">
        <v>14.1</v>
      </c>
      <c r="N581">
        <v>9.1</v>
      </c>
    </row>
    <row r="582" spans="1:14" x14ac:dyDescent="0.35">
      <c r="A582" s="1" t="s">
        <v>594</v>
      </c>
      <c r="B582" t="str">
        <f>HYPERLINK("https://www.suredividend.com/sure-analysis-research-database/","Forestar Group Inc")</f>
        <v>Forestar Group Inc</v>
      </c>
      <c r="C582" t="s">
        <v>1800</v>
      </c>
      <c r="D582">
        <v>25.16</v>
      </c>
      <c r="E582">
        <v>0</v>
      </c>
      <c r="F582" t="s">
        <v>1798</v>
      </c>
      <c r="G582" t="s">
        <v>1798</v>
      </c>
      <c r="H582">
        <v>0</v>
      </c>
      <c r="I582">
        <v>1255.577419</v>
      </c>
      <c r="J582">
        <v>8.6412761120440464</v>
      </c>
      <c r="K582">
        <v>0</v>
      </c>
      <c r="L582">
        <v>0.94383014588183811</v>
      </c>
      <c r="M582">
        <v>31.43</v>
      </c>
      <c r="N582">
        <v>10.28</v>
      </c>
    </row>
    <row r="583" spans="1:14" x14ac:dyDescent="0.35">
      <c r="A583" s="1" t="s">
        <v>595</v>
      </c>
      <c r="B583" t="str">
        <f>HYPERLINK("https://www.suredividend.com/sure-analysis-research-database/","ForgeRock Inc")</f>
        <v>ForgeRock Inc</v>
      </c>
      <c r="C583" t="s">
        <v>1798</v>
      </c>
      <c r="D583">
        <v>23.21</v>
      </c>
      <c r="E583">
        <v>0</v>
      </c>
      <c r="F583" t="s">
        <v>1798</v>
      </c>
      <c r="G583" t="s">
        <v>1798</v>
      </c>
      <c r="H583">
        <v>0</v>
      </c>
      <c r="I583">
        <v>1226.7116779999999</v>
      </c>
      <c r="J583" t="s">
        <v>1798</v>
      </c>
      <c r="K583">
        <v>0</v>
      </c>
      <c r="L583">
        <v>0.21475279550132501</v>
      </c>
      <c r="M583">
        <v>23.8</v>
      </c>
      <c r="N583">
        <v>14.13</v>
      </c>
    </row>
    <row r="584" spans="1:14" x14ac:dyDescent="0.35">
      <c r="A584" s="1" t="s">
        <v>596</v>
      </c>
      <c r="B584" t="str">
        <f>HYPERLINK("https://www.suredividend.com/sure-analysis-research-database/","FormFactor Inc.")</f>
        <v>FormFactor Inc.</v>
      </c>
      <c r="C584" t="s">
        <v>1804</v>
      </c>
      <c r="D584">
        <v>33.869999999999997</v>
      </c>
      <c r="E584">
        <v>0</v>
      </c>
      <c r="F584" t="s">
        <v>1798</v>
      </c>
      <c r="G584" t="s">
        <v>1798</v>
      </c>
      <c r="H584">
        <v>0</v>
      </c>
      <c r="I584">
        <v>2630.221184</v>
      </c>
      <c r="J584" t="s">
        <v>1798</v>
      </c>
      <c r="K584">
        <v>0</v>
      </c>
      <c r="L584">
        <v>1.6075378663710671</v>
      </c>
      <c r="M584">
        <v>37.74</v>
      </c>
      <c r="N584">
        <v>18.149999999999999</v>
      </c>
    </row>
    <row r="585" spans="1:14" x14ac:dyDescent="0.35">
      <c r="A585" s="1" t="s">
        <v>597</v>
      </c>
      <c r="B585" t="str">
        <f>HYPERLINK("https://www.suredividend.com/sure-analysis-research-database/","Forrester Research Inc.")</f>
        <v>Forrester Research Inc.</v>
      </c>
      <c r="C585" t="s">
        <v>1799</v>
      </c>
      <c r="D585">
        <v>28.65</v>
      </c>
      <c r="E585">
        <v>0</v>
      </c>
      <c r="F585" t="s">
        <v>1798</v>
      </c>
      <c r="G585" t="s">
        <v>1798</v>
      </c>
      <c r="H585">
        <v>0</v>
      </c>
      <c r="I585">
        <v>552.83890899999994</v>
      </c>
      <c r="J585">
        <v>110.28105107719929</v>
      </c>
      <c r="K585">
        <v>0</v>
      </c>
      <c r="L585">
        <v>0.9150974553749911</v>
      </c>
      <c r="M585">
        <v>42.86</v>
      </c>
      <c r="N585">
        <v>22.62</v>
      </c>
    </row>
    <row r="586" spans="1:14" x14ac:dyDescent="0.35">
      <c r="A586" s="1" t="s">
        <v>598</v>
      </c>
      <c r="B586" t="str">
        <f>HYPERLINK("https://www.suredividend.com/sure-analysis-research-database/","Fossil Group Inc")</f>
        <v>Fossil Group Inc</v>
      </c>
      <c r="C586" t="s">
        <v>1802</v>
      </c>
      <c r="D586">
        <v>1.67</v>
      </c>
      <c r="E586">
        <v>0</v>
      </c>
      <c r="F586" t="s">
        <v>1798</v>
      </c>
      <c r="G586" t="s">
        <v>1798</v>
      </c>
      <c r="H586">
        <v>0</v>
      </c>
      <c r="I586">
        <v>87.615780000000001</v>
      </c>
      <c r="J586" t="s">
        <v>1798</v>
      </c>
      <c r="K586">
        <v>0</v>
      </c>
      <c r="L586">
        <v>2.183616046537928</v>
      </c>
      <c r="M586">
        <v>6.08</v>
      </c>
      <c r="N586">
        <v>1.61</v>
      </c>
    </row>
    <row r="587" spans="1:14" x14ac:dyDescent="0.35">
      <c r="A587" s="1" t="s">
        <v>599</v>
      </c>
      <c r="B587" t="str">
        <f>HYPERLINK("https://www.suredividend.com/sure-analysis-research-database/","Fox Factory Holding Corp")</f>
        <v>Fox Factory Holding Corp</v>
      </c>
      <c r="C587" t="s">
        <v>1802</v>
      </c>
      <c r="D587">
        <v>92.08</v>
      </c>
      <c r="E587">
        <v>0</v>
      </c>
      <c r="F587" t="s">
        <v>1798</v>
      </c>
      <c r="G587" t="s">
        <v>1798</v>
      </c>
      <c r="H587">
        <v>0</v>
      </c>
      <c r="I587">
        <v>3901.2082399999999</v>
      </c>
      <c r="J587">
        <v>21.061200222855661</v>
      </c>
      <c r="K587">
        <v>0</v>
      </c>
      <c r="L587">
        <v>1.543447877927032</v>
      </c>
      <c r="M587">
        <v>127.54</v>
      </c>
      <c r="N587">
        <v>73.05</v>
      </c>
    </row>
    <row r="588" spans="1:14" x14ac:dyDescent="0.35">
      <c r="A588" s="1" t="s">
        <v>600</v>
      </c>
      <c r="B588" t="str">
        <f>HYPERLINK("https://www.suredividend.com/sure-analysis-research-database/","Farmland Partners Inc")</f>
        <v>Farmland Partners Inc</v>
      </c>
      <c r="C588" t="s">
        <v>1800</v>
      </c>
      <c r="D588">
        <v>10.52</v>
      </c>
      <c r="E588">
        <v>2.2625029312854001E-2</v>
      </c>
      <c r="F588">
        <v>0</v>
      </c>
      <c r="G588">
        <v>3.7137289336648172E-2</v>
      </c>
      <c r="H588">
        <v>0.238015308371234</v>
      </c>
      <c r="I588">
        <v>513.76513499999999</v>
      </c>
      <c r="J588">
        <v>0</v>
      </c>
      <c r="K588" t="s">
        <v>1798</v>
      </c>
      <c r="L588">
        <v>0.71784380921923108</v>
      </c>
      <c r="M588">
        <v>14.06</v>
      </c>
      <c r="N588">
        <v>9.2799999999999994</v>
      </c>
    </row>
    <row r="589" spans="1:14" x14ac:dyDescent="0.35">
      <c r="A589" s="1" t="s">
        <v>601</v>
      </c>
      <c r="B589" t="str">
        <f>HYPERLINK("https://www.suredividend.com/sure-analysis-research-database/","First Bank (NJ)")</f>
        <v>First Bank (NJ)</v>
      </c>
      <c r="C589" t="s">
        <v>1801</v>
      </c>
      <c r="D589">
        <v>11.26</v>
      </c>
      <c r="E589">
        <v>2.1047934017104999E-2</v>
      </c>
      <c r="F589">
        <v>0</v>
      </c>
      <c r="G589">
        <v>0.1486983549970351</v>
      </c>
      <c r="H589">
        <v>0.23699973703260999</v>
      </c>
      <c r="I589">
        <v>220.35070099999999</v>
      </c>
      <c r="J589">
        <v>0</v>
      </c>
      <c r="K589" t="s">
        <v>1798</v>
      </c>
      <c r="L589">
        <v>0.79076465020772302</v>
      </c>
      <c r="M589">
        <v>15.83</v>
      </c>
      <c r="N589">
        <v>8.4499999999999993</v>
      </c>
    </row>
    <row r="590" spans="1:14" x14ac:dyDescent="0.35">
      <c r="A590" s="1" t="s">
        <v>602</v>
      </c>
      <c r="B590" t="str">
        <f>HYPERLINK("https://www.suredividend.com/sure-analysis-research-database/","Republic First Bancorp, Inc.")</f>
        <v>Republic First Bancorp, Inc.</v>
      </c>
      <c r="C590" t="s">
        <v>1801</v>
      </c>
      <c r="D590">
        <v>0.1</v>
      </c>
      <c r="E590">
        <v>0</v>
      </c>
      <c r="F590" t="s">
        <v>1798</v>
      </c>
      <c r="G590" t="s">
        <v>1798</v>
      </c>
      <c r="H590">
        <v>0</v>
      </c>
      <c r="I590">
        <v>7.0183410000000004</v>
      </c>
      <c r="J590">
        <v>0.46115649517051011</v>
      </c>
      <c r="K590">
        <v>0</v>
      </c>
      <c r="M590">
        <v>0.70000000000000007</v>
      </c>
      <c r="N590">
        <v>0.1</v>
      </c>
    </row>
    <row r="591" spans="1:14" x14ac:dyDescent="0.35">
      <c r="A591" s="1" t="s">
        <v>603</v>
      </c>
      <c r="B591" t="str">
        <f>HYPERLINK("https://www.suredividend.com/sure-analysis-research-database/","Whole Earth Brands Inc")</f>
        <v>Whole Earth Brands Inc</v>
      </c>
      <c r="C591" t="s">
        <v>1798</v>
      </c>
      <c r="D591">
        <v>3.29</v>
      </c>
      <c r="E591">
        <v>0</v>
      </c>
      <c r="F591" t="s">
        <v>1798</v>
      </c>
      <c r="G591" t="s">
        <v>1798</v>
      </c>
      <c r="H591">
        <v>0</v>
      </c>
      <c r="I591">
        <v>140.703789</v>
      </c>
      <c r="J591" t="s">
        <v>1798</v>
      </c>
      <c r="K591">
        <v>0</v>
      </c>
      <c r="L591">
        <v>1.056247455591852</v>
      </c>
      <c r="M591">
        <v>4.72</v>
      </c>
      <c r="N591">
        <v>2.09</v>
      </c>
    </row>
    <row r="592" spans="1:14" x14ac:dyDescent="0.35">
      <c r="A592" s="1" t="s">
        <v>604</v>
      </c>
      <c r="B592" t="str">
        <f>HYPERLINK("https://www.suredividend.com/sure-analysis-research-database/","Franchise Group Inc")</f>
        <v>Franchise Group Inc</v>
      </c>
      <c r="C592" t="s">
        <v>1802</v>
      </c>
      <c r="D592">
        <v>29.88</v>
      </c>
      <c r="E592">
        <v>0</v>
      </c>
      <c r="F592" t="s">
        <v>1798</v>
      </c>
      <c r="G592" t="s">
        <v>1798</v>
      </c>
      <c r="H592">
        <v>1.875</v>
      </c>
      <c r="I592">
        <v>0</v>
      </c>
      <c r="J592">
        <v>0</v>
      </c>
      <c r="K592" t="s">
        <v>1798</v>
      </c>
    </row>
    <row r="593" spans="1:14" x14ac:dyDescent="0.35">
      <c r="A593" s="1" t="s">
        <v>605</v>
      </c>
      <c r="B593" t="str">
        <f>HYPERLINK("https://www.suredividend.com/sure-analysis-research-database/","First Merchants Corp.")</f>
        <v>First Merchants Corp.</v>
      </c>
      <c r="C593" t="s">
        <v>1801</v>
      </c>
      <c r="D593">
        <v>27.3</v>
      </c>
      <c r="E593">
        <v>4.6868235580398002E-2</v>
      </c>
      <c r="F593">
        <v>6.25E-2</v>
      </c>
      <c r="G593">
        <v>9.0966078501449665E-2</v>
      </c>
      <c r="H593">
        <v>1.2795028313448871</v>
      </c>
      <c r="I593">
        <v>1630.539565</v>
      </c>
      <c r="J593">
        <v>6.3302749660297071</v>
      </c>
      <c r="K593">
        <v>0.29549718968704092</v>
      </c>
      <c r="L593">
        <v>0.94479490559029511</v>
      </c>
      <c r="M593">
        <v>42.25</v>
      </c>
      <c r="N593">
        <v>23.35</v>
      </c>
    </row>
    <row r="594" spans="1:14" x14ac:dyDescent="0.35">
      <c r="A594" s="1" t="s">
        <v>606</v>
      </c>
      <c r="B594" t="str">
        <f>HYPERLINK("https://www.suredividend.com/sure-analysis-research-database/","Frontline Plc")</f>
        <v>Frontline Plc</v>
      </c>
      <c r="C594" t="s">
        <v>1808</v>
      </c>
      <c r="D594">
        <v>20.61</v>
      </c>
      <c r="E594">
        <v>0.118387063091706</v>
      </c>
      <c r="F594" t="s">
        <v>1798</v>
      </c>
      <c r="G594" t="s">
        <v>1798</v>
      </c>
      <c r="H594">
        <v>2.439957370320077</v>
      </c>
      <c r="I594">
        <v>4588.2577419999998</v>
      </c>
      <c r="J594">
        <v>5.5441059631920071</v>
      </c>
      <c r="K594">
        <v>0.65767045022104498</v>
      </c>
      <c r="L594">
        <v>0.81140344375499407</v>
      </c>
      <c r="M594">
        <v>21.04</v>
      </c>
      <c r="N594">
        <v>9.18</v>
      </c>
    </row>
    <row r="595" spans="1:14" x14ac:dyDescent="0.35">
      <c r="A595" s="1" t="s">
        <v>607</v>
      </c>
      <c r="B595" t="str">
        <f>HYPERLINK("https://www.suredividend.com/sure-analysis-research-database/","FRP Holdings Inc")</f>
        <v>FRP Holdings Inc</v>
      </c>
      <c r="C595" t="s">
        <v>1800</v>
      </c>
      <c r="D595">
        <v>55.28</v>
      </c>
      <c r="E595">
        <v>0</v>
      </c>
      <c r="F595" t="s">
        <v>1798</v>
      </c>
      <c r="G595" t="s">
        <v>1798</v>
      </c>
      <c r="H595">
        <v>0</v>
      </c>
      <c r="I595">
        <v>524.92080299999998</v>
      </c>
      <c r="J595">
        <v>119.327302441464</v>
      </c>
      <c r="K595">
        <v>0</v>
      </c>
      <c r="L595">
        <v>0.7182903949330891</v>
      </c>
      <c r="M595">
        <v>61.81</v>
      </c>
      <c r="N595">
        <v>52.45</v>
      </c>
    </row>
    <row r="596" spans="1:14" x14ac:dyDescent="0.35">
      <c r="A596" s="1" t="s">
        <v>608</v>
      </c>
      <c r="B596" t="str">
        <f>HYPERLINK("https://www.suredividend.com/sure-analysis-research-database/","Primis Financial Corp")</f>
        <v>Primis Financial Corp</v>
      </c>
      <c r="C596" t="s">
        <v>1798</v>
      </c>
      <c r="D596">
        <v>7.92</v>
      </c>
      <c r="E596">
        <v>4.9197486037352002E-2</v>
      </c>
      <c r="F596">
        <v>0</v>
      </c>
      <c r="G596">
        <v>2.1295687600135119E-2</v>
      </c>
      <c r="H596">
        <v>0.38964408941582801</v>
      </c>
      <c r="I596">
        <v>195.519171</v>
      </c>
      <c r="J596">
        <v>0</v>
      </c>
      <c r="K596" t="s">
        <v>1798</v>
      </c>
      <c r="L596">
        <v>0.87209845502984606</v>
      </c>
      <c r="M596">
        <v>12.45</v>
      </c>
      <c r="N596">
        <v>6.77</v>
      </c>
    </row>
    <row r="597" spans="1:14" x14ac:dyDescent="0.35">
      <c r="A597" s="1" t="s">
        <v>609</v>
      </c>
      <c r="B597" t="str">
        <f>HYPERLINK("https://www.suredividend.com/sure-analysis-research-database/","Five Star Bancorp")</f>
        <v>Five Star Bancorp</v>
      </c>
      <c r="C597" t="s">
        <v>1801</v>
      </c>
      <c r="D597">
        <v>19.46</v>
      </c>
      <c r="E597">
        <v>3.5218095021907002E-2</v>
      </c>
      <c r="F597" t="s">
        <v>1798</v>
      </c>
      <c r="G597" t="s">
        <v>1798</v>
      </c>
      <c r="H597">
        <v>0.68534412912631804</v>
      </c>
      <c r="I597">
        <v>335.82816700000001</v>
      </c>
      <c r="J597">
        <v>6.6009153082003298</v>
      </c>
      <c r="K597">
        <v>0.23153517875889121</v>
      </c>
      <c r="L597">
        <v>0.86318888945154104</v>
      </c>
      <c r="M597">
        <v>30.08</v>
      </c>
      <c r="N597">
        <v>17.45</v>
      </c>
    </row>
    <row r="598" spans="1:14" x14ac:dyDescent="0.35">
      <c r="A598" s="1" t="s">
        <v>610</v>
      </c>
      <c r="B598" t="str">
        <f>HYPERLINK("https://www.suredividend.com/sure-analysis-research-database/","Fastly Inc")</f>
        <v>Fastly Inc</v>
      </c>
      <c r="C598" t="s">
        <v>1804</v>
      </c>
      <c r="D598">
        <v>14.7</v>
      </c>
      <c r="E598">
        <v>0</v>
      </c>
      <c r="F598" t="s">
        <v>1798</v>
      </c>
      <c r="G598" t="s">
        <v>1798</v>
      </c>
      <c r="H598">
        <v>0</v>
      </c>
      <c r="I598">
        <v>1899.24</v>
      </c>
      <c r="J598" t="s">
        <v>1798</v>
      </c>
      <c r="K598">
        <v>0</v>
      </c>
      <c r="L598">
        <v>2.5038649527472749</v>
      </c>
      <c r="M598">
        <v>24.31</v>
      </c>
      <c r="N598">
        <v>7.15</v>
      </c>
    </row>
    <row r="599" spans="1:14" x14ac:dyDescent="0.35">
      <c r="A599" s="1" t="s">
        <v>611</v>
      </c>
      <c r="B599" t="str">
        <f>HYPERLINK("https://www.suredividend.com/sure-analysis-research-database/","Franklin Street Properties Corp.")</f>
        <v>Franklin Street Properties Corp.</v>
      </c>
      <c r="C599" t="s">
        <v>1800</v>
      </c>
      <c r="D599">
        <v>1.76</v>
      </c>
      <c r="E599">
        <v>2.2520508824116998E-2</v>
      </c>
      <c r="F599">
        <v>0</v>
      </c>
      <c r="G599">
        <v>-0.35560598502274582</v>
      </c>
      <c r="H599">
        <v>3.9636095530446003E-2</v>
      </c>
      <c r="I599">
        <v>182.03742099999999</v>
      </c>
      <c r="J599">
        <v>21.80611179683757</v>
      </c>
      <c r="K599">
        <v>0.49054573676294549</v>
      </c>
      <c r="L599">
        <v>1.168309988711604</v>
      </c>
      <c r="M599">
        <v>3.15</v>
      </c>
      <c r="N599">
        <v>1.1200000000000001</v>
      </c>
    </row>
    <row r="600" spans="1:14" x14ac:dyDescent="0.35">
      <c r="A600" s="1" t="s">
        <v>612</v>
      </c>
      <c r="B600" t="str">
        <f>HYPERLINK("https://www.suredividend.com/sure-analysis-research-database/","Fisker Inc")</f>
        <v>Fisker Inc</v>
      </c>
      <c r="C600" t="s">
        <v>1798</v>
      </c>
      <c r="D600">
        <v>6.21</v>
      </c>
      <c r="E600">
        <v>0</v>
      </c>
      <c r="F600" t="s">
        <v>1798</v>
      </c>
      <c r="G600" t="s">
        <v>1798</v>
      </c>
      <c r="H600">
        <v>0</v>
      </c>
      <c r="I600">
        <v>1309.2796860000001</v>
      </c>
      <c r="J600" t="s">
        <v>1798</v>
      </c>
      <c r="K600">
        <v>0</v>
      </c>
      <c r="L600">
        <v>1.8549410019515331</v>
      </c>
      <c r="M600">
        <v>8.85</v>
      </c>
      <c r="N600">
        <v>4.26</v>
      </c>
    </row>
    <row r="601" spans="1:14" x14ac:dyDescent="0.35">
      <c r="A601" s="1" t="s">
        <v>613</v>
      </c>
      <c r="B601" t="str">
        <f>HYPERLINK("https://www.suredividend.com/sure-analysis-research-database/","Federal Signal Corp.")</f>
        <v>Federal Signal Corp.</v>
      </c>
      <c r="C601" t="s">
        <v>1799</v>
      </c>
      <c r="D601">
        <v>60.2</v>
      </c>
      <c r="E601">
        <v>6.2964009390670001E-3</v>
      </c>
      <c r="F601">
        <v>0.1111111111111112</v>
      </c>
      <c r="G601">
        <v>4.5639552591273169E-2</v>
      </c>
      <c r="H601">
        <v>0.37904333653187711</v>
      </c>
      <c r="I601">
        <v>3671.7595769999998</v>
      </c>
      <c r="J601">
        <v>27.380757470544371</v>
      </c>
      <c r="K601">
        <v>0.1730791491013137</v>
      </c>
      <c r="L601">
        <v>0.92346245279918304</v>
      </c>
      <c r="M601">
        <v>65.22</v>
      </c>
      <c r="N601">
        <v>42.42</v>
      </c>
    </row>
    <row r="602" spans="1:14" x14ac:dyDescent="0.35">
      <c r="A602" s="1" t="s">
        <v>614</v>
      </c>
      <c r="B602" t="str">
        <f>HYPERLINK("https://www.suredividend.com/sure-analysis-research-database/","FTC Solar Inc")</f>
        <v>FTC Solar Inc</v>
      </c>
      <c r="C602" t="s">
        <v>1798</v>
      </c>
      <c r="D602">
        <v>1.31</v>
      </c>
      <c r="E602">
        <v>0</v>
      </c>
      <c r="F602" t="s">
        <v>1798</v>
      </c>
      <c r="G602" t="s">
        <v>1798</v>
      </c>
      <c r="H602">
        <v>0</v>
      </c>
      <c r="I602">
        <v>154.72289000000001</v>
      </c>
      <c r="J602" t="s">
        <v>1798</v>
      </c>
      <c r="K602">
        <v>0</v>
      </c>
      <c r="L602">
        <v>1.9172847025796851</v>
      </c>
      <c r="M602">
        <v>3.87</v>
      </c>
      <c r="N602">
        <v>1.07</v>
      </c>
    </row>
    <row r="603" spans="1:14" x14ac:dyDescent="0.35">
      <c r="A603" s="1" t="s">
        <v>615</v>
      </c>
      <c r="B603" t="str">
        <f>HYPERLINK("https://www.suredividend.com/sure-analysis-research-database/","Frontdoor Inc.")</f>
        <v>Frontdoor Inc.</v>
      </c>
      <c r="C603" t="s">
        <v>1802</v>
      </c>
      <c r="D603">
        <v>30.79</v>
      </c>
      <c r="E603">
        <v>0</v>
      </c>
      <c r="F603" t="s">
        <v>1798</v>
      </c>
      <c r="G603" t="s">
        <v>1798</v>
      </c>
      <c r="H603">
        <v>0</v>
      </c>
      <c r="I603">
        <v>2473.6051419999999</v>
      </c>
      <c r="J603">
        <v>19.325040170390629</v>
      </c>
      <c r="K603">
        <v>0</v>
      </c>
      <c r="L603">
        <v>0.93460932863191903</v>
      </c>
      <c r="M603">
        <v>38.97</v>
      </c>
      <c r="N603">
        <v>19.059999999999999</v>
      </c>
    </row>
    <row r="604" spans="1:14" x14ac:dyDescent="0.35">
      <c r="A604" s="1" t="s">
        <v>616</v>
      </c>
      <c r="B604" t="str">
        <f>HYPERLINK("https://www.suredividend.com/sure-analysis-research-database/","fuboTV Inc")</f>
        <v>fuboTV Inc</v>
      </c>
      <c r="C604" t="s">
        <v>1798</v>
      </c>
      <c r="D604">
        <v>2.34</v>
      </c>
      <c r="E604">
        <v>0</v>
      </c>
      <c r="F604" t="s">
        <v>1798</v>
      </c>
      <c r="G604" t="s">
        <v>1798</v>
      </c>
      <c r="H604">
        <v>0</v>
      </c>
      <c r="I604">
        <v>682.92899999999997</v>
      </c>
      <c r="J604">
        <v>0</v>
      </c>
      <c r="K604" t="s">
        <v>1798</v>
      </c>
      <c r="L604">
        <v>2.9870363322014071</v>
      </c>
      <c r="M604">
        <v>4.7300000000000004</v>
      </c>
      <c r="N604">
        <v>0.96</v>
      </c>
    </row>
    <row r="605" spans="1:14" x14ac:dyDescent="0.35">
      <c r="A605" s="1" t="s">
        <v>617</v>
      </c>
      <c r="B605" t="str">
        <f>HYPERLINK("https://www.suredividend.com/sure-analysis-FUL/","H.B. Fuller Company")</f>
        <v>H.B. Fuller Company</v>
      </c>
      <c r="C605" t="s">
        <v>1809</v>
      </c>
      <c r="D605">
        <v>70.37</v>
      </c>
      <c r="E605">
        <v>1.1652692908910051E-2</v>
      </c>
      <c r="F605" t="s">
        <v>1798</v>
      </c>
      <c r="G605" t="s">
        <v>1798</v>
      </c>
      <c r="H605">
        <v>0.7867199173647631</v>
      </c>
      <c r="I605">
        <v>3801.4928140000002</v>
      </c>
      <c r="J605">
        <v>25.64694526028174</v>
      </c>
      <c r="K605">
        <v>0.29575936743036207</v>
      </c>
      <c r="L605">
        <v>1.1041007183005229</v>
      </c>
      <c r="M605">
        <v>80.73</v>
      </c>
      <c r="N605">
        <v>61.7</v>
      </c>
    </row>
    <row r="606" spans="1:14" x14ac:dyDescent="0.35">
      <c r="A606" s="1" t="s">
        <v>618</v>
      </c>
      <c r="B606" t="str">
        <f>HYPERLINK("https://www.suredividend.com/sure-analysis-research-database/","Fulcrum Therapeutics Inc")</f>
        <v>Fulcrum Therapeutics Inc</v>
      </c>
      <c r="C606" t="s">
        <v>1803</v>
      </c>
      <c r="D606">
        <v>3.89</v>
      </c>
      <c r="E606">
        <v>0</v>
      </c>
      <c r="F606" t="s">
        <v>1798</v>
      </c>
      <c r="G606" t="s">
        <v>1798</v>
      </c>
      <c r="H606">
        <v>0</v>
      </c>
      <c r="I606">
        <v>240.489735</v>
      </c>
      <c r="J606" t="s">
        <v>1798</v>
      </c>
      <c r="K606">
        <v>0</v>
      </c>
      <c r="L606">
        <v>1.22580837534387</v>
      </c>
      <c r="M606">
        <v>15</v>
      </c>
      <c r="N606">
        <v>2.25</v>
      </c>
    </row>
    <row r="607" spans="1:14" x14ac:dyDescent="0.35">
      <c r="A607" s="1" t="s">
        <v>619</v>
      </c>
      <c r="B607" t="str">
        <f>HYPERLINK("https://www.suredividend.com/sure-analysis-FULT/","Fulton Financial Corp.")</f>
        <v>Fulton Financial Corp.</v>
      </c>
      <c r="C607" t="s">
        <v>1801</v>
      </c>
      <c r="D607">
        <v>12.08</v>
      </c>
      <c r="E607">
        <v>5.2980132450331133E-2</v>
      </c>
      <c r="F607">
        <v>1.666666666666667</v>
      </c>
      <c r="G607">
        <v>0.3195079107728942</v>
      </c>
      <c r="H607">
        <v>0.59887688093593405</v>
      </c>
      <c r="I607">
        <v>1981.472833</v>
      </c>
      <c r="J607">
        <v>6.8237940079276251</v>
      </c>
      <c r="K607">
        <v>0.34818423310228719</v>
      </c>
      <c r="L607">
        <v>1.1169295610304311</v>
      </c>
      <c r="M607">
        <v>17.53</v>
      </c>
      <c r="N607">
        <v>9.15</v>
      </c>
    </row>
    <row r="608" spans="1:14" x14ac:dyDescent="0.35">
      <c r="A608" s="1" t="s">
        <v>620</v>
      </c>
      <c r="B608" t="str">
        <f>HYPERLINK("https://www.suredividend.com/sure-analysis-research-database/","FVCBankcorp Inc")</f>
        <v>FVCBankcorp Inc</v>
      </c>
      <c r="C608" t="s">
        <v>1801</v>
      </c>
      <c r="D608">
        <v>11.65</v>
      </c>
      <c r="E608">
        <v>0</v>
      </c>
      <c r="F608" t="s">
        <v>1798</v>
      </c>
      <c r="G608" t="s">
        <v>1798</v>
      </c>
      <c r="H608">
        <v>0</v>
      </c>
      <c r="I608">
        <v>207.39502400000001</v>
      </c>
      <c r="J608">
        <v>0</v>
      </c>
      <c r="K608" t="s">
        <v>1798</v>
      </c>
      <c r="L608">
        <v>0.58059061240687104</v>
      </c>
      <c r="M608">
        <v>16.739999999999998</v>
      </c>
      <c r="N608">
        <v>8.3000000000000007</v>
      </c>
    </row>
    <row r="609" spans="1:14" x14ac:dyDescent="0.35">
      <c r="A609" s="1" t="s">
        <v>621</v>
      </c>
      <c r="B609" t="str">
        <f>HYPERLINK("https://www.suredividend.com/sure-analysis-research-database/","Forward Air Corp.")</f>
        <v>Forward Air Corp.</v>
      </c>
      <c r="C609" t="s">
        <v>1799</v>
      </c>
      <c r="D609">
        <v>72.03</v>
      </c>
      <c r="E609">
        <v>1.3252067487734E-2</v>
      </c>
      <c r="F609">
        <v>0</v>
      </c>
      <c r="G609">
        <v>5.9223841048812183E-2</v>
      </c>
      <c r="H609">
        <v>0.95454642114153709</v>
      </c>
      <c r="I609">
        <v>1850.8619189999999</v>
      </c>
      <c r="J609">
        <v>12.202251547777591</v>
      </c>
      <c r="K609">
        <v>0.1668787449548142</v>
      </c>
      <c r="L609">
        <v>1.0456970829516941</v>
      </c>
      <c r="M609">
        <v>120.95</v>
      </c>
      <c r="N609">
        <v>60.09</v>
      </c>
    </row>
    <row r="610" spans="1:14" x14ac:dyDescent="0.35">
      <c r="A610" s="1" t="s">
        <v>622</v>
      </c>
      <c r="B610" t="str">
        <f>HYPERLINK("https://www.suredividend.com/sure-analysis-research-database/","First Watch Restaurant Group Inc")</f>
        <v>First Watch Restaurant Group Inc</v>
      </c>
      <c r="C610" t="s">
        <v>1798</v>
      </c>
      <c r="D610">
        <v>16.37</v>
      </c>
      <c r="E610">
        <v>0</v>
      </c>
      <c r="F610" t="s">
        <v>1798</v>
      </c>
      <c r="G610" t="s">
        <v>1798</v>
      </c>
      <c r="H610">
        <v>0</v>
      </c>
      <c r="I610">
        <v>974.01499999999999</v>
      </c>
      <c r="J610">
        <v>57.70572901238225</v>
      </c>
      <c r="K610">
        <v>0</v>
      </c>
      <c r="L610">
        <v>0.79100967113335507</v>
      </c>
      <c r="M610">
        <v>20.309999999999999</v>
      </c>
      <c r="N610">
        <v>12.75</v>
      </c>
    </row>
    <row r="611" spans="1:14" x14ac:dyDescent="0.35">
      <c r="A611" s="1" t="s">
        <v>623</v>
      </c>
      <c r="B611" t="str">
        <f>HYPERLINK("https://www.suredividend.com/sure-analysis-research-database/","F45 Training Holdings Inc")</f>
        <v>F45 Training Holdings Inc</v>
      </c>
      <c r="C611" t="s">
        <v>1798</v>
      </c>
      <c r="D611">
        <v>9.7500000000000003E-2</v>
      </c>
      <c r="E611">
        <v>0</v>
      </c>
      <c r="F611" t="s">
        <v>1798</v>
      </c>
      <c r="G611" t="s">
        <v>1798</v>
      </c>
      <c r="H611">
        <v>0</v>
      </c>
      <c r="I611">
        <v>0</v>
      </c>
      <c r="J611">
        <v>0</v>
      </c>
      <c r="K611" t="s">
        <v>1798</v>
      </c>
    </row>
    <row r="612" spans="1:14" x14ac:dyDescent="0.35">
      <c r="A612" s="1" t="s">
        <v>624</v>
      </c>
      <c r="B612" t="str">
        <f>HYPERLINK("https://www.suredividend.com/sure-analysis-research-database/","German American Bancorp Inc")</f>
        <v>German American Bancorp Inc</v>
      </c>
      <c r="C612" t="s">
        <v>1801</v>
      </c>
      <c r="D612">
        <v>26.18</v>
      </c>
      <c r="E612">
        <v>3.6825317180425997E-2</v>
      </c>
      <c r="F612">
        <v>8.6956521739130377E-2</v>
      </c>
      <c r="G612">
        <v>0.10756634324829011</v>
      </c>
      <c r="H612">
        <v>0.96408680378357403</v>
      </c>
      <c r="I612">
        <v>774.22750199999996</v>
      </c>
      <c r="J612">
        <v>8.4209166937492519</v>
      </c>
      <c r="K612">
        <v>0.30900218069986352</v>
      </c>
      <c r="L612">
        <v>0.76969969868187005</v>
      </c>
      <c r="M612">
        <v>39.520000000000003</v>
      </c>
      <c r="N612">
        <v>25.35</v>
      </c>
    </row>
    <row r="613" spans="1:14" x14ac:dyDescent="0.35">
      <c r="A613" s="1" t="s">
        <v>625</v>
      </c>
      <c r="B613" t="str">
        <f>HYPERLINK("https://www.suredividend.com/sure-analysis-research-database/","Gambling.com Group Ltd")</f>
        <v>Gambling.com Group Ltd</v>
      </c>
      <c r="C613" t="s">
        <v>1798</v>
      </c>
      <c r="D613">
        <v>13.3</v>
      </c>
      <c r="E613">
        <v>0</v>
      </c>
      <c r="F613" t="s">
        <v>1798</v>
      </c>
      <c r="G613" t="s">
        <v>1798</v>
      </c>
      <c r="H613">
        <v>0</v>
      </c>
      <c r="I613">
        <v>562.80999499999996</v>
      </c>
      <c r="J613">
        <v>0</v>
      </c>
      <c r="K613" t="s">
        <v>1798</v>
      </c>
      <c r="L613">
        <v>0.37502606544693701</v>
      </c>
      <c r="M613">
        <v>14.83</v>
      </c>
      <c r="N613">
        <v>6.62</v>
      </c>
    </row>
    <row r="614" spans="1:14" x14ac:dyDescent="0.35">
      <c r="A614" s="1" t="s">
        <v>626</v>
      </c>
      <c r="B614" t="str">
        <f>HYPERLINK("https://www.suredividend.com/sure-analysis-GATX/","GATX Corp.")</f>
        <v>GATX Corp.</v>
      </c>
      <c r="C614" t="s">
        <v>1799</v>
      </c>
      <c r="D614">
        <v>108.25</v>
      </c>
      <c r="E614">
        <v>2.0323325635103931E-2</v>
      </c>
      <c r="F614">
        <v>5.7692307692307709E-2</v>
      </c>
      <c r="G614">
        <v>4.5639552591273169E-2</v>
      </c>
      <c r="H614">
        <v>2.1549494191974361</v>
      </c>
      <c r="I614">
        <v>3832.05</v>
      </c>
      <c r="J614">
        <v>17.562098991750691</v>
      </c>
      <c r="K614">
        <v>0.35327039658974357</v>
      </c>
      <c r="L614">
        <v>0.8277299314403791</v>
      </c>
      <c r="M614">
        <v>132.37</v>
      </c>
      <c r="N614">
        <v>87.83</v>
      </c>
    </row>
    <row r="615" spans="1:14" x14ac:dyDescent="0.35">
      <c r="A615" s="1" t="s">
        <v>627</v>
      </c>
      <c r="B615" t="str">
        <f>HYPERLINK("https://www.suredividend.com/sure-analysis-research-database/","Glacier Bancorp, Inc.")</f>
        <v>Glacier Bancorp, Inc.</v>
      </c>
      <c r="C615" t="s">
        <v>1801</v>
      </c>
      <c r="D615">
        <v>29.74</v>
      </c>
      <c r="E615">
        <v>4.3595172301774003E-2</v>
      </c>
      <c r="F615">
        <v>0</v>
      </c>
      <c r="G615">
        <v>2.6179154775372689E-2</v>
      </c>
      <c r="H615">
        <v>1.2965204242547781</v>
      </c>
      <c r="I615">
        <v>3297.4305599999998</v>
      </c>
      <c r="J615">
        <v>11.9827697389718</v>
      </c>
      <c r="K615">
        <v>0.52279049365112018</v>
      </c>
      <c r="L615">
        <v>1.3202842918413189</v>
      </c>
      <c r="M615">
        <v>57.11</v>
      </c>
      <c r="N615">
        <v>26.18</v>
      </c>
    </row>
    <row r="616" spans="1:14" x14ac:dyDescent="0.35">
      <c r="A616" s="1" t="s">
        <v>628</v>
      </c>
      <c r="B616" t="str">
        <f>HYPERLINK("https://www.suredividend.com/sure-analysis-research-database/","Generation Bio Co")</f>
        <v>Generation Bio Co</v>
      </c>
      <c r="C616" t="s">
        <v>1798</v>
      </c>
      <c r="D616">
        <v>3.24</v>
      </c>
      <c r="E616">
        <v>0</v>
      </c>
      <c r="F616" t="s">
        <v>1798</v>
      </c>
      <c r="G616" t="s">
        <v>1798</v>
      </c>
      <c r="H616">
        <v>0</v>
      </c>
      <c r="I616">
        <v>213.60835</v>
      </c>
      <c r="J616">
        <v>0</v>
      </c>
      <c r="K616" t="s">
        <v>1798</v>
      </c>
      <c r="L616">
        <v>1.83791722641184</v>
      </c>
      <c r="M616">
        <v>7.35</v>
      </c>
      <c r="N616">
        <v>3.05</v>
      </c>
    </row>
    <row r="617" spans="1:14" x14ac:dyDescent="0.35">
      <c r="A617" s="1" t="s">
        <v>629</v>
      </c>
      <c r="B617" t="str">
        <f>HYPERLINK("https://www.suredividend.com/sure-analysis-research-database/","Greenbrier Cos., Inc.")</f>
        <v>Greenbrier Cos., Inc.</v>
      </c>
      <c r="C617" t="s">
        <v>1799</v>
      </c>
      <c r="D617">
        <v>40.39</v>
      </c>
      <c r="E617">
        <v>2.7157782326954E-2</v>
      </c>
      <c r="F617">
        <v>0.1111111111111112</v>
      </c>
      <c r="G617">
        <v>3.7137289336648172E-2</v>
      </c>
      <c r="H617">
        <v>1.0969028281857109</v>
      </c>
      <c r="I617">
        <v>1247.2431999999999</v>
      </c>
      <c r="J617">
        <v>21.541333333333331</v>
      </c>
      <c r="K617">
        <v>0.63404787756399472</v>
      </c>
      <c r="L617">
        <v>0.82525620217941209</v>
      </c>
      <c r="M617">
        <v>48.21</v>
      </c>
      <c r="N617">
        <v>23.91</v>
      </c>
    </row>
    <row r="618" spans="1:14" x14ac:dyDescent="0.35">
      <c r="A618" s="1" t="s">
        <v>630</v>
      </c>
      <c r="B618" t="str">
        <f>HYPERLINK("https://www.suredividend.com/sure-analysis-research-database/","Greene County Bancorp Inc")</f>
        <v>Greene County Bancorp Inc</v>
      </c>
      <c r="C618" t="s">
        <v>1801</v>
      </c>
      <c r="D618">
        <v>24.15</v>
      </c>
      <c r="E618">
        <v>7.6322029181850014E-3</v>
      </c>
      <c r="F618">
        <v>-0.4285714285714286</v>
      </c>
      <c r="G618">
        <v>-4.3647500209962997E-2</v>
      </c>
      <c r="H618">
        <v>0.184317700474182</v>
      </c>
      <c r="I618">
        <v>411.19789600000001</v>
      </c>
      <c r="J618">
        <v>0</v>
      </c>
      <c r="K618" t="s">
        <v>1798</v>
      </c>
      <c r="L618">
        <v>0.34659526252978401</v>
      </c>
      <c r="M618">
        <v>36.78</v>
      </c>
      <c r="N618">
        <v>5.69</v>
      </c>
    </row>
    <row r="619" spans="1:14" x14ac:dyDescent="0.35">
      <c r="A619" s="1" t="s">
        <v>631</v>
      </c>
      <c r="B619" t="str">
        <f>HYPERLINK("https://www.suredividend.com/sure-analysis-research-database/","Gannett Co Inc.")</f>
        <v>Gannett Co Inc.</v>
      </c>
      <c r="C619" t="s">
        <v>1807</v>
      </c>
      <c r="D619">
        <v>2.46</v>
      </c>
      <c r="E619">
        <v>0</v>
      </c>
      <c r="F619" t="s">
        <v>1798</v>
      </c>
      <c r="G619" t="s">
        <v>1798</v>
      </c>
      <c r="H619">
        <v>0</v>
      </c>
      <c r="I619">
        <v>366.71926500000001</v>
      </c>
      <c r="J619" t="s">
        <v>1798</v>
      </c>
      <c r="K619">
        <v>0</v>
      </c>
      <c r="L619">
        <v>1.8068026845383469</v>
      </c>
      <c r="M619">
        <v>3.6</v>
      </c>
      <c r="N619">
        <v>1.25</v>
      </c>
    </row>
    <row r="620" spans="1:14" x14ac:dyDescent="0.35">
      <c r="A620" s="1" t="s">
        <v>632</v>
      </c>
      <c r="B620" t="str">
        <f>HYPERLINK("https://www.suredividend.com/sure-analysis-research-database/","GCM Grosvenor Inc")</f>
        <v>GCM Grosvenor Inc</v>
      </c>
      <c r="C620" t="s">
        <v>1798</v>
      </c>
      <c r="D620">
        <v>7.86</v>
      </c>
      <c r="E620">
        <v>5.3786222314341013E-2</v>
      </c>
      <c r="F620" t="s">
        <v>1798</v>
      </c>
      <c r="G620" t="s">
        <v>1798</v>
      </c>
      <c r="H620">
        <v>0.42275970739072599</v>
      </c>
      <c r="I620">
        <v>328.88262400000002</v>
      </c>
      <c r="J620">
        <v>29.610391985234539</v>
      </c>
      <c r="K620">
        <v>7.1291687586968973</v>
      </c>
      <c r="L620">
        <v>0.82653184559139004</v>
      </c>
      <c r="M620">
        <v>8.81</v>
      </c>
      <c r="N620">
        <v>6.38</v>
      </c>
    </row>
    <row r="621" spans="1:14" x14ac:dyDescent="0.35">
      <c r="A621" s="1" t="s">
        <v>633</v>
      </c>
      <c r="B621" t="str">
        <f>HYPERLINK("https://www.suredividend.com/sure-analysis-research-database/","Genesco Inc.")</f>
        <v>Genesco Inc.</v>
      </c>
      <c r="C621" t="s">
        <v>1802</v>
      </c>
      <c r="D621">
        <v>27.24</v>
      </c>
      <c r="E621">
        <v>0</v>
      </c>
      <c r="F621" t="s">
        <v>1798</v>
      </c>
      <c r="G621" t="s">
        <v>1798</v>
      </c>
      <c r="H621">
        <v>0</v>
      </c>
      <c r="I621">
        <v>342.22036900000001</v>
      </c>
      <c r="J621">
        <v>39.021706891676168</v>
      </c>
      <c r="K621">
        <v>0</v>
      </c>
      <c r="L621">
        <v>1.335688500835412</v>
      </c>
      <c r="M621">
        <v>53.25</v>
      </c>
      <c r="N621">
        <v>17.309999999999999</v>
      </c>
    </row>
    <row r="622" spans="1:14" x14ac:dyDescent="0.35">
      <c r="A622" s="1" t="s">
        <v>634</v>
      </c>
      <c r="B622" t="str">
        <f>HYPERLINK("https://www.suredividend.com/sure-analysis-research-database/","Golden Entertainment Inc")</f>
        <v>Golden Entertainment Inc</v>
      </c>
      <c r="C622" t="s">
        <v>1802</v>
      </c>
      <c r="D622">
        <v>33.61</v>
      </c>
      <c r="E622">
        <v>0</v>
      </c>
      <c r="F622" t="s">
        <v>1798</v>
      </c>
      <c r="G622" t="s">
        <v>1798</v>
      </c>
      <c r="H622">
        <v>0</v>
      </c>
      <c r="I622">
        <v>970.10482300000001</v>
      </c>
      <c r="J622">
        <v>19.809377255778809</v>
      </c>
      <c r="K622">
        <v>0</v>
      </c>
      <c r="L622">
        <v>1.1534304437191401</v>
      </c>
      <c r="M622">
        <v>43</v>
      </c>
      <c r="N622">
        <v>29.97</v>
      </c>
    </row>
    <row r="623" spans="1:14" x14ac:dyDescent="0.35">
      <c r="A623" s="1" t="s">
        <v>635</v>
      </c>
      <c r="B623" t="str">
        <f>HYPERLINK("https://www.suredividend.com/sure-analysis-research-database/","Green Dot Corp.")</f>
        <v>Green Dot Corp.</v>
      </c>
      <c r="C623" t="s">
        <v>1801</v>
      </c>
      <c r="D623">
        <v>11.81</v>
      </c>
      <c r="E623">
        <v>0</v>
      </c>
      <c r="F623" t="s">
        <v>1798</v>
      </c>
      <c r="G623" t="s">
        <v>1798</v>
      </c>
      <c r="H623">
        <v>0</v>
      </c>
      <c r="I623">
        <v>618.211952</v>
      </c>
      <c r="J623">
        <v>13.087728690405619</v>
      </c>
      <c r="K623">
        <v>0</v>
      </c>
      <c r="L623">
        <v>1.473558796915702</v>
      </c>
      <c r="M623">
        <v>21.37</v>
      </c>
      <c r="N623">
        <v>11.79</v>
      </c>
    </row>
    <row r="624" spans="1:14" x14ac:dyDescent="0.35">
      <c r="A624" s="1" t="s">
        <v>636</v>
      </c>
      <c r="B624" t="str">
        <f>HYPERLINK("https://www.suredividend.com/sure-analysis-research-database/","Grid Dynamics Holdings Inc")</f>
        <v>Grid Dynamics Holdings Inc</v>
      </c>
      <c r="C624" t="s">
        <v>1804</v>
      </c>
      <c r="D624">
        <v>11.795</v>
      </c>
      <c r="E624">
        <v>0</v>
      </c>
      <c r="F624" t="s">
        <v>1798</v>
      </c>
      <c r="G624" t="s">
        <v>1798</v>
      </c>
      <c r="H624">
        <v>0</v>
      </c>
      <c r="I624">
        <v>888.59336900000005</v>
      </c>
      <c r="J624" t="s">
        <v>1798</v>
      </c>
      <c r="K624">
        <v>0</v>
      </c>
      <c r="L624">
        <v>1.3975919301216979</v>
      </c>
      <c r="M624">
        <v>15.2</v>
      </c>
      <c r="N624">
        <v>8</v>
      </c>
    </row>
    <row r="625" spans="1:14" x14ac:dyDescent="0.35">
      <c r="A625" s="1" t="s">
        <v>637</v>
      </c>
      <c r="B625" t="str">
        <f>HYPERLINK("https://www.suredividend.com/sure-analysis-GEF/","Greif Inc")</f>
        <v>Greif Inc</v>
      </c>
      <c r="C625" t="s">
        <v>1802</v>
      </c>
      <c r="D625">
        <v>64.319999999999993</v>
      </c>
      <c r="E625">
        <v>3.2338308457711448E-2</v>
      </c>
      <c r="F625">
        <v>4.0000000000000042E-2</v>
      </c>
      <c r="G625">
        <v>3.3975226531950183E-2</v>
      </c>
      <c r="H625">
        <v>1.9972603442205501</v>
      </c>
      <c r="I625">
        <v>3010.3087949999999</v>
      </c>
      <c r="J625">
        <v>7.7009690321053972</v>
      </c>
      <c r="K625">
        <v>0.29943933196709899</v>
      </c>
      <c r="L625">
        <v>0.73636090996171211</v>
      </c>
      <c r="M625">
        <v>75.42</v>
      </c>
      <c r="N625">
        <v>56.53</v>
      </c>
    </row>
    <row r="626" spans="1:14" x14ac:dyDescent="0.35">
      <c r="A626" s="1" t="s">
        <v>638</v>
      </c>
      <c r="B626" t="str">
        <f>HYPERLINK("https://www.suredividend.com/sure-analysis-research-database/","Geo Group, Inc.")</f>
        <v>Geo Group, Inc.</v>
      </c>
      <c r="C626" t="s">
        <v>1800</v>
      </c>
      <c r="D626">
        <v>8.48</v>
      </c>
      <c r="E626">
        <v>0</v>
      </c>
      <c r="F626" t="s">
        <v>1798</v>
      </c>
      <c r="G626" t="s">
        <v>1798</v>
      </c>
      <c r="H626">
        <v>0</v>
      </c>
      <c r="I626">
        <v>1069.351752</v>
      </c>
      <c r="J626">
        <v>9.3784686506112855</v>
      </c>
      <c r="K626">
        <v>0</v>
      </c>
      <c r="L626">
        <v>0.67604708244105305</v>
      </c>
      <c r="M626">
        <v>12.44</v>
      </c>
      <c r="N626">
        <v>6.94</v>
      </c>
    </row>
    <row r="627" spans="1:14" x14ac:dyDescent="0.35">
      <c r="A627" s="1" t="s">
        <v>639</v>
      </c>
      <c r="B627" t="str">
        <f>HYPERLINK("https://www.suredividend.com/sure-analysis-research-database/","Geron Corp.")</f>
        <v>Geron Corp.</v>
      </c>
      <c r="C627" t="s">
        <v>1803</v>
      </c>
      <c r="D627">
        <v>1.78</v>
      </c>
      <c r="E627">
        <v>0</v>
      </c>
      <c r="F627" t="s">
        <v>1798</v>
      </c>
      <c r="G627" t="s">
        <v>1798</v>
      </c>
      <c r="H627">
        <v>0</v>
      </c>
      <c r="I627">
        <v>931.59980199999995</v>
      </c>
      <c r="J627" t="s">
        <v>1798</v>
      </c>
      <c r="K627">
        <v>0</v>
      </c>
      <c r="L627">
        <v>1.222183870235156</v>
      </c>
      <c r="M627">
        <v>3.84</v>
      </c>
      <c r="N627">
        <v>1.73</v>
      </c>
    </row>
    <row r="628" spans="1:14" x14ac:dyDescent="0.35">
      <c r="A628" s="1" t="s">
        <v>640</v>
      </c>
      <c r="B628" t="str">
        <f>HYPERLINK("https://www.suredividend.com/sure-analysis-research-database/","Guess Inc.")</f>
        <v>Guess Inc.</v>
      </c>
      <c r="C628" t="s">
        <v>1802</v>
      </c>
      <c r="D628">
        <v>21.19</v>
      </c>
      <c r="E628">
        <v>4.8667575998931997E-2</v>
      </c>
      <c r="F628" t="s">
        <v>1798</v>
      </c>
      <c r="G628" t="s">
        <v>1798</v>
      </c>
      <c r="H628">
        <v>1.0312659354173761</v>
      </c>
      <c r="I628">
        <v>1135.514506</v>
      </c>
      <c r="J628">
        <v>7.9320631873144496</v>
      </c>
      <c r="K628">
        <v>0.46875724337153463</v>
      </c>
      <c r="L628">
        <v>1.0834285361073679</v>
      </c>
      <c r="M628">
        <v>24.54</v>
      </c>
      <c r="N628">
        <v>14.57</v>
      </c>
    </row>
    <row r="629" spans="1:14" x14ac:dyDescent="0.35">
      <c r="A629" s="1" t="s">
        <v>641</v>
      </c>
      <c r="B629" t="str">
        <f>HYPERLINK("https://www.suredividend.com/sure-analysis-research-database/","Gevo Inc")</f>
        <v>Gevo Inc</v>
      </c>
      <c r="C629" t="s">
        <v>1809</v>
      </c>
      <c r="D629">
        <v>1.02</v>
      </c>
      <c r="E629">
        <v>0</v>
      </c>
      <c r="F629" t="s">
        <v>1798</v>
      </c>
      <c r="G629" t="s">
        <v>1798</v>
      </c>
      <c r="H629">
        <v>0</v>
      </c>
      <c r="I629">
        <v>242.151186</v>
      </c>
      <c r="J629">
        <v>0</v>
      </c>
      <c r="K629" t="s">
        <v>1798</v>
      </c>
      <c r="L629">
        <v>2.5536449942910031</v>
      </c>
      <c r="M629">
        <v>2.4900000000000002</v>
      </c>
      <c r="N629">
        <v>0.97</v>
      </c>
    </row>
    <row r="630" spans="1:14" x14ac:dyDescent="0.35">
      <c r="A630" s="1" t="s">
        <v>642</v>
      </c>
      <c r="B630" t="str">
        <f>HYPERLINK("https://www.suredividend.com/sure-analysis-research-database/","Griffon Corp.")</f>
        <v>Griffon Corp.</v>
      </c>
      <c r="C630" t="s">
        <v>1799</v>
      </c>
      <c r="D630">
        <v>39.65</v>
      </c>
      <c r="E630">
        <v>1.098635172883E-2</v>
      </c>
      <c r="F630">
        <v>0.25</v>
      </c>
      <c r="G630">
        <v>0.1151015032663814</v>
      </c>
      <c r="H630">
        <v>0.43560884604811612</v>
      </c>
      <c r="I630">
        <v>2165.0454679999998</v>
      </c>
      <c r="J630" t="s">
        <v>1798</v>
      </c>
      <c r="K630" t="s">
        <v>1798</v>
      </c>
      <c r="L630">
        <v>1.269903364353558</v>
      </c>
      <c r="M630">
        <v>43.77</v>
      </c>
      <c r="N630">
        <v>24.18</v>
      </c>
    </row>
    <row r="631" spans="1:14" x14ac:dyDescent="0.35">
      <c r="A631" s="1" t="s">
        <v>643</v>
      </c>
      <c r="B631" t="str">
        <f>HYPERLINK("https://www.suredividend.com/sure-analysis-research-database/","Graham Holdings Co.")</f>
        <v>Graham Holdings Co.</v>
      </c>
      <c r="C631" t="s">
        <v>1805</v>
      </c>
      <c r="D631">
        <v>588.08000000000004</v>
      </c>
      <c r="E631">
        <v>1.1057453889916E-2</v>
      </c>
      <c r="F631">
        <v>4.4303797468354222E-2</v>
      </c>
      <c r="G631">
        <v>4.4062411846493843E-2</v>
      </c>
      <c r="H631">
        <v>6.5026674835820266</v>
      </c>
      <c r="I631">
        <v>2166.7960499999999</v>
      </c>
      <c r="J631">
        <v>10.143179041760879</v>
      </c>
      <c r="K631">
        <v>0.14540848576882889</v>
      </c>
      <c r="L631">
        <v>0.71691367254114902</v>
      </c>
      <c r="M631">
        <v>677.8</v>
      </c>
      <c r="N631">
        <v>541.88</v>
      </c>
    </row>
    <row r="632" spans="1:14" x14ac:dyDescent="0.35">
      <c r="A632" s="1" t="s">
        <v>644</v>
      </c>
      <c r="B632" t="str">
        <f>HYPERLINK("https://www.suredividend.com/sure-analysis-research-database/","Global Industrial Co")</f>
        <v>Global Industrial Co</v>
      </c>
      <c r="C632" t="s">
        <v>1798</v>
      </c>
      <c r="D632">
        <v>33.630000000000003</v>
      </c>
      <c r="E632">
        <v>2.2919519826256E-2</v>
      </c>
      <c r="F632">
        <v>0.1111111111111112</v>
      </c>
      <c r="G632">
        <v>0.10756634324829011</v>
      </c>
      <c r="H632">
        <v>0.77078345175701601</v>
      </c>
      <c r="I632">
        <v>1278.869029</v>
      </c>
      <c r="J632">
        <v>18.615269705240181</v>
      </c>
      <c r="K632">
        <v>0.42821302875389777</v>
      </c>
      <c r="L632">
        <v>1.386827147972914</v>
      </c>
      <c r="M632">
        <v>34.72</v>
      </c>
      <c r="N632">
        <v>20.22</v>
      </c>
    </row>
    <row r="633" spans="1:14" x14ac:dyDescent="0.35">
      <c r="A633" s="1" t="s">
        <v>645</v>
      </c>
      <c r="B633" t="str">
        <f>HYPERLINK("https://www.suredividend.com/sure-analysis-research-database/","G-III Apparel Group Ltd.")</f>
        <v>G-III Apparel Group Ltd.</v>
      </c>
      <c r="C633" t="s">
        <v>1802</v>
      </c>
      <c r="D633">
        <v>23.4</v>
      </c>
      <c r="E633">
        <v>0</v>
      </c>
      <c r="F633" t="s">
        <v>1798</v>
      </c>
      <c r="G633" t="s">
        <v>1798</v>
      </c>
      <c r="H633">
        <v>0</v>
      </c>
      <c r="I633">
        <v>1069.871447</v>
      </c>
      <c r="J633" t="s">
        <v>1798</v>
      </c>
      <c r="K633">
        <v>0</v>
      </c>
      <c r="L633">
        <v>1.4062224604922129</v>
      </c>
      <c r="M633">
        <v>25.99</v>
      </c>
      <c r="N633">
        <v>11.6</v>
      </c>
    </row>
    <row r="634" spans="1:14" x14ac:dyDescent="0.35">
      <c r="A634" s="1" t="s">
        <v>646</v>
      </c>
      <c r="B634" t="str">
        <f>HYPERLINK("https://www.suredividend.com/sure-analysis-research-database/","Glaukos Corporation")</f>
        <v>Glaukos Corporation</v>
      </c>
      <c r="C634" t="s">
        <v>1803</v>
      </c>
      <c r="D634">
        <v>65.59</v>
      </c>
      <c r="E634">
        <v>0</v>
      </c>
      <c r="F634" t="s">
        <v>1798</v>
      </c>
      <c r="G634" t="s">
        <v>1798</v>
      </c>
      <c r="H634">
        <v>0</v>
      </c>
      <c r="I634">
        <v>3190.9247719999998</v>
      </c>
      <c r="J634" t="s">
        <v>1798</v>
      </c>
      <c r="K634">
        <v>0</v>
      </c>
      <c r="L634">
        <v>0.9413606436720201</v>
      </c>
      <c r="M634">
        <v>80.28</v>
      </c>
      <c r="N634">
        <v>40.450000000000003</v>
      </c>
    </row>
    <row r="635" spans="1:14" x14ac:dyDescent="0.35">
      <c r="A635" s="1" t="s">
        <v>647</v>
      </c>
      <c r="B635" t="str">
        <f>HYPERLINK("https://www.suredividend.com/sure-analysis-research-database/","Great Lakes Dredge &amp; Dock Corporation")</f>
        <v>Great Lakes Dredge &amp; Dock Corporation</v>
      </c>
      <c r="C635" t="s">
        <v>1799</v>
      </c>
      <c r="D635">
        <v>8.0500000000000007</v>
      </c>
      <c r="E635">
        <v>0</v>
      </c>
      <c r="F635" t="s">
        <v>1798</v>
      </c>
      <c r="G635" t="s">
        <v>1798</v>
      </c>
      <c r="H635">
        <v>0</v>
      </c>
      <c r="I635">
        <v>535.26036699999997</v>
      </c>
      <c r="J635" t="s">
        <v>1798</v>
      </c>
      <c r="K635">
        <v>0</v>
      </c>
      <c r="L635">
        <v>1.2048784971071711</v>
      </c>
      <c r="M635">
        <v>9.67</v>
      </c>
      <c r="N635">
        <v>4.75</v>
      </c>
    </row>
    <row r="636" spans="1:14" x14ac:dyDescent="0.35">
      <c r="A636" s="1" t="s">
        <v>648</v>
      </c>
      <c r="B636" t="str">
        <f>HYPERLINK("https://www.suredividend.com/sure-analysis-research-database/","Golar Lng")</f>
        <v>Golar Lng</v>
      </c>
      <c r="C636" t="s">
        <v>1808</v>
      </c>
      <c r="D636">
        <v>24.09</v>
      </c>
      <c r="E636">
        <v>2.0638651316373002E-2</v>
      </c>
      <c r="F636" t="s">
        <v>1798</v>
      </c>
      <c r="G636" t="s">
        <v>1798</v>
      </c>
      <c r="H636">
        <v>0.49718511021142597</v>
      </c>
      <c r="I636">
        <v>1934.3969360000001</v>
      </c>
      <c r="J636">
        <v>2.4555258122327119</v>
      </c>
      <c r="K636">
        <v>6.8482797549783203E-2</v>
      </c>
      <c r="L636">
        <v>0.77618491982406301</v>
      </c>
      <c r="M636">
        <v>27.52</v>
      </c>
      <c r="N636">
        <v>19.14</v>
      </c>
    </row>
    <row r="637" spans="1:14" x14ac:dyDescent="0.35">
      <c r="A637" s="1" t="s">
        <v>649</v>
      </c>
      <c r="B637" t="str">
        <f>HYPERLINK("https://www.suredividend.com/sure-analysis-research-database/","Greenlight Capital Re Ltd")</f>
        <v>Greenlight Capital Re Ltd</v>
      </c>
      <c r="C637" t="s">
        <v>1801</v>
      </c>
      <c r="D637">
        <v>11.12</v>
      </c>
      <c r="E637">
        <v>0</v>
      </c>
      <c r="F637" t="s">
        <v>1798</v>
      </c>
      <c r="G637" t="s">
        <v>1798</v>
      </c>
      <c r="H637">
        <v>0</v>
      </c>
      <c r="I637">
        <v>392.224785</v>
      </c>
      <c r="J637">
        <v>5.4454487776975613</v>
      </c>
      <c r="K637">
        <v>0</v>
      </c>
      <c r="L637">
        <v>0.42874464606421497</v>
      </c>
      <c r="M637">
        <v>11.72</v>
      </c>
      <c r="N637">
        <v>7.3</v>
      </c>
    </row>
    <row r="638" spans="1:14" x14ac:dyDescent="0.35">
      <c r="A638" s="1" t="s">
        <v>650</v>
      </c>
      <c r="B638" t="str">
        <f>HYPERLINK("https://www.suredividend.com/sure-analysis-research-database/","Glatfelter Corporation")</f>
        <v>Glatfelter Corporation</v>
      </c>
      <c r="C638" t="s">
        <v>1809</v>
      </c>
      <c r="D638">
        <v>1.76</v>
      </c>
      <c r="E638">
        <v>0</v>
      </c>
      <c r="F638" t="s">
        <v>1798</v>
      </c>
      <c r="G638" t="s">
        <v>1798</v>
      </c>
      <c r="H638">
        <v>0</v>
      </c>
      <c r="I638">
        <v>79.280801999999994</v>
      </c>
      <c r="J638" t="s">
        <v>1798</v>
      </c>
      <c r="K638">
        <v>0</v>
      </c>
      <c r="L638">
        <v>1.657420303489785</v>
      </c>
      <c r="M638">
        <v>4.87</v>
      </c>
      <c r="N638">
        <v>1.64</v>
      </c>
    </row>
    <row r="639" spans="1:14" x14ac:dyDescent="0.35">
      <c r="A639" s="1" t="s">
        <v>651</v>
      </c>
      <c r="B639" t="str">
        <f>HYPERLINK("https://www.suredividend.com/sure-analysis-research-database/","Monte Rosa Therapeutics Inc")</f>
        <v>Monte Rosa Therapeutics Inc</v>
      </c>
      <c r="C639" t="s">
        <v>1798</v>
      </c>
      <c r="D639">
        <v>4.83</v>
      </c>
      <c r="E639">
        <v>0</v>
      </c>
      <c r="F639" t="s">
        <v>1798</v>
      </c>
      <c r="G639" t="s">
        <v>1798</v>
      </c>
      <c r="H639">
        <v>0</v>
      </c>
      <c r="I639">
        <v>239.854603</v>
      </c>
      <c r="J639">
        <v>0</v>
      </c>
      <c r="K639" t="s">
        <v>1798</v>
      </c>
      <c r="L639">
        <v>1.3099870788324881</v>
      </c>
      <c r="M639">
        <v>10.96</v>
      </c>
      <c r="N639">
        <v>4.16</v>
      </c>
    </row>
    <row r="640" spans="1:14" x14ac:dyDescent="0.35">
      <c r="A640" s="1" t="s">
        <v>652</v>
      </c>
      <c r="B640" t="str">
        <f>HYPERLINK("https://www.suredividend.com/sure-analysis-GMRE/","Global Medical REIT Inc")</f>
        <v>Global Medical REIT Inc</v>
      </c>
      <c r="C640" t="s">
        <v>1800</v>
      </c>
      <c r="D640">
        <v>8.94</v>
      </c>
      <c r="E640">
        <v>9.3959731543624164E-2</v>
      </c>
      <c r="F640">
        <v>0</v>
      </c>
      <c r="G640">
        <v>9.805797673485328E-3</v>
      </c>
      <c r="H640">
        <v>0.81197726442306506</v>
      </c>
      <c r="I640">
        <v>586.15058999999997</v>
      </c>
      <c r="J640">
        <v>0</v>
      </c>
      <c r="K640" t="s">
        <v>1798</v>
      </c>
      <c r="L640">
        <v>1.026755549692735</v>
      </c>
      <c r="M640">
        <v>10.99</v>
      </c>
      <c r="N640">
        <v>6.88</v>
      </c>
    </row>
    <row r="641" spans="1:14" x14ac:dyDescent="0.35">
      <c r="A641" s="1" t="s">
        <v>653</v>
      </c>
      <c r="B641" t="str">
        <f>HYPERLINK("https://www.suredividend.com/sure-analysis-research-database/","GMS Inc")</f>
        <v>GMS Inc</v>
      </c>
      <c r="C641" t="s">
        <v>1799</v>
      </c>
      <c r="D641">
        <v>58.67</v>
      </c>
      <c r="E641">
        <v>0</v>
      </c>
      <c r="F641" t="s">
        <v>1798</v>
      </c>
      <c r="G641" t="s">
        <v>1798</v>
      </c>
      <c r="H641">
        <v>0</v>
      </c>
      <c r="I641">
        <v>2381.5945369999999</v>
      </c>
      <c r="J641">
        <v>7.2092850841983216</v>
      </c>
      <c r="K641">
        <v>0</v>
      </c>
      <c r="L641">
        <v>1.438178737124745</v>
      </c>
      <c r="M641">
        <v>76.14</v>
      </c>
      <c r="N641">
        <v>41.05</v>
      </c>
    </row>
    <row r="642" spans="1:14" x14ac:dyDescent="0.35">
      <c r="A642" s="1" t="s">
        <v>654</v>
      </c>
      <c r="B642" t="str">
        <f>HYPERLINK("https://www.suredividend.com/sure-analysis-research-database/","Genco Shipping &amp; Trading Limited")</f>
        <v>Genco Shipping &amp; Trading Limited</v>
      </c>
      <c r="C642" t="s">
        <v>1799</v>
      </c>
      <c r="D642">
        <v>14.42</v>
      </c>
      <c r="E642">
        <v>0.10622014559131999</v>
      </c>
      <c r="F642" t="s">
        <v>1798</v>
      </c>
      <c r="G642" t="s">
        <v>1798</v>
      </c>
      <c r="H642">
        <v>1.531694499426838</v>
      </c>
      <c r="I642">
        <v>613.26369499999998</v>
      </c>
      <c r="J642">
        <v>0</v>
      </c>
      <c r="K642" t="s">
        <v>1798</v>
      </c>
      <c r="L642">
        <v>1.1119857022698121</v>
      </c>
      <c r="M642">
        <v>18.920000000000002</v>
      </c>
      <c r="N642">
        <v>11.91</v>
      </c>
    </row>
    <row r="643" spans="1:14" x14ac:dyDescent="0.35">
      <c r="A643" s="1" t="s">
        <v>655</v>
      </c>
      <c r="B643" t="str">
        <f>HYPERLINK("https://www.suredividend.com/sure-analysis-GNL/","Global Net Lease Inc")</f>
        <v>Global Net Lease Inc</v>
      </c>
      <c r="C643" t="s">
        <v>1800</v>
      </c>
      <c r="D643">
        <v>8.1</v>
      </c>
      <c r="E643">
        <v>0.19753086419753091</v>
      </c>
      <c r="F643">
        <v>-0.1150000000000001</v>
      </c>
      <c r="G643">
        <v>0.14805047057174581</v>
      </c>
      <c r="H643">
        <v>1.4654444931864441</v>
      </c>
      <c r="I643">
        <v>845.88786000000005</v>
      </c>
      <c r="J643" t="s">
        <v>1798</v>
      </c>
      <c r="K643" t="s">
        <v>1798</v>
      </c>
      <c r="L643">
        <v>1.0084572653653709</v>
      </c>
      <c r="M643">
        <v>13.68</v>
      </c>
      <c r="N643">
        <v>7.95</v>
      </c>
    </row>
    <row r="644" spans="1:14" x14ac:dyDescent="0.35">
      <c r="A644" s="1" t="s">
        <v>656</v>
      </c>
      <c r="B644" t="str">
        <f>HYPERLINK("https://www.suredividend.com/sure-analysis-research-database/","Guaranty Bancshares, Inc. (TX)")</f>
        <v>Guaranty Bancshares, Inc. (TX)</v>
      </c>
      <c r="C644" t="s">
        <v>1801</v>
      </c>
      <c r="D644">
        <v>28.39</v>
      </c>
      <c r="E644">
        <v>2.4103172953773001E-2</v>
      </c>
      <c r="F644">
        <v>4.5454545454545407E-2</v>
      </c>
      <c r="G644">
        <v>6.2321039666164653E-2</v>
      </c>
      <c r="H644">
        <v>0.68428908015762602</v>
      </c>
      <c r="I644">
        <v>328.39570400000002</v>
      </c>
      <c r="J644">
        <v>0</v>
      </c>
      <c r="K644" t="s">
        <v>1798</v>
      </c>
      <c r="L644">
        <v>0.7792519032450641</v>
      </c>
      <c r="M644">
        <v>36.42</v>
      </c>
      <c r="N644">
        <v>21.75</v>
      </c>
    </row>
    <row r="645" spans="1:14" x14ac:dyDescent="0.35">
      <c r="A645" s="1" t="s">
        <v>657</v>
      </c>
      <c r="B645" t="str">
        <f>HYPERLINK("https://www.suredividend.com/sure-analysis-research-database/","Genworth Financial Inc")</f>
        <v>Genworth Financial Inc</v>
      </c>
      <c r="C645" t="s">
        <v>1801</v>
      </c>
      <c r="D645">
        <v>6.01</v>
      </c>
      <c r="E645">
        <v>0</v>
      </c>
      <c r="F645" t="s">
        <v>1798</v>
      </c>
      <c r="G645" t="s">
        <v>1798</v>
      </c>
      <c r="H645">
        <v>0</v>
      </c>
      <c r="I645">
        <v>2783.154763</v>
      </c>
      <c r="J645">
        <v>5.822499504497908</v>
      </c>
      <c r="K645">
        <v>0</v>
      </c>
      <c r="L645">
        <v>0.89327194651427311</v>
      </c>
      <c r="M645">
        <v>6.4</v>
      </c>
      <c r="N645">
        <v>4.24</v>
      </c>
    </row>
    <row r="646" spans="1:14" x14ac:dyDescent="0.35">
      <c r="A646" s="1" t="s">
        <v>658</v>
      </c>
      <c r="B646" t="str">
        <f>HYPERLINK("https://www.suredividend.com/sure-analysis-research-database/","Canoo Inc")</f>
        <v>Canoo Inc</v>
      </c>
      <c r="C646" t="s">
        <v>1798</v>
      </c>
      <c r="D646">
        <v>0.33400000000000002</v>
      </c>
      <c r="E646">
        <v>0</v>
      </c>
      <c r="F646" t="s">
        <v>1798</v>
      </c>
      <c r="G646" t="s">
        <v>1798</v>
      </c>
      <c r="H646">
        <v>0</v>
      </c>
      <c r="I646">
        <v>211.83309800000001</v>
      </c>
      <c r="J646">
        <v>0</v>
      </c>
      <c r="K646" t="s">
        <v>1798</v>
      </c>
      <c r="L646">
        <v>1.686655390467094</v>
      </c>
      <c r="M646">
        <v>1.68</v>
      </c>
      <c r="N646">
        <v>0.32469999999999999</v>
      </c>
    </row>
    <row r="647" spans="1:14" x14ac:dyDescent="0.35">
      <c r="A647" s="1" t="s">
        <v>659</v>
      </c>
      <c r="B647" t="str">
        <f>HYPERLINK("https://www.suredividend.com/sure-analysis-research-database/","Golden Ocean Group Limited")</f>
        <v>Golden Ocean Group Limited</v>
      </c>
      <c r="C647" t="s">
        <v>1799</v>
      </c>
      <c r="D647">
        <v>7.98</v>
      </c>
      <c r="E647">
        <v>9.0144526092944002E-2</v>
      </c>
      <c r="F647" t="s">
        <v>1798</v>
      </c>
      <c r="G647" t="s">
        <v>1798</v>
      </c>
      <c r="H647">
        <v>0.71935331822169302</v>
      </c>
      <c r="I647">
        <v>1599.875256</v>
      </c>
      <c r="J647">
        <v>8.0459219363015038</v>
      </c>
      <c r="K647">
        <v>0.72457022383329273</v>
      </c>
      <c r="L647">
        <v>1.0443885121404279</v>
      </c>
      <c r="M647">
        <v>10.17</v>
      </c>
      <c r="N647">
        <v>6.71</v>
      </c>
    </row>
    <row r="648" spans="1:14" x14ac:dyDescent="0.35">
      <c r="A648" s="1" t="s">
        <v>660</v>
      </c>
      <c r="B648" t="str">
        <f>HYPERLINK("https://www.suredividend.com/sure-analysis-research-database/","Gogo Inc")</f>
        <v>Gogo Inc</v>
      </c>
      <c r="C648" t="s">
        <v>1807</v>
      </c>
      <c r="D648">
        <v>11.28</v>
      </c>
      <c r="E648">
        <v>0</v>
      </c>
      <c r="F648" t="s">
        <v>1798</v>
      </c>
      <c r="G648" t="s">
        <v>1798</v>
      </c>
      <c r="H648">
        <v>0</v>
      </c>
      <c r="I648">
        <v>1451.7030850000001</v>
      </c>
      <c r="J648">
        <v>9.1796279653986232</v>
      </c>
      <c r="K648">
        <v>0</v>
      </c>
      <c r="L648">
        <v>0.91820369692427806</v>
      </c>
      <c r="M648">
        <v>17.940000000000001</v>
      </c>
      <c r="N648">
        <v>11.01</v>
      </c>
    </row>
    <row r="649" spans="1:14" x14ac:dyDescent="0.35">
      <c r="A649" s="1" t="s">
        <v>661</v>
      </c>
      <c r="B649" t="str">
        <f>HYPERLINK("https://www.suredividend.com/sure-analysis-research-database/","Acushnet Holdings Corp")</f>
        <v>Acushnet Holdings Corp</v>
      </c>
      <c r="C649" t="s">
        <v>1802</v>
      </c>
      <c r="D649">
        <v>51.89</v>
      </c>
      <c r="E649">
        <v>1.4661319160039999E-2</v>
      </c>
      <c r="F649">
        <v>8.3333333333333481E-2</v>
      </c>
      <c r="G649">
        <v>8.4471771197698553E-2</v>
      </c>
      <c r="H649">
        <v>0.76077585121451108</v>
      </c>
      <c r="I649">
        <v>3453.8269909999999</v>
      </c>
      <c r="J649">
        <v>15.72000687905366</v>
      </c>
      <c r="K649">
        <v>0.24228530293455769</v>
      </c>
      <c r="L649">
        <v>0.79817748839276403</v>
      </c>
      <c r="M649">
        <v>61.77</v>
      </c>
      <c r="N649">
        <v>41.58</v>
      </c>
    </row>
    <row r="650" spans="1:14" x14ac:dyDescent="0.35">
      <c r="A650" s="1" t="s">
        <v>662</v>
      </c>
      <c r="B650" t="str">
        <f>HYPERLINK("https://www.suredividend.com/sure-analysis-GOOD/","Gladstone Commercial Corp")</f>
        <v>Gladstone Commercial Corp</v>
      </c>
      <c r="C650" t="s">
        <v>1800</v>
      </c>
      <c r="D650">
        <v>11.91</v>
      </c>
      <c r="E650">
        <v>0.10075566750629721</v>
      </c>
      <c r="F650">
        <v>0</v>
      </c>
      <c r="G650">
        <v>-4.4258393394558837E-2</v>
      </c>
      <c r="H650">
        <v>1.1961123855668869</v>
      </c>
      <c r="I650">
        <v>475.42331999999999</v>
      </c>
      <c r="J650" t="s">
        <v>1798</v>
      </c>
      <c r="K650" t="s">
        <v>1798</v>
      </c>
      <c r="L650">
        <v>0.91824846946595706</v>
      </c>
      <c r="M650">
        <v>18.100000000000001</v>
      </c>
      <c r="N650">
        <v>10.18</v>
      </c>
    </row>
    <row r="651" spans="1:14" x14ac:dyDescent="0.35">
      <c r="A651" s="1" t="s">
        <v>663</v>
      </c>
      <c r="B651" t="str">
        <f>HYPERLINK("https://www.suredividend.com/sure-analysis-research-database/","Gossamer Bio Inc")</f>
        <v>Gossamer Bio Inc</v>
      </c>
      <c r="C651" t="s">
        <v>1803</v>
      </c>
      <c r="D651">
        <v>0.64610000000000001</v>
      </c>
      <c r="E651">
        <v>0</v>
      </c>
      <c r="F651" t="s">
        <v>1798</v>
      </c>
      <c r="G651" t="s">
        <v>1798</v>
      </c>
      <c r="H651">
        <v>0</v>
      </c>
      <c r="I651">
        <v>145.580636</v>
      </c>
      <c r="J651">
        <v>0</v>
      </c>
      <c r="K651" t="s">
        <v>1798</v>
      </c>
      <c r="L651">
        <v>2.215748478097181</v>
      </c>
      <c r="M651">
        <v>13.53</v>
      </c>
      <c r="N651">
        <v>0.622</v>
      </c>
    </row>
    <row r="652" spans="1:14" x14ac:dyDescent="0.35">
      <c r="A652" s="1" t="s">
        <v>664</v>
      </c>
      <c r="B652" t="str">
        <f>HYPERLINK("https://www.suredividend.com/sure-analysis-research-database/","Group 1 Automotive, Inc.")</f>
        <v>Group 1 Automotive, Inc.</v>
      </c>
      <c r="C652" t="s">
        <v>1802</v>
      </c>
      <c r="D652">
        <v>244.68</v>
      </c>
      <c r="E652">
        <v>7.0925652142860007E-3</v>
      </c>
      <c r="F652" t="s">
        <v>1798</v>
      </c>
      <c r="G652" t="s">
        <v>1798</v>
      </c>
      <c r="H652">
        <v>1.735408856631524</v>
      </c>
      <c r="I652">
        <v>3437.9680950000002</v>
      </c>
      <c r="J652">
        <v>5.1815645742275818</v>
      </c>
      <c r="K652">
        <v>3.7320620572720953E-2</v>
      </c>
      <c r="L652">
        <v>1.126947354797091</v>
      </c>
      <c r="M652">
        <v>277</v>
      </c>
      <c r="N652">
        <v>147.05000000000001</v>
      </c>
    </row>
    <row r="653" spans="1:14" x14ac:dyDescent="0.35">
      <c r="A653" s="1" t="s">
        <v>665</v>
      </c>
      <c r="B653" t="str">
        <f>HYPERLINK("https://www.suredividend.com/sure-analysis-research-database/","Granite Point Mortgage Trust Inc")</f>
        <v>Granite Point Mortgage Trust Inc</v>
      </c>
      <c r="C653" t="s">
        <v>1800</v>
      </c>
      <c r="D653">
        <v>4.41</v>
      </c>
      <c r="E653">
        <v>0.17113335037594599</v>
      </c>
      <c r="F653" t="s">
        <v>1798</v>
      </c>
      <c r="G653" t="s">
        <v>1798</v>
      </c>
      <c r="H653">
        <v>0.75469807515792309</v>
      </c>
      <c r="I653">
        <v>227.458279</v>
      </c>
      <c r="J653" t="s">
        <v>1798</v>
      </c>
      <c r="K653" t="s">
        <v>1798</v>
      </c>
      <c r="L653">
        <v>1.3802266041736839</v>
      </c>
      <c r="M653">
        <v>6.83</v>
      </c>
      <c r="N653">
        <v>3.67</v>
      </c>
    </row>
    <row r="654" spans="1:14" x14ac:dyDescent="0.35">
      <c r="A654" s="1" t="s">
        <v>666</v>
      </c>
      <c r="B654" t="str">
        <f>HYPERLINK("https://www.suredividend.com/sure-analysis-research-database/","Gulfport Energy Corp.")</f>
        <v>Gulfport Energy Corp.</v>
      </c>
      <c r="C654" t="s">
        <v>1808</v>
      </c>
      <c r="D654">
        <v>122.35</v>
      </c>
      <c r="E654">
        <v>0</v>
      </c>
      <c r="F654" t="s">
        <v>1798</v>
      </c>
      <c r="G654" t="s">
        <v>1798</v>
      </c>
      <c r="H654">
        <v>0</v>
      </c>
      <c r="I654">
        <v>2285.3313589999998</v>
      </c>
      <c r="J654" t="s">
        <v>1798</v>
      </c>
      <c r="K654">
        <v>0</v>
      </c>
      <c r="L654">
        <v>0.9007273349530851</v>
      </c>
      <c r="M654">
        <v>127.22</v>
      </c>
      <c r="N654">
        <v>60.15</v>
      </c>
    </row>
    <row r="655" spans="1:14" x14ac:dyDescent="0.35">
      <c r="A655" s="1" t="s">
        <v>667</v>
      </c>
      <c r="B655" t="str">
        <f>HYPERLINK("https://www.suredividend.com/sure-analysis-research-database/","Green Plains Inc")</f>
        <v>Green Plains Inc</v>
      </c>
      <c r="C655" t="s">
        <v>1809</v>
      </c>
      <c r="D655">
        <v>25.87</v>
      </c>
      <c r="E655">
        <v>0</v>
      </c>
      <c r="F655" t="s">
        <v>1798</v>
      </c>
      <c r="G655" t="s">
        <v>1798</v>
      </c>
      <c r="H655">
        <v>0</v>
      </c>
      <c r="I655">
        <v>1539.9962929999999</v>
      </c>
      <c r="J655" t="s">
        <v>1798</v>
      </c>
      <c r="K655">
        <v>0</v>
      </c>
      <c r="L655">
        <v>1.3342040506348041</v>
      </c>
      <c r="M655">
        <v>37.49</v>
      </c>
      <c r="N655">
        <v>25.78</v>
      </c>
    </row>
    <row r="656" spans="1:14" x14ac:dyDescent="0.35">
      <c r="A656" s="1" t="s">
        <v>668</v>
      </c>
      <c r="B656" t="str">
        <f>HYPERLINK("https://www.suredividend.com/sure-analysis-research-database/","GoPro Inc.")</f>
        <v>GoPro Inc.</v>
      </c>
      <c r="C656" t="s">
        <v>1804</v>
      </c>
      <c r="D656">
        <v>2.75</v>
      </c>
      <c r="E656">
        <v>0</v>
      </c>
      <c r="F656" t="s">
        <v>1798</v>
      </c>
      <c r="G656" t="s">
        <v>1798</v>
      </c>
      <c r="H656">
        <v>0</v>
      </c>
      <c r="I656">
        <v>347.78682700000002</v>
      </c>
      <c r="J656" t="s">
        <v>1798</v>
      </c>
      <c r="K656">
        <v>0</v>
      </c>
      <c r="L656">
        <v>1.365760925424409</v>
      </c>
      <c r="M656">
        <v>6.57</v>
      </c>
      <c r="N656">
        <v>2.75</v>
      </c>
    </row>
    <row r="657" spans="1:14" x14ac:dyDescent="0.35">
      <c r="A657" s="1" t="s">
        <v>669</v>
      </c>
      <c r="B657" t="str">
        <f>HYPERLINK("https://www.suredividend.com/sure-analysis-research-database/","Green Brick Partners Inc")</f>
        <v>Green Brick Partners Inc</v>
      </c>
      <c r="C657" t="s">
        <v>1802</v>
      </c>
      <c r="D657">
        <v>40.22</v>
      </c>
      <c r="E657">
        <v>0</v>
      </c>
      <c r="F657" t="s">
        <v>1798</v>
      </c>
      <c r="G657" t="s">
        <v>1798</v>
      </c>
      <c r="H657">
        <v>0</v>
      </c>
      <c r="I657">
        <v>1825.130429</v>
      </c>
      <c r="J657">
        <v>6.8706395417893251</v>
      </c>
      <c r="K657">
        <v>0</v>
      </c>
      <c r="L657">
        <v>1.546203889484602</v>
      </c>
      <c r="M657">
        <v>59.3</v>
      </c>
      <c r="N657">
        <v>19.52</v>
      </c>
    </row>
    <row r="658" spans="1:14" x14ac:dyDescent="0.35">
      <c r="A658" s="1" t="s">
        <v>670</v>
      </c>
      <c r="B658" t="str">
        <f>HYPERLINK("https://www.suredividend.com/sure-analysis-GRC/","Gorman-Rupp Co.")</f>
        <v>Gorman-Rupp Co.</v>
      </c>
      <c r="C658" t="s">
        <v>1799</v>
      </c>
      <c r="D658">
        <v>31.47</v>
      </c>
      <c r="E658">
        <v>2.2243406418811569E-2</v>
      </c>
      <c r="F658">
        <v>2.941176470588247E-2</v>
      </c>
      <c r="G658">
        <v>-0.38567016045842639</v>
      </c>
      <c r="H658">
        <v>0.69361983027664509</v>
      </c>
      <c r="I658">
        <v>824.32511699999998</v>
      </c>
      <c r="J658">
        <v>38.083858492030487</v>
      </c>
      <c r="K658">
        <v>0.83719955374368749</v>
      </c>
      <c r="L658">
        <v>1.06733039648783</v>
      </c>
      <c r="M658">
        <v>33.56</v>
      </c>
      <c r="N658">
        <v>22.63</v>
      </c>
    </row>
    <row r="659" spans="1:14" x14ac:dyDescent="0.35">
      <c r="A659" s="1" t="s">
        <v>671</v>
      </c>
      <c r="B659" t="str">
        <f>HYPERLINK("https://www.suredividend.com/sure-analysis-research-database/","Greenidge Generation Holdings Inc")</f>
        <v>Greenidge Generation Holdings Inc</v>
      </c>
      <c r="C659" t="s">
        <v>1798</v>
      </c>
      <c r="D659">
        <v>3.73</v>
      </c>
      <c r="E659">
        <v>0</v>
      </c>
      <c r="F659" t="s">
        <v>1798</v>
      </c>
      <c r="G659" t="s">
        <v>1798</v>
      </c>
      <c r="H659">
        <v>0</v>
      </c>
      <c r="I659">
        <v>16.352383</v>
      </c>
      <c r="J659" t="s">
        <v>1798</v>
      </c>
      <c r="K659">
        <v>0</v>
      </c>
      <c r="L659">
        <v>2.294812784947752</v>
      </c>
      <c r="M659">
        <v>13.9</v>
      </c>
      <c r="N659">
        <v>1.55</v>
      </c>
    </row>
    <row r="660" spans="1:14" x14ac:dyDescent="0.35">
      <c r="A660" s="1" t="s">
        <v>672</v>
      </c>
      <c r="B660" t="str">
        <f>HYPERLINK("https://www.suredividend.com/sure-analysis-research-database/","GreenLight Biosciences Holdings PBC")</f>
        <v>GreenLight Biosciences Holdings PBC</v>
      </c>
      <c r="C660" t="s">
        <v>1798</v>
      </c>
      <c r="D660">
        <v>0.29949999999999999</v>
      </c>
      <c r="E660">
        <v>0</v>
      </c>
      <c r="F660" t="s">
        <v>1798</v>
      </c>
      <c r="G660" t="s">
        <v>1798</v>
      </c>
      <c r="H660">
        <v>0</v>
      </c>
      <c r="I660">
        <v>0</v>
      </c>
      <c r="J660">
        <v>0</v>
      </c>
      <c r="K660" t="s">
        <v>1798</v>
      </c>
    </row>
    <row r="661" spans="1:14" x14ac:dyDescent="0.35">
      <c r="A661" s="1" t="s">
        <v>673</v>
      </c>
      <c r="B661" t="str">
        <f>HYPERLINK("https://www.suredividend.com/sure-analysis-research-database/","Groupon Inc")</f>
        <v>Groupon Inc</v>
      </c>
      <c r="C661" t="s">
        <v>1807</v>
      </c>
      <c r="D661">
        <v>12.71</v>
      </c>
      <c r="E661">
        <v>0</v>
      </c>
      <c r="F661" t="s">
        <v>1798</v>
      </c>
      <c r="G661" t="s">
        <v>1798</v>
      </c>
      <c r="H661">
        <v>0</v>
      </c>
      <c r="I661">
        <v>397.16993500000001</v>
      </c>
      <c r="J661" t="s">
        <v>1798</v>
      </c>
      <c r="K661">
        <v>0</v>
      </c>
      <c r="L661">
        <v>2.3081568257958209</v>
      </c>
      <c r="M661">
        <v>16.25</v>
      </c>
      <c r="N661">
        <v>2.89</v>
      </c>
    </row>
    <row r="662" spans="1:14" x14ac:dyDescent="0.35">
      <c r="A662" s="1" t="s">
        <v>674</v>
      </c>
      <c r="B662" t="str">
        <f>HYPERLINK("https://www.suredividend.com/sure-analysis-research-database/","GrowGeneration Corp")</f>
        <v>GrowGeneration Corp</v>
      </c>
      <c r="C662" t="s">
        <v>1802</v>
      </c>
      <c r="D662">
        <v>2.56</v>
      </c>
      <c r="E662">
        <v>0</v>
      </c>
      <c r="F662" t="s">
        <v>1798</v>
      </c>
      <c r="G662" t="s">
        <v>1798</v>
      </c>
      <c r="H662">
        <v>0</v>
      </c>
      <c r="I662">
        <v>156.75337200000001</v>
      </c>
      <c r="J662" t="s">
        <v>1798</v>
      </c>
      <c r="K662">
        <v>0</v>
      </c>
      <c r="L662">
        <v>1.7876582795867331</v>
      </c>
      <c r="M662">
        <v>8.6300000000000008</v>
      </c>
      <c r="N662">
        <v>2.54</v>
      </c>
    </row>
    <row r="663" spans="1:14" x14ac:dyDescent="0.35">
      <c r="A663" s="1" t="s">
        <v>675</v>
      </c>
      <c r="B663" t="str">
        <f>HYPERLINK("https://www.suredividend.com/sure-analysis-research-database/","Globalstar Inc.")</f>
        <v>Globalstar Inc.</v>
      </c>
      <c r="C663" t="s">
        <v>1807</v>
      </c>
      <c r="D663">
        <v>1.28</v>
      </c>
      <c r="E663">
        <v>0</v>
      </c>
      <c r="F663" t="s">
        <v>1798</v>
      </c>
      <c r="G663" t="s">
        <v>1798</v>
      </c>
      <c r="H663">
        <v>0</v>
      </c>
      <c r="I663">
        <v>2304</v>
      </c>
      <c r="J663" t="s">
        <v>1798</v>
      </c>
      <c r="K663">
        <v>0</v>
      </c>
      <c r="L663">
        <v>1.2230098009587149</v>
      </c>
      <c r="M663">
        <v>2.33</v>
      </c>
      <c r="N663">
        <v>0.8538</v>
      </c>
    </row>
    <row r="664" spans="1:14" x14ac:dyDescent="0.35">
      <c r="A664" s="1" t="s">
        <v>676</v>
      </c>
      <c r="B664" t="str">
        <f>HYPERLINK("https://www.suredividend.com/sure-analysis-research-database/","Great Southern Bancorp, Inc.")</f>
        <v>Great Southern Bancorp, Inc.</v>
      </c>
      <c r="C664" t="s">
        <v>1801</v>
      </c>
      <c r="D664">
        <v>47.14</v>
      </c>
      <c r="E664">
        <v>3.3206704153562E-2</v>
      </c>
      <c r="F664">
        <v>0</v>
      </c>
      <c r="G664">
        <v>4.5639552591273169E-2</v>
      </c>
      <c r="H664">
        <v>1.5653640337989181</v>
      </c>
      <c r="I664">
        <v>563.47681799999998</v>
      </c>
      <c r="J664">
        <v>7.0865998996390527</v>
      </c>
      <c r="K664">
        <v>0.2411963072109273</v>
      </c>
      <c r="L664">
        <v>0.78793551992978406</v>
      </c>
      <c r="M664">
        <v>61.25</v>
      </c>
      <c r="N664">
        <v>43.96</v>
      </c>
    </row>
    <row r="665" spans="1:14" x14ac:dyDescent="0.35">
      <c r="A665" s="1" t="s">
        <v>677</v>
      </c>
      <c r="B665" t="str">
        <f>HYPERLINK("https://www.suredividend.com/sure-analysis-research-database/","Goosehead Insurance Inc")</f>
        <v>Goosehead Insurance Inc</v>
      </c>
      <c r="C665" t="s">
        <v>1801</v>
      </c>
      <c r="D665">
        <v>69.349999999999994</v>
      </c>
      <c r="E665">
        <v>0</v>
      </c>
      <c r="F665" t="s">
        <v>1798</v>
      </c>
      <c r="G665" t="s">
        <v>1798</v>
      </c>
      <c r="H665">
        <v>0</v>
      </c>
      <c r="I665">
        <v>1657.378798</v>
      </c>
      <c r="J665">
        <v>273.26938136026382</v>
      </c>
      <c r="K665">
        <v>0</v>
      </c>
      <c r="L665">
        <v>1.6316086135308789</v>
      </c>
      <c r="M665">
        <v>79.400000000000006</v>
      </c>
      <c r="N665">
        <v>30.21</v>
      </c>
    </row>
    <row r="666" spans="1:14" x14ac:dyDescent="0.35">
      <c r="A666" s="1" t="s">
        <v>678</v>
      </c>
      <c r="B666" t="str">
        <f>HYPERLINK("https://www.suredividend.com/sure-analysis-research-database/","Goodyear Tire &amp; Rubber Co.")</f>
        <v>Goodyear Tire &amp; Rubber Co.</v>
      </c>
      <c r="C666" t="s">
        <v>1802</v>
      </c>
      <c r="D666">
        <v>12</v>
      </c>
      <c r="E666">
        <v>0</v>
      </c>
      <c r="F666" t="s">
        <v>1798</v>
      </c>
      <c r="G666" t="s">
        <v>1798</v>
      </c>
      <c r="H666">
        <v>0</v>
      </c>
      <c r="I666">
        <v>3401.7278040000001</v>
      </c>
      <c r="J666" t="s">
        <v>1798</v>
      </c>
      <c r="K666">
        <v>0</v>
      </c>
      <c r="L666">
        <v>1.606948383708714</v>
      </c>
      <c r="M666">
        <v>16.510000000000002</v>
      </c>
      <c r="N666">
        <v>9.66</v>
      </c>
    </row>
    <row r="667" spans="1:14" x14ac:dyDescent="0.35">
      <c r="A667" s="1" t="s">
        <v>679</v>
      </c>
      <c r="B667" t="str">
        <f>HYPERLINK("https://www.suredividend.com/sure-analysis-research-database/","Chart Industries Inc")</f>
        <v>Chart Industries Inc</v>
      </c>
      <c r="C667" t="s">
        <v>1799</v>
      </c>
      <c r="D667">
        <v>157.38999999999999</v>
      </c>
      <c r="E667">
        <v>0</v>
      </c>
      <c r="F667" t="s">
        <v>1798</v>
      </c>
      <c r="G667" t="s">
        <v>1798</v>
      </c>
      <c r="H667">
        <v>0</v>
      </c>
      <c r="I667">
        <v>6726.7130870000001</v>
      </c>
      <c r="J667" t="s">
        <v>1798</v>
      </c>
      <c r="K667">
        <v>0</v>
      </c>
      <c r="L667">
        <v>1.604780068267933</v>
      </c>
      <c r="M667">
        <v>242.59</v>
      </c>
      <c r="N667">
        <v>101.44</v>
      </c>
    </row>
    <row r="668" spans="1:14" x14ac:dyDescent="0.35">
      <c r="A668" s="1" t="s">
        <v>680</v>
      </c>
      <c r="B668" t="str">
        <f>HYPERLINK("https://www.suredividend.com/sure-analysis-research-database/","Gray Television, Inc.")</f>
        <v>Gray Television, Inc.</v>
      </c>
      <c r="C668" t="s">
        <v>1807</v>
      </c>
      <c r="D668">
        <v>6.08</v>
      </c>
      <c r="E668">
        <v>5.1825316790521013E-2</v>
      </c>
      <c r="F668" t="s">
        <v>1798</v>
      </c>
      <c r="G668" t="s">
        <v>1798</v>
      </c>
      <c r="H668">
        <v>0.31509792608637099</v>
      </c>
      <c r="I668">
        <v>590.84992799999998</v>
      </c>
      <c r="J668">
        <v>2.7481391985116281</v>
      </c>
      <c r="K668">
        <v>0.13523516141045969</v>
      </c>
      <c r="L668">
        <v>1.4509290284556711</v>
      </c>
      <c r="M668">
        <v>15.22</v>
      </c>
      <c r="N668">
        <v>5.98</v>
      </c>
    </row>
    <row r="669" spans="1:14" x14ac:dyDescent="0.35">
      <c r="A669" s="1" t="s">
        <v>681</v>
      </c>
      <c r="B669" t="str">
        <f>HYPERLINK("https://www.suredividend.com/sure-analysis-research-database/","Getty Realty Corp.")</f>
        <v>Getty Realty Corp.</v>
      </c>
      <c r="C669" t="s">
        <v>1800</v>
      </c>
      <c r="D669">
        <v>27.04</v>
      </c>
      <c r="E669">
        <v>6.2296910897999998E-2</v>
      </c>
      <c r="F669">
        <v>4.878048780487787E-2</v>
      </c>
      <c r="G669">
        <v>4.2029663567281883E-2</v>
      </c>
      <c r="H669">
        <v>1.684508470681932</v>
      </c>
      <c r="I669">
        <v>1365.5521779999999</v>
      </c>
      <c r="J669">
        <v>20.628611230116171</v>
      </c>
      <c r="K669">
        <v>1.220658312088357</v>
      </c>
      <c r="L669">
        <v>0.598918895345111</v>
      </c>
      <c r="M669">
        <v>35.11</v>
      </c>
      <c r="N669">
        <v>25.99</v>
      </c>
    </row>
    <row r="670" spans="1:14" x14ac:dyDescent="0.35">
      <c r="A670" s="1" t="s">
        <v>682</v>
      </c>
      <c r="B670" t="str">
        <f>HYPERLINK("https://www.suredividend.com/sure-analysis-research-database/","Granite Construction Inc.")</f>
        <v>Granite Construction Inc.</v>
      </c>
      <c r="C670" t="s">
        <v>1799</v>
      </c>
      <c r="D670">
        <v>36.42</v>
      </c>
      <c r="E670">
        <v>1.4206204176222001E-2</v>
      </c>
      <c r="F670">
        <v>0</v>
      </c>
      <c r="G670">
        <v>0</v>
      </c>
      <c r="H670">
        <v>0.51738995609801908</v>
      </c>
      <c r="I670">
        <v>1599.572846</v>
      </c>
      <c r="J670">
        <v>40.944348077405479</v>
      </c>
      <c r="K670">
        <v>0.68437824880690357</v>
      </c>
      <c r="L670">
        <v>0.78375178096930109</v>
      </c>
      <c r="M670">
        <v>43.77</v>
      </c>
      <c r="N670">
        <v>26.08</v>
      </c>
    </row>
    <row r="671" spans="1:14" x14ac:dyDescent="0.35">
      <c r="A671" s="1" t="s">
        <v>683</v>
      </c>
      <c r="B671" t="str">
        <f>HYPERLINK("https://www.suredividend.com/sure-analysis-research-database/","ESS Tech Inc")</f>
        <v>ESS Tech Inc</v>
      </c>
      <c r="C671" t="s">
        <v>1798</v>
      </c>
      <c r="D671">
        <v>1.9</v>
      </c>
      <c r="E671">
        <v>0</v>
      </c>
      <c r="F671" t="s">
        <v>1798</v>
      </c>
      <c r="G671" t="s">
        <v>1798</v>
      </c>
      <c r="H671">
        <v>0</v>
      </c>
      <c r="I671">
        <v>295.62128899999999</v>
      </c>
      <c r="J671" t="s">
        <v>1798</v>
      </c>
      <c r="K671">
        <v>0</v>
      </c>
      <c r="L671">
        <v>2.306429139036724</v>
      </c>
      <c r="M671">
        <v>4.38</v>
      </c>
      <c r="N671">
        <v>0.75</v>
      </c>
    </row>
    <row r="672" spans="1:14" x14ac:dyDescent="0.35">
      <c r="A672" s="1" t="s">
        <v>684</v>
      </c>
      <c r="B672" t="str">
        <f>HYPERLINK("https://www.suredividend.com/sure-analysis-GWRS/","Global Water Resources Inc")</f>
        <v>Global Water Resources Inc</v>
      </c>
      <c r="C672" t="s">
        <v>1806</v>
      </c>
      <c r="D672">
        <v>10.100199999999999</v>
      </c>
      <c r="E672">
        <v>2.9702382131046909E-2</v>
      </c>
      <c r="F672">
        <v>0</v>
      </c>
      <c r="G672">
        <v>2.025948542577316E-3</v>
      </c>
      <c r="H672">
        <v>0.26693250053552903</v>
      </c>
      <c r="I672">
        <v>244.12705600000001</v>
      </c>
      <c r="J672">
        <v>0</v>
      </c>
      <c r="K672" t="s">
        <v>1798</v>
      </c>
      <c r="L672">
        <v>0.65553054374755704</v>
      </c>
      <c r="M672">
        <v>14.48</v>
      </c>
      <c r="N672">
        <v>9.3000000000000007</v>
      </c>
    </row>
    <row r="673" spans="1:14" x14ac:dyDescent="0.35">
      <c r="A673" s="1" t="s">
        <v>685</v>
      </c>
      <c r="B673" t="str">
        <f>HYPERLINK("https://www.suredividend.com/sure-analysis-research-database/","Hawaiian Holdings, Inc.")</f>
        <v>Hawaiian Holdings, Inc.</v>
      </c>
      <c r="C673" t="s">
        <v>1799</v>
      </c>
      <c r="D673">
        <v>4.91</v>
      </c>
      <c r="E673">
        <v>0</v>
      </c>
      <c r="F673" t="s">
        <v>1798</v>
      </c>
      <c r="G673" t="s">
        <v>1798</v>
      </c>
      <c r="H673">
        <v>0</v>
      </c>
      <c r="I673">
        <v>253.51461800000001</v>
      </c>
      <c r="J673" t="s">
        <v>1798</v>
      </c>
      <c r="K673">
        <v>0</v>
      </c>
      <c r="L673">
        <v>1.7539933929077001</v>
      </c>
      <c r="M673">
        <v>16.149999999999999</v>
      </c>
      <c r="N673">
        <v>4.78</v>
      </c>
    </row>
    <row r="674" spans="1:14" x14ac:dyDescent="0.35">
      <c r="A674" s="1" t="s">
        <v>686</v>
      </c>
      <c r="B674" t="str">
        <f>HYPERLINK("https://www.suredividend.com/sure-analysis-research-database/","Haemonetics Corp.")</f>
        <v>Haemonetics Corp.</v>
      </c>
      <c r="C674" t="s">
        <v>1803</v>
      </c>
      <c r="D674">
        <v>89.36</v>
      </c>
      <c r="E674">
        <v>0</v>
      </c>
      <c r="F674" t="s">
        <v>1798</v>
      </c>
      <c r="G674" t="s">
        <v>1798</v>
      </c>
      <c r="H674">
        <v>0</v>
      </c>
      <c r="I674">
        <v>4531.6252139999997</v>
      </c>
      <c r="J674">
        <v>33.182675143154221</v>
      </c>
      <c r="K674">
        <v>0</v>
      </c>
      <c r="L674">
        <v>0.72046684153497997</v>
      </c>
      <c r="M674">
        <v>95.26</v>
      </c>
      <c r="N674">
        <v>72.260000000000005</v>
      </c>
    </row>
    <row r="675" spans="1:14" x14ac:dyDescent="0.35">
      <c r="A675" s="1" t="s">
        <v>687</v>
      </c>
      <c r="B675" t="str">
        <f>HYPERLINK("https://www.suredividend.com/sure-analysis-research-database/","Hanmi Financial Corp.")</f>
        <v>Hanmi Financial Corp.</v>
      </c>
      <c r="C675" t="s">
        <v>1801</v>
      </c>
      <c r="D675">
        <v>15.6</v>
      </c>
      <c r="E675">
        <v>6.1594627043496997E-2</v>
      </c>
      <c r="F675">
        <v>0</v>
      </c>
      <c r="G675">
        <v>8.197818497166498E-3</v>
      </c>
      <c r="H675">
        <v>0.96087618187856505</v>
      </c>
      <c r="I675">
        <v>475.445896</v>
      </c>
      <c r="J675">
        <v>4.8648422261104463</v>
      </c>
      <c r="K675">
        <v>0.29933837441699851</v>
      </c>
      <c r="L675">
        <v>1.15018952143052</v>
      </c>
      <c r="M675">
        <v>25.21</v>
      </c>
      <c r="N675">
        <v>12.54</v>
      </c>
    </row>
    <row r="676" spans="1:14" x14ac:dyDescent="0.35">
      <c r="A676" s="1" t="s">
        <v>688</v>
      </c>
      <c r="B676" t="str">
        <f>HYPERLINK("https://www.suredividend.com/sure-analysis-research-database/","Hain Celestial Group Inc")</f>
        <v>Hain Celestial Group Inc</v>
      </c>
      <c r="C676" t="s">
        <v>1805</v>
      </c>
      <c r="D676">
        <v>10.3</v>
      </c>
      <c r="E676">
        <v>0</v>
      </c>
      <c r="F676" t="s">
        <v>1798</v>
      </c>
      <c r="G676" t="s">
        <v>1798</v>
      </c>
      <c r="H676">
        <v>0</v>
      </c>
      <c r="I676">
        <v>921.67078000000004</v>
      </c>
      <c r="J676" t="s">
        <v>1798</v>
      </c>
      <c r="K676">
        <v>0</v>
      </c>
      <c r="L676">
        <v>1.181844148962041</v>
      </c>
      <c r="M676">
        <v>22.14</v>
      </c>
      <c r="N676">
        <v>9.36</v>
      </c>
    </row>
    <row r="677" spans="1:14" x14ac:dyDescent="0.35">
      <c r="A677" s="1" t="s">
        <v>689</v>
      </c>
      <c r="B677" t="str">
        <f>HYPERLINK("https://www.suredividend.com/sure-analysis-research-database/","Halozyme Therapeutics Inc.")</f>
        <v>Halozyme Therapeutics Inc.</v>
      </c>
      <c r="C677" t="s">
        <v>1803</v>
      </c>
      <c r="D677">
        <v>36.549999999999997</v>
      </c>
      <c r="E677">
        <v>0</v>
      </c>
      <c r="F677" t="s">
        <v>1798</v>
      </c>
      <c r="G677" t="s">
        <v>1798</v>
      </c>
      <c r="H677">
        <v>0</v>
      </c>
      <c r="I677">
        <v>4821.7081639999997</v>
      </c>
      <c r="J677">
        <v>20.631600367985278</v>
      </c>
      <c r="K677">
        <v>0</v>
      </c>
      <c r="L677">
        <v>0.61912628251242707</v>
      </c>
      <c r="M677">
        <v>59.46</v>
      </c>
      <c r="N677">
        <v>29.85</v>
      </c>
    </row>
    <row r="678" spans="1:14" x14ac:dyDescent="0.35">
      <c r="A678" s="1" t="s">
        <v>690</v>
      </c>
      <c r="B678" t="str">
        <f>HYPERLINK("https://www.suredividend.com/sure-analysis-HASI/","Hannon Armstrong Sustainable Infrastructure capital Inc")</f>
        <v>Hannon Armstrong Sustainable Infrastructure capital Inc</v>
      </c>
      <c r="C678" t="s">
        <v>1800</v>
      </c>
      <c r="D678">
        <v>16.37</v>
      </c>
      <c r="E678">
        <v>9.6518020769700674E-2</v>
      </c>
      <c r="F678">
        <v>5.3333333333333448E-2</v>
      </c>
      <c r="G678">
        <v>3.6612952724090382E-2</v>
      </c>
      <c r="H678">
        <v>1.519639873484727</v>
      </c>
      <c r="I678">
        <v>1755.943209</v>
      </c>
      <c r="J678">
        <v>33.617506339287416</v>
      </c>
      <c r="K678">
        <v>2.767006324626232</v>
      </c>
      <c r="L678">
        <v>1.754827707535104</v>
      </c>
      <c r="M678">
        <v>37.72</v>
      </c>
      <c r="N678">
        <v>13.22</v>
      </c>
    </row>
    <row r="679" spans="1:14" x14ac:dyDescent="0.35">
      <c r="A679" s="1" t="s">
        <v>691</v>
      </c>
      <c r="B679" t="str">
        <f>HYPERLINK("https://www.suredividend.com/sure-analysis-research-database/","Haynes International Inc.")</f>
        <v>Haynes International Inc.</v>
      </c>
      <c r="C679" t="s">
        <v>1799</v>
      </c>
      <c r="D679">
        <v>44.05</v>
      </c>
      <c r="E679">
        <v>1.9724738747588001E-2</v>
      </c>
      <c r="F679">
        <v>0</v>
      </c>
      <c r="G679">
        <v>0</v>
      </c>
      <c r="H679">
        <v>0.86887474183127411</v>
      </c>
      <c r="I679">
        <v>560.83746399999995</v>
      </c>
      <c r="J679">
        <v>12.4125769404422</v>
      </c>
      <c r="K679">
        <v>0.24406593871665</v>
      </c>
      <c r="L679">
        <v>1.3349578784113141</v>
      </c>
      <c r="M679">
        <v>59.71</v>
      </c>
      <c r="N679">
        <v>39.11</v>
      </c>
    </row>
    <row r="680" spans="1:14" x14ac:dyDescent="0.35">
      <c r="A680" s="1" t="s">
        <v>692</v>
      </c>
      <c r="B680" t="str">
        <f>HYPERLINK("https://www.suredividend.com/sure-analysis-research-database/","Home Bancorp Inc")</f>
        <v>Home Bancorp Inc</v>
      </c>
      <c r="C680" t="s">
        <v>1801</v>
      </c>
      <c r="D680">
        <v>32.57</v>
      </c>
      <c r="E680">
        <v>2.9804344296392001E-2</v>
      </c>
      <c r="F680">
        <v>8.6956521739130377E-2</v>
      </c>
      <c r="G680">
        <v>4.5639552591273169E-2</v>
      </c>
      <c r="H680">
        <v>0.97072749373351608</v>
      </c>
      <c r="I680">
        <v>266.92942199999999</v>
      </c>
      <c r="J680">
        <v>6.3087476488383638</v>
      </c>
      <c r="K680">
        <v>0.1863200563787939</v>
      </c>
      <c r="L680">
        <v>0.91020775733326809</v>
      </c>
      <c r="M680">
        <v>41.92</v>
      </c>
      <c r="N680">
        <v>27.36</v>
      </c>
    </row>
    <row r="681" spans="1:14" x14ac:dyDescent="0.35">
      <c r="A681" s="1" t="s">
        <v>693</v>
      </c>
      <c r="B681" t="str">
        <f>HYPERLINK("https://www.suredividend.com/sure-analysis-research-database/","Horizon Bancorp Inc (IN)")</f>
        <v>Horizon Bancorp Inc (IN)</v>
      </c>
      <c r="C681" t="s">
        <v>1801</v>
      </c>
      <c r="D681">
        <v>10.08</v>
      </c>
      <c r="E681">
        <v>6.0642271190044013E-2</v>
      </c>
      <c r="F681">
        <v>0</v>
      </c>
      <c r="G681">
        <v>9.8560543306117632E-2</v>
      </c>
      <c r="H681">
        <v>0.6112740935956531</v>
      </c>
      <c r="I681">
        <v>444.62581599999999</v>
      </c>
      <c r="J681">
        <v>5.4237873588933478</v>
      </c>
      <c r="K681">
        <v>0.32514579446577302</v>
      </c>
      <c r="L681">
        <v>1.110408406567877</v>
      </c>
      <c r="M681">
        <v>17.95</v>
      </c>
      <c r="N681">
        <v>7.23</v>
      </c>
    </row>
    <row r="682" spans="1:14" x14ac:dyDescent="0.35">
      <c r="A682" s="1" t="s">
        <v>694</v>
      </c>
      <c r="B682" t="str">
        <f>HYPERLINK("https://www.suredividend.com/sure-analysis-research-database/","HBT Financial Inc")</f>
        <v>HBT Financial Inc</v>
      </c>
      <c r="C682" t="s">
        <v>1801</v>
      </c>
      <c r="D682">
        <v>17.91</v>
      </c>
      <c r="E682">
        <v>3.6521832557679997E-2</v>
      </c>
      <c r="F682" t="s">
        <v>1798</v>
      </c>
      <c r="G682" t="s">
        <v>1798</v>
      </c>
      <c r="H682">
        <v>0.65410602110806104</v>
      </c>
      <c r="I682">
        <v>570.36608699999999</v>
      </c>
      <c r="J682">
        <v>10.104274496173471</v>
      </c>
      <c r="K682">
        <v>0.3497893161005674</v>
      </c>
      <c r="L682">
        <v>0.6779534508512951</v>
      </c>
      <c r="M682">
        <v>22.65</v>
      </c>
      <c r="N682">
        <v>16.05</v>
      </c>
    </row>
    <row r="683" spans="1:14" x14ac:dyDescent="0.35">
      <c r="A683" s="1" t="s">
        <v>695</v>
      </c>
      <c r="B683" t="str">
        <f>HYPERLINK("https://www.suredividend.com/sure-analysis-research-database/","Health Catalyst Inc")</f>
        <v>Health Catalyst Inc</v>
      </c>
      <c r="C683" t="s">
        <v>1803</v>
      </c>
      <c r="D683">
        <v>8.35</v>
      </c>
      <c r="E683">
        <v>0</v>
      </c>
      <c r="F683" t="s">
        <v>1798</v>
      </c>
      <c r="G683" t="s">
        <v>1798</v>
      </c>
      <c r="H683">
        <v>0</v>
      </c>
      <c r="I683">
        <v>475.64511599999997</v>
      </c>
      <c r="J683" t="s">
        <v>1798</v>
      </c>
      <c r="K683">
        <v>0</v>
      </c>
      <c r="L683">
        <v>1.5982788028888839</v>
      </c>
      <c r="M683">
        <v>15.87</v>
      </c>
      <c r="N683">
        <v>6.4</v>
      </c>
    </row>
    <row r="684" spans="1:14" x14ac:dyDescent="0.35">
      <c r="A684" s="1" t="s">
        <v>696</v>
      </c>
      <c r="B684" t="str">
        <f>HYPERLINK("https://www.suredividend.com/sure-analysis-research-database/","Warrior Met Coal Inc")</f>
        <v>Warrior Met Coal Inc</v>
      </c>
      <c r="C684" t="s">
        <v>1809</v>
      </c>
      <c r="D684">
        <v>48.23</v>
      </c>
      <c r="E684">
        <v>5.5188541952610002E-3</v>
      </c>
      <c r="F684">
        <v>0.16666666666666671</v>
      </c>
      <c r="G684">
        <v>6.9610375725068785E-2</v>
      </c>
      <c r="H684">
        <v>0.26617433783746097</v>
      </c>
      <c r="I684">
        <v>2508.8336380000001</v>
      </c>
      <c r="J684">
        <v>5.4253614910461536</v>
      </c>
      <c r="K684">
        <v>2.9873663056954099E-2</v>
      </c>
      <c r="L684">
        <v>0.68378274086264001</v>
      </c>
      <c r="M684">
        <v>53</v>
      </c>
      <c r="N684">
        <v>30.13</v>
      </c>
    </row>
    <row r="685" spans="1:14" x14ac:dyDescent="0.35">
      <c r="A685" s="1" t="s">
        <v>697</v>
      </c>
      <c r="B685" t="str">
        <f>HYPERLINK("https://www.suredividend.com/sure-analysis-research-database/","Heritage-Crystal Clean Inc")</f>
        <v>Heritage-Crystal Clean Inc</v>
      </c>
      <c r="C685" t="s">
        <v>1799</v>
      </c>
      <c r="D685">
        <v>45.47</v>
      </c>
      <c r="E685">
        <v>0</v>
      </c>
      <c r="F685" t="s">
        <v>1798</v>
      </c>
      <c r="G685" t="s">
        <v>1798</v>
      </c>
      <c r="H685">
        <v>0</v>
      </c>
      <c r="I685">
        <v>1108.1223150000001</v>
      </c>
      <c r="J685">
        <v>0</v>
      </c>
      <c r="K685" t="s">
        <v>1798</v>
      </c>
      <c r="L685">
        <v>0.68941781838455507</v>
      </c>
      <c r="M685">
        <v>47.98</v>
      </c>
      <c r="N685">
        <v>25.7</v>
      </c>
    </row>
    <row r="686" spans="1:14" x14ac:dyDescent="0.35">
      <c r="A686" s="1" t="s">
        <v>698</v>
      </c>
      <c r="B686" t="str">
        <f>HYPERLINK("https://www.suredividend.com/sure-analysis-research-database/","HCI Group Inc")</f>
        <v>HCI Group Inc</v>
      </c>
      <c r="C686" t="s">
        <v>1801</v>
      </c>
      <c r="D686">
        <v>59</v>
      </c>
      <c r="E686">
        <v>2.6831926065368002E-2</v>
      </c>
      <c r="F686">
        <v>0</v>
      </c>
      <c r="G686">
        <v>1.299136822423641E-2</v>
      </c>
      <c r="H686">
        <v>1.5830836378567641</v>
      </c>
      <c r="I686">
        <v>506.89195100000001</v>
      </c>
      <c r="J686" t="s">
        <v>1798</v>
      </c>
      <c r="K686" t="s">
        <v>1798</v>
      </c>
      <c r="L686">
        <v>0.92057275096189506</v>
      </c>
      <c r="M686">
        <v>69.52</v>
      </c>
      <c r="N686">
        <v>26.78</v>
      </c>
    </row>
    <row r="687" spans="1:14" x14ac:dyDescent="0.35">
      <c r="A687" s="1" t="s">
        <v>699</v>
      </c>
      <c r="B687" t="str">
        <f>HYPERLINK("https://www.suredividend.com/sure-analysis-research-database/","Hackett Group Inc (The)")</f>
        <v>Hackett Group Inc (The)</v>
      </c>
      <c r="C687" t="s">
        <v>1804</v>
      </c>
      <c r="D687">
        <v>22.6</v>
      </c>
      <c r="E687">
        <v>1.9322262907875001E-2</v>
      </c>
      <c r="F687" t="s">
        <v>1798</v>
      </c>
      <c r="G687" t="s">
        <v>1798</v>
      </c>
      <c r="H687">
        <v>0.43668314171799399</v>
      </c>
      <c r="I687">
        <v>615.09649300000001</v>
      </c>
      <c r="J687">
        <v>16.64087042177313</v>
      </c>
      <c r="K687">
        <v>0.34934651337439532</v>
      </c>
      <c r="L687">
        <v>0.64811258668267002</v>
      </c>
      <c r="M687">
        <v>24.7</v>
      </c>
      <c r="N687">
        <v>16.940000000000001</v>
      </c>
    </row>
    <row r="688" spans="1:14" x14ac:dyDescent="0.35">
      <c r="A688" s="1" t="s">
        <v>700</v>
      </c>
      <c r="B688" t="str">
        <f>HYPERLINK("https://www.suredividend.com/sure-analysis-research-database/","Healthcare Services Group, Inc.")</f>
        <v>Healthcare Services Group, Inc.</v>
      </c>
      <c r="C688" t="s">
        <v>1803</v>
      </c>
      <c r="D688">
        <v>10.050000000000001</v>
      </c>
      <c r="E688">
        <v>2.1393035181718999E-2</v>
      </c>
      <c r="F688" t="s">
        <v>1798</v>
      </c>
      <c r="G688" t="s">
        <v>1798</v>
      </c>
      <c r="H688">
        <v>0.21500000357627799</v>
      </c>
      <c r="I688">
        <v>745.65975000000003</v>
      </c>
      <c r="J688">
        <v>19.745776288960091</v>
      </c>
      <c r="K688">
        <v>0.42389590610464911</v>
      </c>
      <c r="L688">
        <v>1.073943014606646</v>
      </c>
      <c r="M688">
        <v>15.97</v>
      </c>
      <c r="N688">
        <v>9.69</v>
      </c>
    </row>
    <row r="689" spans="1:14" x14ac:dyDescent="0.35">
      <c r="A689" s="1" t="s">
        <v>701</v>
      </c>
      <c r="B689" t="str">
        <f>HYPERLINK("https://www.suredividend.com/sure-analysis-research-database/","Hudson Technologies, Inc.")</f>
        <v>Hudson Technologies, Inc.</v>
      </c>
      <c r="C689" t="s">
        <v>1809</v>
      </c>
      <c r="D689">
        <v>13.45</v>
      </c>
      <c r="E689">
        <v>0</v>
      </c>
      <c r="F689" t="s">
        <v>1798</v>
      </c>
      <c r="G689" t="s">
        <v>1798</v>
      </c>
      <c r="H689">
        <v>0</v>
      </c>
      <c r="I689">
        <v>610.56389300000001</v>
      </c>
      <c r="J689">
        <v>0</v>
      </c>
      <c r="K689" t="s">
        <v>1798</v>
      </c>
      <c r="L689">
        <v>1.257893069954374</v>
      </c>
      <c r="M689">
        <v>14.14</v>
      </c>
      <c r="N689">
        <v>7.21</v>
      </c>
    </row>
    <row r="690" spans="1:14" x14ac:dyDescent="0.35">
      <c r="A690" s="1" t="s">
        <v>702</v>
      </c>
      <c r="B690" t="str">
        <f>HYPERLINK("https://www.suredividend.com/sure-analysis-research-database/","Turtle Beach Corp")</f>
        <v>Turtle Beach Corp</v>
      </c>
      <c r="C690" t="s">
        <v>1804</v>
      </c>
      <c r="D690">
        <v>8.66</v>
      </c>
      <c r="E690">
        <v>0</v>
      </c>
      <c r="F690" t="s">
        <v>1798</v>
      </c>
      <c r="G690" t="s">
        <v>1798</v>
      </c>
      <c r="H690">
        <v>0</v>
      </c>
      <c r="I690">
        <v>149.898278</v>
      </c>
      <c r="J690" t="s">
        <v>1798</v>
      </c>
      <c r="K690">
        <v>0</v>
      </c>
      <c r="L690">
        <v>1.7563532229498511</v>
      </c>
      <c r="M690">
        <v>13.26</v>
      </c>
      <c r="N690">
        <v>6.17</v>
      </c>
    </row>
    <row r="691" spans="1:14" x14ac:dyDescent="0.35">
      <c r="A691" s="1" t="s">
        <v>703</v>
      </c>
      <c r="B691" t="str">
        <f>HYPERLINK("https://www.suredividend.com/sure-analysis-research-database/","H&amp;E Equipment Services Inc")</f>
        <v>H&amp;E Equipment Services Inc</v>
      </c>
      <c r="C691" t="s">
        <v>1799</v>
      </c>
      <c r="D691">
        <v>43.41</v>
      </c>
      <c r="E691">
        <v>2.4894430349657E-2</v>
      </c>
      <c r="F691">
        <v>0</v>
      </c>
      <c r="G691">
        <v>0</v>
      </c>
      <c r="H691">
        <v>1.0806672214786199</v>
      </c>
      <c r="I691">
        <v>1579.181482</v>
      </c>
      <c r="J691">
        <v>10.09590636678643</v>
      </c>
      <c r="K691">
        <v>0.24842924631692409</v>
      </c>
      <c r="L691">
        <v>1.294534407104903</v>
      </c>
      <c r="M691">
        <v>54.98</v>
      </c>
      <c r="N691">
        <v>27.85</v>
      </c>
    </row>
    <row r="692" spans="1:14" x14ac:dyDescent="0.35">
      <c r="A692" s="1" t="s">
        <v>704</v>
      </c>
      <c r="B692" t="str">
        <f>HYPERLINK("https://www.suredividend.com/sure-analysis-research-database/","Helen of Troy Ltd")</f>
        <v>Helen of Troy Ltd</v>
      </c>
      <c r="C692" t="s">
        <v>1805</v>
      </c>
      <c r="D692">
        <v>112.06</v>
      </c>
      <c r="E692">
        <v>0</v>
      </c>
      <c r="F692" t="s">
        <v>1798</v>
      </c>
      <c r="G692" t="s">
        <v>1798</v>
      </c>
      <c r="H692">
        <v>0</v>
      </c>
      <c r="I692">
        <v>2660.6122289999998</v>
      </c>
      <c r="J692">
        <v>19.284270474457841</v>
      </c>
      <c r="K692">
        <v>0</v>
      </c>
      <c r="L692">
        <v>1.493816778310201</v>
      </c>
      <c r="M692">
        <v>143.68</v>
      </c>
      <c r="N692">
        <v>81.14</v>
      </c>
    </row>
    <row r="693" spans="1:14" x14ac:dyDescent="0.35">
      <c r="A693" s="1" t="s">
        <v>705</v>
      </c>
      <c r="B693" t="str">
        <f>HYPERLINK("https://www.suredividend.com/sure-analysis-research-database/","HF Foods Group Inc.")</f>
        <v>HF Foods Group Inc.</v>
      </c>
      <c r="C693" t="s">
        <v>1805</v>
      </c>
      <c r="D693">
        <v>3.88</v>
      </c>
      <c r="E693">
        <v>0</v>
      </c>
      <c r="F693" t="s">
        <v>1798</v>
      </c>
      <c r="G693" t="s">
        <v>1798</v>
      </c>
      <c r="H693">
        <v>0</v>
      </c>
      <c r="I693">
        <v>210.086185</v>
      </c>
      <c r="J693">
        <v>0</v>
      </c>
      <c r="K693" t="s">
        <v>1798</v>
      </c>
      <c r="L693">
        <v>1.449354391286517</v>
      </c>
      <c r="M693">
        <v>6.55</v>
      </c>
      <c r="N693">
        <v>3.42</v>
      </c>
    </row>
    <row r="694" spans="1:14" x14ac:dyDescent="0.35">
      <c r="A694" s="1" t="s">
        <v>706</v>
      </c>
      <c r="B694" t="str">
        <f>HYPERLINK("https://www.suredividend.com/sure-analysis-research-database/","Heritage Financial Corp.")</f>
        <v>Heritage Financial Corp.</v>
      </c>
      <c r="C694" t="s">
        <v>1801</v>
      </c>
      <c r="D694">
        <v>16.07</v>
      </c>
      <c r="E694">
        <v>5.2411422675548013E-2</v>
      </c>
      <c r="F694">
        <v>4.7619047619047672E-2</v>
      </c>
      <c r="G694">
        <v>4.0950396969256841E-2</v>
      </c>
      <c r="H694">
        <v>0.84225156239606502</v>
      </c>
      <c r="I694">
        <v>563.21814600000005</v>
      </c>
      <c r="J694">
        <v>6.9673311231243114</v>
      </c>
      <c r="K694">
        <v>0.36940857999827409</v>
      </c>
      <c r="L694">
        <v>0.94615111739913305</v>
      </c>
      <c r="M694">
        <v>32.409999999999997</v>
      </c>
      <c r="N694">
        <v>14.5</v>
      </c>
    </row>
    <row r="695" spans="1:14" x14ac:dyDescent="0.35">
      <c r="A695" s="1" t="s">
        <v>707</v>
      </c>
      <c r="B695" t="str">
        <f>HYPERLINK("https://www.suredividend.com/sure-analysis-research-database/","Hilton Grand Vacations Inc")</f>
        <v>Hilton Grand Vacations Inc</v>
      </c>
      <c r="C695" t="s">
        <v>1802</v>
      </c>
      <c r="D695">
        <v>36.9</v>
      </c>
      <c r="E695">
        <v>0</v>
      </c>
      <c r="F695" t="s">
        <v>1798</v>
      </c>
      <c r="G695" t="s">
        <v>1798</v>
      </c>
      <c r="H695">
        <v>0</v>
      </c>
      <c r="I695">
        <v>4060.7261079999998</v>
      </c>
      <c r="J695">
        <v>10.65807377480315</v>
      </c>
      <c r="K695">
        <v>0</v>
      </c>
      <c r="L695">
        <v>1.184853637532657</v>
      </c>
      <c r="M695">
        <v>51.81</v>
      </c>
      <c r="N695">
        <v>35.86</v>
      </c>
    </row>
    <row r="696" spans="1:14" x14ac:dyDescent="0.35">
      <c r="A696" s="1" t="s">
        <v>708</v>
      </c>
      <c r="B696" t="str">
        <f>HYPERLINK("https://www.suredividend.com/sure-analysis-HI/","Hillenbrand Inc")</f>
        <v>Hillenbrand Inc</v>
      </c>
      <c r="C696" t="s">
        <v>1799</v>
      </c>
      <c r="D696">
        <v>39.770000000000003</v>
      </c>
      <c r="E696">
        <v>2.2127231581594169E-2</v>
      </c>
      <c r="F696">
        <v>1.1494252873563321E-2</v>
      </c>
      <c r="G696">
        <v>9.3474199095688881E-3</v>
      </c>
      <c r="H696">
        <v>0.87370850192472005</v>
      </c>
      <c r="I696">
        <v>2780.5310439999998</v>
      </c>
      <c r="J696">
        <v>4.5709864269768206</v>
      </c>
      <c r="K696">
        <v>0.1004262645890483</v>
      </c>
      <c r="L696">
        <v>1.1831994329986539</v>
      </c>
      <c r="M696">
        <v>53.4</v>
      </c>
      <c r="N696">
        <v>37.56</v>
      </c>
    </row>
    <row r="697" spans="1:14" x14ac:dyDescent="0.35">
      <c r="A697" s="1" t="s">
        <v>709</v>
      </c>
      <c r="B697" t="str">
        <f>HYPERLINK("https://www.suredividend.com/sure-analysis-research-database/","Hibbett Inc")</f>
        <v>Hibbett Inc</v>
      </c>
      <c r="C697" t="s">
        <v>1802</v>
      </c>
      <c r="D697">
        <v>47.12</v>
      </c>
      <c r="E697">
        <v>2.1042382276294999E-2</v>
      </c>
      <c r="F697" t="s">
        <v>1798</v>
      </c>
      <c r="G697" t="s">
        <v>1798</v>
      </c>
      <c r="H697">
        <v>0.99151705285906111</v>
      </c>
      <c r="I697">
        <v>584.02558899999997</v>
      </c>
      <c r="J697">
        <v>5.2722262328705289</v>
      </c>
      <c r="K697">
        <v>0.1170622258393224</v>
      </c>
      <c r="L697">
        <v>1.2549887424124919</v>
      </c>
      <c r="M697">
        <v>74.16</v>
      </c>
      <c r="N697">
        <v>34.43</v>
      </c>
    </row>
    <row r="698" spans="1:14" x14ac:dyDescent="0.35">
      <c r="A698" s="1" t="s">
        <v>710</v>
      </c>
      <c r="B698" t="str">
        <f>HYPERLINK("https://www.suredividend.com/sure-analysis-HIFS/","Hingham Institution For Savings")</f>
        <v>Hingham Institution For Savings</v>
      </c>
      <c r="C698" t="s">
        <v>1801</v>
      </c>
      <c r="D698">
        <v>176.53</v>
      </c>
      <c r="E698">
        <v>1.4275194018013941E-2</v>
      </c>
      <c r="F698">
        <v>3.2786885245901683E-2</v>
      </c>
      <c r="G698">
        <v>9.5105881968669426E-2</v>
      </c>
      <c r="H698">
        <v>2.4797746080445942</v>
      </c>
      <c r="I698">
        <v>371.77217999999999</v>
      </c>
      <c r="J698">
        <v>0</v>
      </c>
      <c r="K698" t="s">
        <v>1798</v>
      </c>
      <c r="L698">
        <v>1.1267525166735479</v>
      </c>
      <c r="M698">
        <v>307.37</v>
      </c>
      <c r="N698">
        <v>169</v>
      </c>
    </row>
    <row r="699" spans="1:14" x14ac:dyDescent="0.35">
      <c r="A699" s="1" t="s">
        <v>711</v>
      </c>
      <c r="B699" t="str">
        <f>HYPERLINK("https://www.suredividend.com/sure-analysis-research-database/","Hims &amp; Hers Health Inc")</f>
        <v>Hims &amp; Hers Health Inc</v>
      </c>
      <c r="C699" t="s">
        <v>1798</v>
      </c>
      <c r="D699">
        <v>6.25</v>
      </c>
      <c r="E699">
        <v>0</v>
      </c>
      <c r="F699" t="s">
        <v>1798</v>
      </c>
      <c r="G699" t="s">
        <v>1798</v>
      </c>
      <c r="H699">
        <v>0</v>
      </c>
      <c r="I699">
        <v>1266.531831</v>
      </c>
      <c r="J699" t="s">
        <v>1798</v>
      </c>
      <c r="K699">
        <v>0</v>
      </c>
      <c r="L699">
        <v>1.5350030138040249</v>
      </c>
      <c r="M699">
        <v>12.34</v>
      </c>
      <c r="N699">
        <v>4.01</v>
      </c>
    </row>
    <row r="700" spans="1:14" x14ac:dyDescent="0.35">
      <c r="A700" s="1" t="s">
        <v>712</v>
      </c>
      <c r="B700" t="str">
        <f>HYPERLINK("https://www.suredividend.com/sure-analysis-research-database/","Hippo Holdings Inc")</f>
        <v>Hippo Holdings Inc</v>
      </c>
      <c r="C700" t="s">
        <v>1798</v>
      </c>
      <c r="D700">
        <v>7.98</v>
      </c>
      <c r="E700">
        <v>0</v>
      </c>
      <c r="F700" t="s">
        <v>1798</v>
      </c>
      <c r="G700" t="s">
        <v>1798</v>
      </c>
      <c r="H700">
        <v>0</v>
      </c>
      <c r="I700">
        <v>188.84959699999999</v>
      </c>
      <c r="J700" t="s">
        <v>1798</v>
      </c>
      <c r="K700">
        <v>0</v>
      </c>
      <c r="L700">
        <v>1.4167705148440239</v>
      </c>
      <c r="M700">
        <v>20.39</v>
      </c>
      <c r="N700">
        <v>6.65</v>
      </c>
    </row>
    <row r="701" spans="1:14" x14ac:dyDescent="0.35">
      <c r="A701" s="1" t="s">
        <v>713</v>
      </c>
      <c r="B701" t="str">
        <f>HYPERLINK("https://www.suredividend.com/sure-analysis-research-database/","Hecla Mining Co.")</f>
        <v>Hecla Mining Co.</v>
      </c>
      <c r="C701" t="s">
        <v>1809</v>
      </c>
      <c r="D701">
        <v>4.1399999999999997</v>
      </c>
      <c r="E701">
        <v>5.4248229013750008E-3</v>
      </c>
      <c r="F701">
        <v>0.66666666666666652</v>
      </c>
      <c r="G701">
        <v>0.20112443398143129</v>
      </c>
      <c r="H701">
        <v>2.2458766811695001E-2</v>
      </c>
      <c r="I701">
        <v>2555.7857250000002</v>
      </c>
      <c r="J701" t="s">
        <v>1798</v>
      </c>
      <c r="K701" t="s">
        <v>1798</v>
      </c>
      <c r="L701">
        <v>1.2823016005208729</v>
      </c>
      <c r="M701">
        <v>6.98</v>
      </c>
      <c r="N701">
        <v>3.55</v>
      </c>
    </row>
    <row r="702" spans="1:14" x14ac:dyDescent="0.35">
      <c r="A702" s="1" t="s">
        <v>714</v>
      </c>
      <c r="B702" t="str">
        <f>HYPERLINK("https://www.suredividend.com/sure-analysis-research-database/","Herbalife Ltd")</f>
        <v>Herbalife Ltd</v>
      </c>
      <c r="C702" t="s">
        <v>1805</v>
      </c>
      <c r="D702">
        <v>13.67</v>
      </c>
      <c r="E702">
        <v>0</v>
      </c>
      <c r="F702" t="s">
        <v>1798</v>
      </c>
      <c r="G702" t="s">
        <v>1798</v>
      </c>
      <c r="H702">
        <v>0</v>
      </c>
      <c r="I702">
        <v>1353.315605</v>
      </c>
      <c r="J702">
        <v>5.993426065057573</v>
      </c>
      <c r="K702">
        <v>0</v>
      </c>
      <c r="L702">
        <v>1.601473412063263</v>
      </c>
      <c r="M702">
        <v>22.73</v>
      </c>
      <c r="N702">
        <v>11.14</v>
      </c>
    </row>
    <row r="703" spans="1:14" x14ac:dyDescent="0.35">
      <c r="A703" s="1" t="s">
        <v>715</v>
      </c>
      <c r="B703" t="str">
        <f>HYPERLINK("https://www.suredividend.com/sure-analysis-research-database/","Heliogen Inc")</f>
        <v>Heliogen Inc</v>
      </c>
      <c r="C703" t="s">
        <v>1798</v>
      </c>
      <c r="D703">
        <v>2.57</v>
      </c>
      <c r="E703">
        <v>0</v>
      </c>
      <c r="F703" t="s">
        <v>1798</v>
      </c>
      <c r="G703" t="s">
        <v>1798</v>
      </c>
      <c r="H703">
        <v>0</v>
      </c>
      <c r="I703">
        <v>527.099287</v>
      </c>
      <c r="J703" t="s">
        <v>1798</v>
      </c>
      <c r="K703">
        <v>0</v>
      </c>
      <c r="L703">
        <v>2.2783704540352971</v>
      </c>
      <c r="M703">
        <v>77</v>
      </c>
      <c r="N703">
        <v>2.4500000000000002</v>
      </c>
    </row>
    <row r="704" spans="1:14" x14ac:dyDescent="0.35">
      <c r="A704" s="1" t="s">
        <v>716</v>
      </c>
      <c r="B704" t="str">
        <f>HYPERLINK("https://www.suredividend.com/sure-analysis-HLI/","Houlihan Lokey Inc")</f>
        <v>Houlihan Lokey Inc</v>
      </c>
      <c r="C704" t="s">
        <v>1801</v>
      </c>
      <c r="D704">
        <v>107.51</v>
      </c>
      <c r="E704">
        <v>2.0463212724397731E-2</v>
      </c>
      <c r="F704">
        <v>3.7735849056603772E-2</v>
      </c>
      <c r="G704">
        <v>0.15292162467409559</v>
      </c>
      <c r="H704">
        <v>2.1421215227547208</v>
      </c>
      <c r="I704">
        <v>5529.3855139999996</v>
      </c>
      <c r="J704">
        <v>22.584499159011731</v>
      </c>
      <c r="K704">
        <v>0.5901161219709975</v>
      </c>
      <c r="L704">
        <v>0.84695875269428111</v>
      </c>
      <c r="M704">
        <v>110.94</v>
      </c>
      <c r="N704">
        <v>77.06</v>
      </c>
    </row>
    <row r="705" spans="1:14" x14ac:dyDescent="0.35">
      <c r="A705" s="1" t="s">
        <v>717</v>
      </c>
      <c r="B705" t="str">
        <f>HYPERLINK("https://www.suredividend.com/sure-analysis-research-database/","Helios Technologies Inc")</f>
        <v>Helios Technologies Inc</v>
      </c>
      <c r="C705" t="s">
        <v>1799</v>
      </c>
      <c r="D705">
        <v>53.46</v>
      </c>
      <c r="E705">
        <v>6.7186660235440008E-3</v>
      </c>
      <c r="F705">
        <v>0</v>
      </c>
      <c r="G705">
        <v>0</v>
      </c>
      <c r="H705">
        <v>0.35917988561868502</v>
      </c>
      <c r="I705">
        <v>1766.0451660000001</v>
      </c>
      <c r="J705">
        <v>25.74935359898522</v>
      </c>
      <c r="K705">
        <v>0.1710380407708024</v>
      </c>
      <c r="L705">
        <v>1.0693237532868269</v>
      </c>
      <c r="M705">
        <v>72.290000000000006</v>
      </c>
      <c r="N705">
        <v>47.95</v>
      </c>
    </row>
    <row r="706" spans="1:14" x14ac:dyDescent="0.35">
      <c r="A706" s="1" t="s">
        <v>718</v>
      </c>
      <c r="B706" t="str">
        <f>HYPERLINK("https://www.suredividend.com/sure-analysis-research-database/","Harmonic, Inc.")</f>
        <v>Harmonic, Inc.</v>
      </c>
      <c r="C706" t="s">
        <v>1804</v>
      </c>
      <c r="D706">
        <v>9.66</v>
      </c>
      <c r="E706">
        <v>0</v>
      </c>
      <c r="F706" t="s">
        <v>1798</v>
      </c>
      <c r="G706" t="s">
        <v>1798</v>
      </c>
      <c r="H706">
        <v>0</v>
      </c>
      <c r="I706">
        <v>1081.0986969999999</v>
      </c>
      <c r="J706">
        <v>50.239262843998333</v>
      </c>
      <c r="K706">
        <v>0</v>
      </c>
      <c r="L706">
        <v>0.88678106179621707</v>
      </c>
      <c r="M706">
        <v>18.43</v>
      </c>
      <c r="N706">
        <v>8.8000000000000007</v>
      </c>
    </row>
    <row r="707" spans="1:14" x14ac:dyDescent="0.35">
      <c r="A707" s="1" t="s">
        <v>719</v>
      </c>
      <c r="B707" t="str">
        <f>HYPERLINK("https://www.suredividend.com/sure-analysis-research-database/","Holley Inc")</f>
        <v>Holley Inc</v>
      </c>
      <c r="C707" t="s">
        <v>1798</v>
      </c>
      <c r="D707">
        <v>4.53</v>
      </c>
      <c r="E707">
        <v>0</v>
      </c>
      <c r="F707" t="s">
        <v>1798</v>
      </c>
      <c r="G707" t="s">
        <v>1798</v>
      </c>
      <c r="H707">
        <v>0</v>
      </c>
      <c r="I707">
        <v>536.09652600000004</v>
      </c>
      <c r="J707">
        <v>15.96523202358617</v>
      </c>
      <c r="K707">
        <v>0</v>
      </c>
      <c r="L707">
        <v>1.5240773888402981</v>
      </c>
      <c r="M707">
        <v>8.06</v>
      </c>
      <c r="N707">
        <v>1.88</v>
      </c>
    </row>
    <row r="708" spans="1:14" x14ac:dyDescent="0.35">
      <c r="A708" s="1" t="s">
        <v>720</v>
      </c>
      <c r="B708" t="str">
        <f>HYPERLINK("https://www.suredividend.com/sure-analysis-research-database/","Hillman Solutions Corp")</f>
        <v>Hillman Solutions Corp</v>
      </c>
      <c r="C708" t="s">
        <v>1798</v>
      </c>
      <c r="D708">
        <v>7.43</v>
      </c>
      <c r="E708">
        <v>0</v>
      </c>
      <c r="F708" t="s">
        <v>1798</v>
      </c>
      <c r="G708" t="s">
        <v>1798</v>
      </c>
      <c r="H708">
        <v>0</v>
      </c>
      <c r="I708">
        <v>1447.322422</v>
      </c>
      <c r="J708" t="s">
        <v>1798</v>
      </c>
      <c r="K708">
        <v>0</v>
      </c>
      <c r="L708">
        <v>1.3583361591046299</v>
      </c>
      <c r="M708">
        <v>10.28</v>
      </c>
      <c r="N708">
        <v>6.6</v>
      </c>
    </row>
    <row r="709" spans="1:14" x14ac:dyDescent="0.35">
      <c r="A709" s="1" t="s">
        <v>721</v>
      </c>
      <c r="B709" t="str">
        <f>HYPERLINK("https://www.suredividend.com/sure-analysis-research-database/","Hamilton Lane Inc")</f>
        <v>Hamilton Lane Inc</v>
      </c>
      <c r="C709" t="s">
        <v>1801</v>
      </c>
      <c r="D709">
        <v>85.86</v>
      </c>
      <c r="E709">
        <v>1.9407555885125001E-2</v>
      </c>
      <c r="F709">
        <v>0.1125</v>
      </c>
      <c r="G709">
        <v>0.15931169051681421</v>
      </c>
      <c r="H709">
        <v>1.666332748296862</v>
      </c>
      <c r="I709">
        <v>3313.2135039999998</v>
      </c>
      <c r="J709">
        <v>30.103155530700882</v>
      </c>
      <c r="K709">
        <v>0.81284524307164008</v>
      </c>
      <c r="L709">
        <v>1.2253533924989739</v>
      </c>
      <c r="M709">
        <v>93.42</v>
      </c>
      <c r="N709">
        <v>54.13</v>
      </c>
    </row>
    <row r="710" spans="1:14" x14ac:dyDescent="0.35">
      <c r="A710" s="1" t="s">
        <v>722</v>
      </c>
      <c r="B710" t="str">
        <f>HYPERLINK("https://www.suredividend.com/sure-analysis-research-database/","Cue Health Inc")</f>
        <v>Cue Health Inc</v>
      </c>
      <c r="C710" t="s">
        <v>1798</v>
      </c>
      <c r="D710">
        <v>0.41</v>
      </c>
      <c r="E710">
        <v>0</v>
      </c>
      <c r="F710" t="s">
        <v>1798</v>
      </c>
      <c r="G710" t="s">
        <v>1798</v>
      </c>
      <c r="H710">
        <v>0</v>
      </c>
      <c r="I710">
        <v>62.939618000000003</v>
      </c>
      <c r="J710">
        <v>0</v>
      </c>
      <c r="K710" t="s">
        <v>1798</v>
      </c>
      <c r="L710">
        <v>1.652436004216981</v>
      </c>
      <c r="M710">
        <v>4.38</v>
      </c>
      <c r="N710">
        <v>0.31</v>
      </c>
    </row>
    <row r="711" spans="1:14" x14ac:dyDescent="0.35">
      <c r="A711" s="1" t="s">
        <v>723</v>
      </c>
      <c r="B711" t="str">
        <f>HYPERLINK("https://www.suredividend.com/sure-analysis-research-database/","HilleVax Inc")</f>
        <v>HilleVax Inc</v>
      </c>
      <c r="C711" t="s">
        <v>1798</v>
      </c>
      <c r="D711">
        <v>11.81</v>
      </c>
      <c r="E711">
        <v>0</v>
      </c>
      <c r="F711" t="s">
        <v>1798</v>
      </c>
      <c r="G711" t="s">
        <v>1798</v>
      </c>
      <c r="H711">
        <v>0</v>
      </c>
      <c r="I711">
        <v>571.80395499999997</v>
      </c>
      <c r="J711">
        <v>0</v>
      </c>
      <c r="K711" t="s">
        <v>1798</v>
      </c>
      <c r="L711">
        <v>1.1750514921691679</v>
      </c>
      <c r="M711">
        <v>23.1</v>
      </c>
      <c r="N711">
        <v>11.21</v>
      </c>
    </row>
    <row r="712" spans="1:14" x14ac:dyDescent="0.35">
      <c r="A712" s="1" t="s">
        <v>724</v>
      </c>
      <c r="B712" t="str">
        <f>HYPERLINK("https://www.suredividend.com/sure-analysis-research-database/","Helix Energy Solutions Group Inc")</f>
        <v>Helix Energy Solutions Group Inc</v>
      </c>
      <c r="C712" t="s">
        <v>1808</v>
      </c>
      <c r="D712">
        <v>10.74</v>
      </c>
      <c r="E712">
        <v>0</v>
      </c>
      <c r="F712" t="s">
        <v>1798</v>
      </c>
      <c r="G712" t="s">
        <v>1798</v>
      </c>
      <c r="H712">
        <v>0</v>
      </c>
      <c r="I712">
        <v>1619.7829360000001</v>
      </c>
      <c r="J712" t="s">
        <v>1798</v>
      </c>
      <c r="K712">
        <v>0</v>
      </c>
      <c r="L712">
        <v>0.71025272818877405</v>
      </c>
      <c r="M712">
        <v>11.88</v>
      </c>
      <c r="N712">
        <v>4.3099999999999996</v>
      </c>
    </row>
    <row r="713" spans="1:14" x14ac:dyDescent="0.35">
      <c r="A713" s="1" t="s">
        <v>725</v>
      </c>
      <c r="B713" t="str">
        <f>HYPERLINK("https://www.suredividend.com/sure-analysis-HMN/","Horace Mann Educators Corp.")</f>
        <v>Horace Mann Educators Corp.</v>
      </c>
      <c r="C713" t="s">
        <v>1801</v>
      </c>
      <c r="D713">
        <v>30.83</v>
      </c>
      <c r="E713">
        <v>4.2815439506973731E-2</v>
      </c>
      <c r="F713">
        <v>3.125E-2</v>
      </c>
      <c r="G713">
        <v>2.9754778570413091E-2</v>
      </c>
      <c r="H713">
        <v>1.2889593824257699</v>
      </c>
      <c r="I713">
        <v>1259.168017</v>
      </c>
      <c r="J713" t="s">
        <v>1798</v>
      </c>
      <c r="K713" t="s">
        <v>1798</v>
      </c>
      <c r="L713">
        <v>0.46706224610339298</v>
      </c>
      <c r="M713">
        <v>38.54</v>
      </c>
      <c r="N713">
        <v>27.49</v>
      </c>
    </row>
    <row r="714" spans="1:14" x14ac:dyDescent="0.35">
      <c r="A714" s="1" t="s">
        <v>726</v>
      </c>
      <c r="B714" t="str">
        <f>HYPERLINK("https://www.suredividend.com/sure-analysis-research-database/","Home Point Capital Inc")</f>
        <v>Home Point Capital Inc</v>
      </c>
      <c r="C714" t="s">
        <v>1798</v>
      </c>
      <c r="D714">
        <v>2.3199999999999998</v>
      </c>
      <c r="E714">
        <v>0</v>
      </c>
      <c r="F714" t="s">
        <v>1798</v>
      </c>
      <c r="G714" t="s">
        <v>1798</v>
      </c>
      <c r="H714">
        <v>0</v>
      </c>
      <c r="I714">
        <v>0</v>
      </c>
      <c r="J714">
        <v>0</v>
      </c>
      <c r="K714" t="s">
        <v>1798</v>
      </c>
    </row>
    <row r="715" spans="1:14" x14ac:dyDescent="0.35">
      <c r="A715" s="1" t="s">
        <v>727</v>
      </c>
      <c r="B715" t="str">
        <f>HYPERLINK("https://www.suredividend.com/sure-analysis-research-database/","HomeStreet Inc")</f>
        <v>HomeStreet Inc</v>
      </c>
      <c r="C715" t="s">
        <v>1801</v>
      </c>
      <c r="D715">
        <v>6.17</v>
      </c>
      <c r="E715">
        <v>0.13930925455295801</v>
      </c>
      <c r="F715" t="s">
        <v>1798</v>
      </c>
      <c r="G715" t="s">
        <v>1798</v>
      </c>
      <c r="H715">
        <v>0.85953810059175206</v>
      </c>
      <c r="I715">
        <v>115.959165</v>
      </c>
      <c r="J715">
        <v>46.682433615136873</v>
      </c>
      <c r="K715">
        <v>6.4968866257879974</v>
      </c>
      <c r="L715">
        <v>1.5121749931883111</v>
      </c>
      <c r="M715">
        <v>30.11</v>
      </c>
      <c r="N715">
        <v>4.53</v>
      </c>
    </row>
    <row r="716" spans="1:14" x14ac:dyDescent="0.35">
      <c r="A716" s="1" t="s">
        <v>728</v>
      </c>
      <c r="B716" t="str">
        <f>HYPERLINK("https://www.suredividend.com/sure-analysis-HNI/","HNI Corp.")</f>
        <v>HNI Corp.</v>
      </c>
      <c r="C716" t="s">
        <v>1799</v>
      </c>
      <c r="D716">
        <v>35.49</v>
      </c>
      <c r="E716">
        <v>3.6066497604959141E-2</v>
      </c>
      <c r="F716">
        <v>0</v>
      </c>
      <c r="G716">
        <v>1.6402190778280978E-2</v>
      </c>
      <c r="H716">
        <v>1.2597690386169189</v>
      </c>
      <c r="I716">
        <v>1652.016273</v>
      </c>
      <c r="J716">
        <v>24.2153011225118</v>
      </c>
      <c r="K716">
        <v>0.77763520902278938</v>
      </c>
      <c r="L716">
        <v>0.88656638830649903</v>
      </c>
      <c r="M716">
        <v>36.72</v>
      </c>
      <c r="N716">
        <v>24.07</v>
      </c>
    </row>
    <row r="717" spans="1:14" x14ac:dyDescent="0.35">
      <c r="A717" s="1" t="s">
        <v>729</v>
      </c>
      <c r="B717" t="str">
        <f>HYPERLINK("https://www.suredividend.com/sure-analysis-research-database/","Honest Company Inc (The )")</f>
        <v>Honest Company Inc (The )</v>
      </c>
      <c r="C717" t="s">
        <v>1798</v>
      </c>
      <c r="D717">
        <v>1.1499999999999999</v>
      </c>
      <c r="E717">
        <v>0</v>
      </c>
      <c r="F717" t="s">
        <v>1798</v>
      </c>
      <c r="G717" t="s">
        <v>1798</v>
      </c>
      <c r="H717">
        <v>0</v>
      </c>
      <c r="I717">
        <v>107.446241</v>
      </c>
      <c r="J717" t="s">
        <v>1798</v>
      </c>
      <c r="K717">
        <v>0</v>
      </c>
      <c r="L717">
        <v>1.2227170191422709</v>
      </c>
      <c r="M717">
        <v>3.75</v>
      </c>
      <c r="N717">
        <v>1.06</v>
      </c>
    </row>
    <row r="718" spans="1:14" x14ac:dyDescent="0.35">
      <c r="A718" s="1" t="s">
        <v>730</v>
      </c>
      <c r="B718" t="str">
        <f>HYPERLINK("https://www.suredividend.com/sure-analysis-HOMB/","Home Bancshares Inc")</f>
        <v>Home Bancshares Inc</v>
      </c>
      <c r="C718" t="s">
        <v>1801</v>
      </c>
      <c r="D718">
        <v>20.97</v>
      </c>
      <c r="E718">
        <v>3.4334763948497847E-2</v>
      </c>
      <c r="F718">
        <v>9.0909090909090828E-2</v>
      </c>
      <c r="G718">
        <v>8.4471771197698553E-2</v>
      </c>
      <c r="H718">
        <v>0.69679503338380511</v>
      </c>
      <c r="I718">
        <v>4248.132063</v>
      </c>
      <c r="J718">
        <v>9.8194326792256561</v>
      </c>
      <c r="K718">
        <v>0.32867690253953069</v>
      </c>
      <c r="L718">
        <v>1.0319042278493651</v>
      </c>
      <c r="M718">
        <v>25.46</v>
      </c>
      <c r="N718">
        <v>19.45</v>
      </c>
    </row>
    <row r="719" spans="1:14" x14ac:dyDescent="0.35">
      <c r="A719" s="1" t="s">
        <v>731</v>
      </c>
      <c r="B719" t="str">
        <f>HYPERLINK("https://www.suredividend.com/sure-analysis-research-database/","HarborOne Bancorp Inc.")</f>
        <v>HarborOne Bancorp Inc.</v>
      </c>
      <c r="C719" t="s">
        <v>1801</v>
      </c>
      <c r="D719">
        <v>9.41</v>
      </c>
      <c r="E719">
        <v>3.0873979559641E-2</v>
      </c>
      <c r="F719" t="s">
        <v>1798</v>
      </c>
      <c r="G719" t="s">
        <v>1798</v>
      </c>
      <c r="H719">
        <v>0.29052414765622298</v>
      </c>
      <c r="I719">
        <v>437.99294800000001</v>
      </c>
      <c r="J719">
        <v>11.492559837842091</v>
      </c>
      <c r="K719">
        <v>0.34430451251033778</v>
      </c>
      <c r="L719">
        <v>0.93526899440190603</v>
      </c>
      <c r="M719">
        <v>15.02</v>
      </c>
      <c r="N719">
        <v>7.33</v>
      </c>
    </row>
    <row r="720" spans="1:14" x14ac:dyDescent="0.35">
      <c r="A720" s="1" t="s">
        <v>732</v>
      </c>
      <c r="B720" t="str">
        <f>HYPERLINK("https://www.suredividend.com/sure-analysis-research-database/","Hope Bancorp Inc")</f>
        <v>Hope Bancorp Inc</v>
      </c>
      <c r="C720" t="s">
        <v>1801</v>
      </c>
      <c r="D720">
        <v>8.9499999999999993</v>
      </c>
      <c r="E720">
        <v>6.0735160307269997E-2</v>
      </c>
      <c r="F720" t="s">
        <v>1798</v>
      </c>
      <c r="G720" t="s">
        <v>1798</v>
      </c>
      <c r="H720">
        <v>0.54357968475007101</v>
      </c>
      <c r="I720">
        <v>1074.1630869999999</v>
      </c>
      <c r="J720">
        <v>5.8827950912954421</v>
      </c>
      <c r="K720">
        <v>0.35761821365136248</v>
      </c>
      <c r="L720">
        <v>1.13965528451489</v>
      </c>
      <c r="M720">
        <v>13.18</v>
      </c>
      <c r="N720">
        <v>7.32</v>
      </c>
    </row>
    <row r="721" spans="1:14" x14ac:dyDescent="0.35">
      <c r="A721" s="1" t="s">
        <v>733</v>
      </c>
      <c r="B721" t="str">
        <f>HYPERLINK("https://www.suredividend.com/sure-analysis-research-database/","Anywhere Real Estate Inc")</f>
        <v>Anywhere Real Estate Inc</v>
      </c>
      <c r="C721" t="s">
        <v>1798</v>
      </c>
      <c r="D721">
        <v>4.95</v>
      </c>
      <c r="E721">
        <v>0</v>
      </c>
      <c r="F721" t="s">
        <v>1798</v>
      </c>
      <c r="G721" t="s">
        <v>1798</v>
      </c>
      <c r="H721">
        <v>0</v>
      </c>
      <c r="I721">
        <v>546.90040799999997</v>
      </c>
      <c r="J721" t="s">
        <v>1798</v>
      </c>
      <c r="K721">
        <v>0</v>
      </c>
      <c r="L721">
        <v>2.297793692872927</v>
      </c>
      <c r="M721">
        <v>9.85</v>
      </c>
      <c r="N721">
        <v>4.33</v>
      </c>
    </row>
    <row r="722" spans="1:14" x14ac:dyDescent="0.35">
      <c r="A722" s="1" t="s">
        <v>734</v>
      </c>
      <c r="B722" t="str">
        <f>HYPERLINK("https://www.suredividend.com/sure-analysis-research-database/","Hovnanian Enterprises, Inc.")</f>
        <v>Hovnanian Enterprises, Inc.</v>
      </c>
      <c r="C722" t="s">
        <v>1802</v>
      </c>
      <c r="D722">
        <v>79.88</v>
      </c>
      <c r="E722">
        <v>0</v>
      </c>
      <c r="F722" t="s">
        <v>1798</v>
      </c>
      <c r="G722" t="s">
        <v>1798</v>
      </c>
      <c r="H722">
        <v>0</v>
      </c>
      <c r="I722">
        <v>427.01195999999999</v>
      </c>
      <c r="J722">
        <v>3.0313559779931132</v>
      </c>
      <c r="K722">
        <v>0</v>
      </c>
      <c r="L722">
        <v>2.3134122479783499</v>
      </c>
      <c r="M722">
        <v>127.99</v>
      </c>
      <c r="N722">
        <v>33.200000000000003</v>
      </c>
    </row>
    <row r="723" spans="1:14" x14ac:dyDescent="0.35">
      <c r="A723" s="1" t="s">
        <v>735</v>
      </c>
      <c r="B723" t="str">
        <f>HYPERLINK("https://www.suredividend.com/sure-analysis-HP/","Helmerich &amp; Payne, Inc.")</f>
        <v>Helmerich &amp; Payne, Inc.</v>
      </c>
      <c r="C723" t="s">
        <v>1808</v>
      </c>
      <c r="D723">
        <v>43.24</v>
      </c>
      <c r="E723">
        <v>2.3126734505087881E-2</v>
      </c>
      <c r="F723">
        <v>6.3829787234042534E-2</v>
      </c>
      <c r="G723">
        <v>-0.18841066387034591</v>
      </c>
      <c r="H723">
        <v>1.920777308994416</v>
      </c>
      <c r="I723">
        <v>4299.2029839999996</v>
      </c>
      <c r="J723">
        <v>10.790684618265241</v>
      </c>
      <c r="K723">
        <v>0.50546771289326742</v>
      </c>
      <c r="L723">
        <v>0.94826857876095505</v>
      </c>
      <c r="M723">
        <v>53.39</v>
      </c>
      <c r="N723">
        <v>29.98</v>
      </c>
    </row>
    <row r="724" spans="1:14" x14ac:dyDescent="0.35">
      <c r="A724" s="1" t="s">
        <v>736</v>
      </c>
      <c r="B724" t="str">
        <f>HYPERLINK("https://www.suredividend.com/sure-analysis-research-database/","HighPeak Energy Inc")</f>
        <v>HighPeak Energy Inc</v>
      </c>
      <c r="C724" t="s">
        <v>1798</v>
      </c>
      <c r="D724">
        <v>17.39</v>
      </c>
      <c r="E724">
        <v>5.7268796998810002E-3</v>
      </c>
      <c r="F724" t="s">
        <v>1798</v>
      </c>
      <c r="G724" t="s">
        <v>1798</v>
      </c>
      <c r="H724">
        <v>9.9590437980942012E-2</v>
      </c>
      <c r="I724">
        <v>2229.7618510000002</v>
      </c>
      <c r="J724">
        <v>9.4143554740824236</v>
      </c>
      <c r="K724">
        <v>4.9547481582558221E-2</v>
      </c>
      <c r="L724">
        <v>1.2553149497469549</v>
      </c>
      <c r="M724">
        <v>29.94</v>
      </c>
      <c r="N724">
        <v>10.4</v>
      </c>
    </row>
    <row r="725" spans="1:14" x14ac:dyDescent="0.35">
      <c r="A725" s="1" t="s">
        <v>737</v>
      </c>
      <c r="B725" t="str">
        <f>HYPERLINK("https://www.suredividend.com/sure-analysis-research-database/","Healthequity Inc")</f>
        <v>Healthequity Inc</v>
      </c>
      <c r="C725" t="s">
        <v>1803</v>
      </c>
      <c r="D725">
        <v>74.5</v>
      </c>
      <c r="E725">
        <v>0</v>
      </c>
      <c r="F725" t="s">
        <v>1798</v>
      </c>
      <c r="G725" t="s">
        <v>1798</v>
      </c>
      <c r="H725">
        <v>0</v>
      </c>
      <c r="I725">
        <v>6377.2</v>
      </c>
      <c r="J725">
        <v>497.24756335282649</v>
      </c>
      <c r="K725">
        <v>0</v>
      </c>
      <c r="L725">
        <v>0.305689067742899</v>
      </c>
      <c r="M725">
        <v>79.2</v>
      </c>
      <c r="N725">
        <v>48.86</v>
      </c>
    </row>
    <row r="726" spans="1:14" x14ac:dyDescent="0.35">
      <c r="A726" s="1" t="s">
        <v>738</v>
      </c>
      <c r="B726" t="str">
        <f>HYPERLINK("https://www.suredividend.com/sure-analysis-research-database/","Herc Holdings Inc")</f>
        <v>Herc Holdings Inc</v>
      </c>
      <c r="C726" t="s">
        <v>1799</v>
      </c>
      <c r="D726">
        <v>107.77</v>
      </c>
      <c r="E726">
        <v>2.2765344077302001E-2</v>
      </c>
      <c r="F726" t="s">
        <v>1798</v>
      </c>
      <c r="G726" t="s">
        <v>1798</v>
      </c>
      <c r="H726">
        <v>2.4534211312108578</v>
      </c>
      <c r="I726">
        <v>3071.4450000000002</v>
      </c>
      <c r="J726">
        <v>8.9755844535359444</v>
      </c>
      <c r="K726">
        <v>0.21168430812863309</v>
      </c>
      <c r="L726">
        <v>1.61323408077929</v>
      </c>
      <c r="M726">
        <v>159.97</v>
      </c>
      <c r="N726">
        <v>92.92</v>
      </c>
    </row>
    <row r="727" spans="1:14" x14ac:dyDescent="0.35">
      <c r="A727" s="1" t="s">
        <v>739</v>
      </c>
      <c r="B727" t="str">
        <f>HYPERLINK("https://www.suredividend.com/sure-analysis-research-database/","Harmony Biosciences Holdings Inc")</f>
        <v>Harmony Biosciences Holdings Inc</v>
      </c>
      <c r="C727" t="s">
        <v>1798</v>
      </c>
      <c r="D727">
        <v>21.11</v>
      </c>
      <c r="E727">
        <v>0</v>
      </c>
      <c r="F727" t="s">
        <v>1798</v>
      </c>
      <c r="G727" t="s">
        <v>1798</v>
      </c>
      <c r="H727">
        <v>0</v>
      </c>
      <c r="I727">
        <v>1266.603061</v>
      </c>
      <c r="J727">
        <v>6.3255195640665809</v>
      </c>
      <c r="K727">
        <v>0</v>
      </c>
      <c r="L727">
        <v>0.73271768628199108</v>
      </c>
      <c r="M727">
        <v>62.09</v>
      </c>
      <c r="N727">
        <v>18.61</v>
      </c>
    </row>
    <row r="728" spans="1:14" x14ac:dyDescent="0.35">
      <c r="A728" s="1" t="s">
        <v>740</v>
      </c>
      <c r="B728" t="str">
        <f>HYPERLINK("https://www.suredividend.com/sure-analysis-research-database/","HireRight Holdings Corp")</f>
        <v>HireRight Holdings Corp</v>
      </c>
      <c r="C728" t="s">
        <v>1798</v>
      </c>
      <c r="D728">
        <v>10.11</v>
      </c>
      <c r="E728">
        <v>0</v>
      </c>
      <c r="F728" t="s">
        <v>1798</v>
      </c>
      <c r="G728" t="s">
        <v>1798</v>
      </c>
      <c r="H728">
        <v>0</v>
      </c>
      <c r="I728">
        <v>704.61802699999998</v>
      </c>
      <c r="J728">
        <v>6.8300104411379827</v>
      </c>
      <c r="K728">
        <v>0</v>
      </c>
      <c r="L728">
        <v>0.93585493255670804</v>
      </c>
      <c r="M728">
        <v>16.89</v>
      </c>
      <c r="N728">
        <v>6.88</v>
      </c>
    </row>
    <row r="729" spans="1:14" x14ac:dyDescent="0.35">
      <c r="A729" s="1" t="s">
        <v>741</v>
      </c>
      <c r="B729" t="str">
        <f>HYPERLINK("https://www.suredividend.com/sure-analysis-research-database/","Heron Therapeutics Inc")</f>
        <v>Heron Therapeutics Inc</v>
      </c>
      <c r="C729" t="s">
        <v>1803</v>
      </c>
      <c r="D729">
        <v>0.72270000000000001</v>
      </c>
      <c r="E729">
        <v>0</v>
      </c>
      <c r="F729" t="s">
        <v>1798</v>
      </c>
      <c r="G729" t="s">
        <v>1798</v>
      </c>
      <c r="H729">
        <v>0</v>
      </c>
      <c r="I729">
        <v>101.72672900000001</v>
      </c>
      <c r="J729">
        <v>0</v>
      </c>
      <c r="K729" t="s">
        <v>1798</v>
      </c>
      <c r="L729">
        <v>1.5962084718783951</v>
      </c>
      <c r="M729">
        <v>4.32</v>
      </c>
      <c r="N729">
        <v>0.71920000000000006</v>
      </c>
    </row>
    <row r="730" spans="1:14" x14ac:dyDescent="0.35">
      <c r="A730" s="1" t="s">
        <v>742</v>
      </c>
      <c r="B730" t="str">
        <f>HYPERLINK("https://www.suredividend.com/sure-analysis-research-database/","Heidrick &amp; Struggles International, Inc.")</f>
        <v>Heidrick &amp; Struggles International, Inc.</v>
      </c>
      <c r="C730" t="s">
        <v>1799</v>
      </c>
      <c r="D730">
        <v>25.48</v>
      </c>
      <c r="E730">
        <v>2.3195415093683999E-2</v>
      </c>
      <c r="F730">
        <v>0</v>
      </c>
      <c r="G730">
        <v>2.9033661071187881E-2</v>
      </c>
      <c r="H730">
        <v>0.59101917658708802</v>
      </c>
      <c r="I730">
        <v>509.79800499999999</v>
      </c>
      <c r="J730">
        <v>8.2977636817604736</v>
      </c>
      <c r="K730">
        <v>0.1989963557532283</v>
      </c>
      <c r="L730">
        <v>1.034234266984857</v>
      </c>
      <c r="M730">
        <v>34.21</v>
      </c>
      <c r="N730">
        <v>22.06</v>
      </c>
    </row>
    <row r="731" spans="1:14" x14ac:dyDescent="0.35">
      <c r="A731" s="1" t="s">
        <v>743</v>
      </c>
      <c r="B731" t="str">
        <f>HYPERLINK("https://www.suredividend.com/sure-analysis-research-database/","Healthstream Inc")</f>
        <v>Healthstream Inc</v>
      </c>
      <c r="C731" t="s">
        <v>1803</v>
      </c>
      <c r="D731">
        <v>22.38</v>
      </c>
      <c r="E731">
        <v>3.3437878376849999E-3</v>
      </c>
      <c r="F731" t="s">
        <v>1798</v>
      </c>
      <c r="G731" t="s">
        <v>1798</v>
      </c>
      <c r="H731">
        <v>7.4833971807403005E-2</v>
      </c>
      <c r="I731">
        <v>686.76539200000002</v>
      </c>
      <c r="J731">
        <v>53.357578419703209</v>
      </c>
      <c r="K731">
        <v>0.17851615412071331</v>
      </c>
      <c r="L731">
        <v>0.51596908072547809</v>
      </c>
      <c r="M731">
        <v>27.57</v>
      </c>
      <c r="N731">
        <v>20.420000000000002</v>
      </c>
    </row>
    <row r="732" spans="1:14" x14ac:dyDescent="0.35">
      <c r="A732" s="1" t="s">
        <v>744</v>
      </c>
      <c r="B732" t="str">
        <f>HYPERLINK("https://www.suredividend.com/sure-analysis-research-database/","Hersha Hospitality Trust")</f>
        <v>Hersha Hospitality Trust</v>
      </c>
      <c r="C732" t="s">
        <v>1800</v>
      </c>
      <c r="D732">
        <v>9.8800000000000008</v>
      </c>
      <c r="E732">
        <v>2.5000065082597001E-2</v>
      </c>
      <c r="F732" t="s">
        <v>1798</v>
      </c>
      <c r="G732" t="s">
        <v>1798</v>
      </c>
      <c r="H732">
        <v>0.247000643016062</v>
      </c>
      <c r="I732">
        <v>396.23656999999997</v>
      </c>
      <c r="J732">
        <v>3.0816105807234351</v>
      </c>
      <c r="K732">
        <v>7.9677626779374844E-2</v>
      </c>
      <c r="L732">
        <v>1.2059641464665569</v>
      </c>
      <c r="M732">
        <v>10.039999999999999</v>
      </c>
      <c r="N732">
        <v>5.56</v>
      </c>
    </row>
    <row r="733" spans="1:14" x14ac:dyDescent="0.35">
      <c r="A733" s="1" t="s">
        <v>745</v>
      </c>
      <c r="B733" t="str">
        <f>HYPERLINK("https://www.suredividend.com/sure-analysis-research-database/","HomeTrust Bancshares Inc")</f>
        <v>HomeTrust Bancshares Inc</v>
      </c>
      <c r="C733" t="s">
        <v>1801</v>
      </c>
      <c r="D733">
        <v>20.45</v>
      </c>
      <c r="E733">
        <v>1.9428339330406001E-2</v>
      </c>
      <c r="F733">
        <v>0.1111111111111112</v>
      </c>
      <c r="G733">
        <v>0.10756634324829011</v>
      </c>
      <c r="H733">
        <v>0.39730953930681001</v>
      </c>
      <c r="I733">
        <v>355.40682800000002</v>
      </c>
      <c r="J733">
        <v>0</v>
      </c>
      <c r="K733" t="s">
        <v>1798</v>
      </c>
      <c r="L733">
        <v>0.76454723555011006</v>
      </c>
      <c r="M733">
        <v>30.5</v>
      </c>
      <c r="N733">
        <v>17.850000000000001</v>
      </c>
    </row>
    <row r="734" spans="1:14" x14ac:dyDescent="0.35">
      <c r="A734" s="1" t="s">
        <v>746</v>
      </c>
      <c r="B734" t="str">
        <f>HYPERLINK("https://www.suredividend.com/sure-analysis-research-database/","Heritage Commerce Corp.")</f>
        <v>Heritage Commerce Corp.</v>
      </c>
      <c r="C734" t="s">
        <v>1801</v>
      </c>
      <c r="D734">
        <v>8.3800000000000008</v>
      </c>
      <c r="E734">
        <v>6.0709531825466012E-2</v>
      </c>
      <c r="F734">
        <v>0</v>
      </c>
      <c r="G734">
        <v>3.3975226531950183E-2</v>
      </c>
      <c r="H734">
        <v>0.50874587669740601</v>
      </c>
      <c r="I734">
        <v>511.94387899999998</v>
      </c>
      <c r="J734">
        <v>6.9006291974443306</v>
      </c>
      <c r="K734">
        <v>0.42045113776645132</v>
      </c>
      <c r="L734">
        <v>1.171538927897616</v>
      </c>
      <c r="M734">
        <v>14.25</v>
      </c>
      <c r="N734">
        <v>6.48</v>
      </c>
    </row>
    <row r="735" spans="1:14" x14ac:dyDescent="0.35">
      <c r="A735" s="1" t="s">
        <v>747</v>
      </c>
      <c r="B735" t="str">
        <f>HYPERLINK("https://www.suredividend.com/sure-analysis-research-database/","Hilltop Holdings Inc")</f>
        <v>Hilltop Holdings Inc</v>
      </c>
      <c r="C735" t="s">
        <v>1801</v>
      </c>
      <c r="D735">
        <v>27.75</v>
      </c>
      <c r="E735">
        <v>2.2505342010743001E-2</v>
      </c>
      <c r="F735">
        <v>6.6666666666666652E-2</v>
      </c>
      <c r="G735">
        <v>0.1486983549970351</v>
      </c>
      <c r="H735">
        <v>0.62452324079813804</v>
      </c>
      <c r="I735">
        <v>1806.2976719999999</v>
      </c>
      <c r="J735">
        <v>17.78604795336609</v>
      </c>
      <c r="K735">
        <v>0.39778550369308152</v>
      </c>
      <c r="L735">
        <v>1.2614686286939989</v>
      </c>
      <c r="M735">
        <v>34.51</v>
      </c>
      <c r="N735">
        <v>24.17</v>
      </c>
    </row>
    <row r="736" spans="1:14" x14ac:dyDescent="0.35">
      <c r="A736" s="1" t="s">
        <v>748</v>
      </c>
      <c r="B736" t="str">
        <f>HYPERLINK("https://www.suredividend.com/sure-analysis-research-database/","Heartland Express, Inc.")</f>
        <v>Heartland Express, Inc.</v>
      </c>
      <c r="C736" t="s">
        <v>1799</v>
      </c>
      <c r="D736">
        <v>14.8</v>
      </c>
      <c r="E736">
        <v>5.3863043565360001E-3</v>
      </c>
      <c r="F736">
        <v>0</v>
      </c>
      <c r="G736">
        <v>0</v>
      </c>
      <c r="H736">
        <v>7.9717304476739012E-2</v>
      </c>
      <c r="I736">
        <v>1169.6063340000001</v>
      </c>
      <c r="J736">
        <v>19.40096098596689</v>
      </c>
      <c r="K736">
        <v>0.10449246883829991</v>
      </c>
      <c r="L736">
        <v>0.89175503951765311</v>
      </c>
      <c r="M736">
        <v>18.05</v>
      </c>
      <c r="N736">
        <v>13.33</v>
      </c>
    </row>
    <row r="737" spans="1:14" x14ac:dyDescent="0.35">
      <c r="A737" s="1" t="s">
        <v>749</v>
      </c>
      <c r="B737" t="str">
        <f>HYPERLINK("https://www.suredividend.com/sure-analysis-research-database/","Heartland Financial USA, Inc.")</f>
        <v>Heartland Financial USA, Inc.</v>
      </c>
      <c r="C737" t="s">
        <v>1801</v>
      </c>
      <c r="D737">
        <v>28.98</v>
      </c>
      <c r="E737">
        <v>3.9829566267533013E-2</v>
      </c>
      <c r="F737">
        <v>7.1428571428571397E-2</v>
      </c>
      <c r="G737">
        <v>0.43096908110525561</v>
      </c>
      <c r="H737">
        <v>1.1542608304331179</v>
      </c>
      <c r="I737">
        <v>1236.00694</v>
      </c>
      <c r="J737">
        <v>5.8478753791635132</v>
      </c>
      <c r="K737">
        <v>0.23318400614810469</v>
      </c>
      <c r="L737">
        <v>0.98092296322437911</v>
      </c>
      <c r="M737">
        <v>49.51</v>
      </c>
      <c r="N737">
        <v>25.62</v>
      </c>
    </row>
    <row r="738" spans="1:14" x14ac:dyDescent="0.35">
      <c r="A738" s="1" t="s">
        <v>750</v>
      </c>
      <c r="B738" t="str">
        <f>HYPERLINK("https://www.suredividend.com/sure-analysis-research-database/","Hub Group, Inc.")</f>
        <v>Hub Group, Inc.</v>
      </c>
      <c r="C738" t="s">
        <v>1799</v>
      </c>
      <c r="D738">
        <v>77.42</v>
      </c>
      <c r="E738">
        <v>0</v>
      </c>
      <c r="F738" t="s">
        <v>1798</v>
      </c>
      <c r="G738" t="s">
        <v>1798</v>
      </c>
      <c r="H738">
        <v>0</v>
      </c>
      <c r="I738">
        <v>2432.17632</v>
      </c>
      <c r="J738">
        <v>8.8480097771423587</v>
      </c>
      <c r="K738">
        <v>0</v>
      </c>
      <c r="L738">
        <v>1.0464964558559049</v>
      </c>
      <c r="M738">
        <v>104.67</v>
      </c>
      <c r="N738">
        <v>67.900000000000006</v>
      </c>
    </row>
    <row r="739" spans="1:14" x14ac:dyDescent="0.35">
      <c r="A739" s="1" t="s">
        <v>751</v>
      </c>
      <c r="B739" t="str">
        <f>HYPERLINK("https://www.suredividend.com/sure-analysis-research-database/","Humacyte Inc")</f>
        <v>Humacyte Inc</v>
      </c>
      <c r="C739" t="s">
        <v>1798</v>
      </c>
      <c r="D739">
        <v>2.58</v>
      </c>
      <c r="E739">
        <v>0</v>
      </c>
      <c r="F739" t="s">
        <v>1798</v>
      </c>
      <c r="G739" t="s">
        <v>1798</v>
      </c>
      <c r="H739">
        <v>0</v>
      </c>
      <c r="I739">
        <v>266.86102799999998</v>
      </c>
      <c r="J739" t="s">
        <v>1798</v>
      </c>
      <c r="K739">
        <v>0</v>
      </c>
      <c r="L739">
        <v>1.150074640921527</v>
      </c>
      <c r="M739">
        <v>5.6</v>
      </c>
      <c r="N739">
        <v>1.96</v>
      </c>
    </row>
    <row r="740" spans="1:14" x14ac:dyDescent="0.35">
      <c r="A740" s="1" t="s">
        <v>752</v>
      </c>
      <c r="B740" t="str">
        <f>HYPERLINK("https://www.suredividend.com/sure-analysis-research-database/","Huron Consulting Group Inc")</f>
        <v>Huron Consulting Group Inc</v>
      </c>
      <c r="C740" t="s">
        <v>1799</v>
      </c>
      <c r="D740">
        <v>103.49</v>
      </c>
      <c r="E740">
        <v>0</v>
      </c>
      <c r="F740" t="s">
        <v>1798</v>
      </c>
      <c r="G740" t="s">
        <v>1798</v>
      </c>
      <c r="H740">
        <v>0</v>
      </c>
      <c r="I740">
        <v>1968.8137340000001</v>
      </c>
      <c r="J740">
        <v>26.986316870031249</v>
      </c>
      <c r="K740">
        <v>0</v>
      </c>
      <c r="L740">
        <v>0.48931520875297602</v>
      </c>
      <c r="M740">
        <v>107.44</v>
      </c>
      <c r="N740">
        <v>66.510000000000005</v>
      </c>
    </row>
    <row r="741" spans="1:14" x14ac:dyDescent="0.35">
      <c r="A741" s="1" t="s">
        <v>753</v>
      </c>
      <c r="B741" t="str">
        <f>HYPERLINK("https://www.suredividend.com/sure-analysis-research-database/","Haverty Furniture Cos., Inc.")</f>
        <v>Haverty Furniture Cos., Inc.</v>
      </c>
      <c r="C741" t="s">
        <v>1802</v>
      </c>
      <c r="D741">
        <v>27.52</v>
      </c>
      <c r="E741">
        <v>4.1769893709081997E-2</v>
      </c>
      <c r="F741">
        <v>7.1428571428571397E-2</v>
      </c>
      <c r="G741">
        <v>8.4471771197698553E-2</v>
      </c>
      <c r="H741">
        <v>1.149507474873954</v>
      </c>
      <c r="I741">
        <v>452.474379</v>
      </c>
      <c r="J741">
        <v>6.2450744548879964</v>
      </c>
      <c r="K741">
        <v>0.26608969325785969</v>
      </c>
      <c r="L741">
        <v>0.89052278878444102</v>
      </c>
      <c r="M741">
        <v>38.159999999999997</v>
      </c>
      <c r="N741">
        <v>23.79</v>
      </c>
    </row>
    <row r="742" spans="1:14" x14ac:dyDescent="0.35">
      <c r="A742" s="1" t="s">
        <v>754</v>
      </c>
      <c r="B742" t="str">
        <f>HYPERLINK("https://www.suredividend.com/sure-analysis-research-database/","Hancock Whitney Corp.")</f>
        <v>Hancock Whitney Corp.</v>
      </c>
      <c r="C742" t="s">
        <v>1801</v>
      </c>
      <c r="D742">
        <v>34.85</v>
      </c>
      <c r="E742">
        <v>3.2912359863067002E-2</v>
      </c>
      <c r="F742">
        <v>0.1111111111111112</v>
      </c>
      <c r="G742">
        <v>2.1295687600135119E-2</v>
      </c>
      <c r="H742">
        <v>1.1469957412279139</v>
      </c>
      <c r="I742">
        <v>3001.4736750000002</v>
      </c>
      <c r="J742">
        <v>5.8055920537256496</v>
      </c>
      <c r="K742">
        <v>0.19116595687131899</v>
      </c>
      <c r="L742">
        <v>1.2694338222205619</v>
      </c>
      <c r="M742">
        <v>54.68</v>
      </c>
      <c r="N742">
        <v>30.09</v>
      </c>
    </row>
    <row r="743" spans="1:14" x14ac:dyDescent="0.35">
      <c r="A743" s="1" t="s">
        <v>755</v>
      </c>
      <c r="B743" t="str">
        <f>HYPERLINK("https://www.suredividend.com/sure-analysis-HWKN/","Hawkins Inc")</f>
        <v>Hawkins Inc</v>
      </c>
      <c r="C743" t="s">
        <v>1809</v>
      </c>
      <c r="D743">
        <v>58.5</v>
      </c>
      <c r="E743">
        <v>1.094017094017094E-2</v>
      </c>
      <c r="F743">
        <v>0.14285714285714279</v>
      </c>
      <c r="G743">
        <v>-6.5912645097731537E-2</v>
      </c>
      <c r="H743">
        <v>0.596428176524882</v>
      </c>
      <c r="I743">
        <v>1234.4025919999999</v>
      </c>
      <c r="J743">
        <v>19.355283986138989</v>
      </c>
      <c r="K743">
        <v>0.19619347912002699</v>
      </c>
      <c r="L743">
        <v>0.82574216171045711</v>
      </c>
      <c r="M743">
        <v>63.21</v>
      </c>
      <c r="N743">
        <v>36.15</v>
      </c>
    </row>
    <row r="744" spans="1:14" x14ac:dyDescent="0.35">
      <c r="A744" s="1" t="s">
        <v>756</v>
      </c>
      <c r="B744" t="str">
        <f>HYPERLINK("https://www.suredividend.com/sure-analysis-research-database/","Hyster-Yale Materials Handling Inc")</f>
        <v>Hyster-Yale Materials Handling Inc</v>
      </c>
      <c r="C744" t="s">
        <v>1799</v>
      </c>
      <c r="D744">
        <v>41.5</v>
      </c>
      <c r="E744">
        <v>3.0858051229743999E-2</v>
      </c>
      <c r="F744">
        <v>7.7519379844961378E-3</v>
      </c>
      <c r="G744">
        <v>9.4953746828438934E-3</v>
      </c>
      <c r="H744">
        <v>1.2806091260343959</v>
      </c>
      <c r="I744">
        <v>555.90441099999998</v>
      </c>
      <c r="J744">
        <v>0</v>
      </c>
      <c r="K744" t="s">
        <v>1798</v>
      </c>
      <c r="L744">
        <v>1.1393708304842169</v>
      </c>
      <c r="M744">
        <v>59.22</v>
      </c>
      <c r="N744">
        <v>23.63</v>
      </c>
    </row>
    <row r="745" spans="1:14" x14ac:dyDescent="0.35">
      <c r="A745" s="1" t="s">
        <v>757</v>
      </c>
      <c r="B745" t="str">
        <f>HYPERLINK("https://www.suredividend.com/sure-analysis-research-database/","Hydrofarm Holdings Group Inc")</f>
        <v>Hydrofarm Holdings Group Inc</v>
      </c>
      <c r="C745" t="s">
        <v>1798</v>
      </c>
      <c r="D745">
        <v>1.1000000000000001</v>
      </c>
      <c r="E745">
        <v>0</v>
      </c>
      <c r="F745" t="s">
        <v>1798</v>
      </c>
      <c r="G745" t="s">
        <v>1798</v>
      </c>
      <c r="H745">
        <v>0</v>
      </c>
      <c r="I745">
        <v>50.100918</v>
      </c>
      <c r="J745" t="s">
        <v>1798</v>
      </c>
      <c r="K745">
        <v>0</v>
      </c>
      <c r="L745">
        <v>2.279388626660483</v>
      </c>
      <c r="M745">
        <v>3.25</v>
      </c>
      <c r="N745">
        <v>0.67149999999999999</v>
      </c>
    </row>
    <row r="746" spans="1:14" x14ac:dyDescent="0.35">
      <c r="A746" s="1" t="s">
        <v>758</v>
      </c>
      <c r="B746" t="str">
        <f>HYPERLINK("https://www.suredividend.com/sure-analysis-research-database/","Hyliion Holdings Corporation")</f>
        <v>Hyliion Holdings Corporation</v>
      </c>
      <c r="C746" t="s">
        <v>1798</v>
      </c>
      <c r="D746">
        <v>0.73140000000000005</v>
      </c>
      <c r="E746">
        <v>0</v>
      </c>
      <c r="F746" t="s">
        <v>1798</v>
      </c>
      <c r="G746" t="s">
        <v>1798</v>
      </c>
      <c r="H746">
        <v>0</v>
      </c>
      <c r="I746">
        <v>132.54458399999999</v>
      </c>
      <c r="J746" t="s">
        <v>1798</v>
      </c>
      <c r="K746">
        <v>0</v>
      </c>
      <c r="L746">
        <v>2.2303324456867419</v>
      </c>
      <c r="M746">
        <v>3.88</v>
      </c>
      <c r="N746">
        <v>0.5181</v>
      </c>
    </row>
    <row r="747" spans="1:14" x14ac:dyDescent="0.35">
      <c r="A747" s="1" t="s">
        <v>759</v>
      </c>
      <c r="B747" t="str">
        <f>HYPERLINK("https://www.suredividend.com/sure-analysis-research-database/","Hycroft Mining Holding Corporation")</f>
        <v>Hycroft Mining Holding Corporation</v>
      </c>
      <c r="C747" t="s">
        <v>1798</v>
      </c>
      <c r="D747">
        <v>0.2928</v>
      </c>
      <c r="E747">
        <v>0</v>
      </c>
      <c r="F747" t="s">
        <v>1798</v>
      </c>
      <c r="G747" t="s">
        <v>1798</v>
      </c>
      <c r="H747">
        <v>0</v>
      </c>
      <c r="I747">
        <v>59.132137</v>
      </c>
      <c r="J747" t="s">
        <v>1798</v>
      </c>
      <c r="K747">
        <v>0</v>
      </c>
      <c r="L747">
        <v>1.618535738882289</v>
      </c>
      <c r="M747">
        <v>0.87970000000000004</v>
      </c>
      <c r="N747">
        <v>0.2601</v>
      </c>
    </row>
    <row r="748" spans="1:14" x14ac:dyDescent="0.35">
      <c r="A748" s="1" t="s">
        <v>760</v>
      </c>
      <c r="B748" t="str">
        <f>HYPERLINK("https://www.suredividend.com/sure-analysis-research-database/","Hyzon Motors Inc")</f>
        <v>Hyzon Motors Inc</v>
      </c>
      <c r="C748" t="s">
        <v>1798</v>
      </c>
      <c r="D748">
        <v>1.21</v>
      </c>
      <c r="E748">
        <v>0</v>
      </c>
      <c r="F748" t="s">
        <v>1798</v>
      </c>
      <c r="G748" t="s">
        <v>1798</v>
      </c>
      <c r="H748">
        <v>0</v>
      </c>
      <c r="I748">
        <v>296.27213599999999</v>
      </c>
      <c r="J748" t="s">
        <v>1798</v>
      </c>
      <c r="K748">
        <v>0</v>
      </c>
      <c r="L748">
        <v>2.1280457360699998</v>
      </c>
      <c r="M748">
        <v>2.35</v>
      </c>
      <c r="N748">
        <v>0.45</v>
      </c>
    </row>
    <row r="749" spans="1:14" x14ac:dyDescent="0.35">
      <c r="A749" s="1" t="s">
        <v>761</v>
      </c>
      <c r="B749" t="str">
        <f>HYPERLINK("https://www.suredividend.com/sure-analysis-research-database/","Marinemax, Inc.")</f>
        <v>Marinemax, Inc.</v>
      </c>
      <c r="C749" t="s">
        <v>1802</v>
      </c>
      <c r="D749">
        <v>29.45</v>
      </c>
      <c r="E749">
        <v>0</v>
      </c>
      <c r="F749" t="s">
        <v>1798</v>
      </c>
      <c r="G749" t="s">
        <v>1798</v>
      </c>
      <c r="H749">
        <v>0</v>
      </c>
      <c r="I749">
        <v>645.26419599999997</v>
      </c>
      <c r="J749">
        <v>4.869881703156957</v>
      </c>
      <c r="K749">
        <v>0</v>
      </c>
      <c r="L749">
        <v>1.0721908425832181</v>
      </c>
      <c r="M749">
        <v>42.88</v>
      </c>
      <c r="N749">
        <v>25.6</v>
      </c>
    </row>
    <row r="750" spans="1:14" x14ac:dyDescent="0.35">
      <c r="A750" s="1" t="s">
        <v>762</v>
      </c>
      <c r="B750" t="str">
        <f>HYPERLINK("https://www.suredividend.com/sure-analysis-research-database/","Integral Ad Science Holding Corp")</f>
        <v>Integral Ad Science Holding Corp</v>
      </c>
      <c r="C750" t="s">
        <v>1798</v>
      </c>
      <c r="D750">
        <v>11.67</v>
      </c>
      <c r="E750">
        <v>0</v>
      </c>
      <c r="F750" t="s">
        <v>1798</v>
      </c>
      <c r="G750" t="s">
        <v>1798</v>
      </c>
      <c r="H750">
        <v>0</v>
      </c>
      <c r="I750">
        <v>1828.107391</v>
      </c>
      <c r="J750">
        <v>79.221155769630784</v>
      </c>
      <c r="K750">
        <v>0</v>
      </c>
      <c r="L750">
        <v>1.4893995940386979</v>
      </c>
      <c r="M750">
        <v>20.88</v>
      </c>
      <c r="N750">
        <v>6.63</v>
      </c>
    </row>
    <row r="751" spans="1:14" x14ac:dyDescent="0.35">
      <c r="A751" s="1" t="s">
        <v>763</v>
      </c>
      <c r="B751" t="str">
        <f>HYPERLINK("https://www.suredividend.com/sure-analysis-research-database/","Independent Bank Corporation (Ionia, MI)")</f>
        <v>Independent Bank Corporation (Ionia, MI)</v>
      </c>
      <c r="C751" t="s">
        <v>1801</v>
      </c>
      <c r="D751">
        <v>17.68</v>
      </c>
      <c r="E751">
        <v>4.9808189175502997E-2</v>
      </c>
      <c r="F751" t="s">
        <v>1798</v>
      </c>
      <c r="G751" t="s">
        <v>1798</v>
      </c>
      <c r="H751">
        <v>0.88060878462289605</v>
      </c>
      <c r="I751">
        <v>370.29375700000003</v>
      </c>
      <c r="J751">
        <v>0</v>
      </c>
      <c r="K751" t="s">
        <v>1798</v>
      </c>
      <c r="L751">
        <v>1.018446804668548</v>
      </c>
      <c r="M751">
        <v>23.5</v>
      </c>
      <c r="N751">
        <v>14.57</v>
      </c>
    </row>
    <row r="752" spans="1:14" x14ac:dyDescent="0.35">
      <c r="A752" s="1" t="s">
        <v>764</v>
      </c>
      <c r="B752" t="str">
        <f>HYPERLINK("https://www.suredividend.com/sure-analysis-research-database/","IBEX Ltd")</f>
        <v>IBEX Ltd</v>
      </c>
      <c r="C752" t="s">
        <v>1798</v>
      </c>
      <c r="D752">
        <v>16.03</v>
      </c>
      <c r="E752">
        <v>0</v>
      </c>
      <c r="F752" t="s">
        <v>1798</v>
      </c>
      <c r="G752" t="s">
        <v>1798</v>
      </c>
      <c r="H752">
        <v>0</v>
      </c>
      <c r="I752">
        <v>293.41076399999997</v>
      </c>
      <c r="J752">
        <v>0</v>
      </c>
      <c r="K752" t="s">
        <v>1798</v>
      </c>
      <c r="L752">
        <v>0.60203752452959403</v>
      </c>
      <c r="M752">
        <v>31.4</v>
      </c>
      <c r="N752">
        <v>11.45</v>
      </c>
    </row>
    <row r="753" spans="1:14" x14ac:dyDescent="0.35">
      <c r="A753" s="1" t="s">
        <v>765</v>
      </c>
      <c r="B753" t="str">
        <f>HYPERLINK("https://www.suredividend.com/sure-analysis-IBOC/","International Bancshares Corp.")</f>
        <v>International Bancshares Corp.</v>
      </c>
      <c r="C753" t="s">
        <v>1801</v>
      </c>
      <c r="D753">
        <v>42.34</v>
      </c>
      <c r="E753">
        <v>2.9759093056211619E-2</v>
      </c>
      <c r="F753" t="s">
        <v>1798</v>
      </c>
      <c r="G753" t="s">
        <v>1798</v>
      </c>
      <c r="H753">
        <v>1.243205455782304</v>
      </c>
      <c r="I753">
        <v>2627.1510189999999</v>
      </c>
      <c r="J753">
        <v>6.7208439553231551</v>
      </c>
      <c r="K753">
        <v>0.19796265219463441</v>
      </c>
      <c r="L753">
        <v>0.87102166365622302</v>
      </c>
      <c r="M753">
        <v>51.57</v>
      </c>
      <c r="N753">
        <v>38.049999999999997</v>
      </c>
    </row>
    <row r="754" spans="1:14" x14ac:dyDescent="0.35">
      <c r="A754" s="1" t="s">
        <v>766</v>
      </c>
      <c r="B754" t="str">
        <f>HYPERLINK("https://www.suredividend.com/sure-analysis-research-database/","Installed Building Products Inc")</f>
        <v>Installed Building Products Inc</v>
      </c>
      <c r="C754" t="s">
        <v>1799</v>
      </c>
      <c r="D754">
        <v>117.52</v>
      </c>
      <c r="E754">
        <v>1.8679025353467001E-2</v>
      </c>
      <c r="F754" t="s">
        <v>1798</v>
      </c>
      <c r="G754" t="s">
        <v>1798</v>
      </c>
      <c r="H754">
        <v>2.1951590595394701</v>
      </c>
      <c r="I754">
        <v>3338.8099510000002</v>
      </c>
      <c r="J754">
        <v>13.878573037539541</v>
      </c>
      <c r="K754">
        <v>0.25916872013453007</v>
      </c>
      <c r="L754">
        <v>1.545654700481718</v>
      </c>
      <c r="M754">
        <v>157.78</v>
      </c>
      <c r="N754">
        <v>73.819999999999993</v>
      </c>
    </row>
    <row r="755" spans="1:14" x14ac:dyDescent="0.35">
      <c r="A755" s="1" t="s">
        <v>767</v>
      </c>
      <c r="B755" t="str">
        <f>HYPERLINK("https://www.suredividend.com/sure-analysis-research-database/","ImmunityBio Inc")</f>
        <v>ImmunityBio Inc</v>
      </c>
      <c r="C755" t="s">
        <v>1798</v>
      </c>
      <c r="D755">
        <v>1.31</v>
      </c>
      <c r="E755">
        <v>0</v>
      </c>
      <c r="F755" t="s">
        <v>1798</v>
      </c>
      <c r="G755" t="s">
        <v>1798</v>
      </c>
      <c r="H755">
        <v>0</v>
      </c>
      <c r="I755">
        <v>874.54269699999998</v>
      </c>
      <c r="J755" t="s">
        <v>1798</v>
      </c>
      <c r="K755">
        <v>0</v>
      </c>
      <c r="L755">
        <v>2.7314556963307788</v>
      </c>
      <c r="M755">
        <v>7.1</v>
      </c>
      <c r="N755">
        <v>1.21</v>
      </c>
    </row>
    <row r="756" spans="1:14" x14ac:dyDescent="0.35">
      <c r="A756" s="1" t="s">
        <v>768</v>
      </c>
      <c r="B756" t="str">
        <f>HYPERLINK("https://www.suredividend.com/sure-analysis-research-database/","Independent Bank Group Inc")</f>
        <v>Independent Bank Group Inc</v>
      </c>
      <c r="C756" t="s">
        <v>1801</v>
      </c>
      <c r="D756">
        <v>37.79</v>
      </c>
      <c r="E756">
        <v>3.9199158852852002E-2</v>
      </c>
      <c r="F756">
        <v>0</v>
      </c>
      <c r="G756">
        <v>0.2210434328336239</v>
      </c>
      <c r="H756">
        <v>1.4813362130493011</v>
      </c>
      <c r="I756">
        <v>1560.1982800000001</v>
      </c>
      <c r="J756">
        <v>17.704779457235912</v>
      </c>
      <c r="K756">
        <v>0.68899358746479122</v>
      </c>
      <c r="L756">
        <v>1.2185286374206019</v>
      </c>
      <c r="M756">
        <v>65.819999999999993</v>
      </c>
      <c r="N756">
        <v>28.32</v>
      </c>
    </row>
    <row r="757" spans="1:14" x14ac:dyDescent="0.35">
      <c r="A757" s="1" t="s">
        <v>769</v>
      </c>
      <c r="B757" t="str">
        <f>HYPERLINK("https://www.suredividend.com/sure-analysis-research-database/","ICF International, Inc")</f>
        <v>ICF International, Inc</v>
      </c>
      <c r="C757" t="s">
        <v>1799</v>
      </c>
      <c r="D757">
        <v>132</v>
      </c>
      <c r="E757">
        <v>4.2295162301230014E-3</v>
      </c>
      <c r="F757">
        <v>0</v>
      </c>
      <c r="G757">
        <v>0</v>
      </c>
      <c r="H757">
        <v>0.55829614237628999</v>
      </c>
      <c r="I757">
        <v>2481.6</v>
      </c>
      <c r="J757">
        <v>38.359044115373912</v>
      </c>
      <c r="K757">
        <v>0.16420474775773239</v>
      </c>
      <c r="L757">
        <v>0.72076826056856502</v>
      </c>
      <c r="M757">
        <v>136.53</v>
      </c>
      <c r="N757">
        <v>93.99</v>
      </c>
    </row>
    <row r="758" spans="1:14" x14ac:dyDescent="0.35">
      <c r="A758" s="1" t="s">
        <v>770</v>
      </c>
      <c r="B758" t="str">
        <f>HYPERLINK("https://www.suredividend.com/sure-analysis-research-database/","Ichor Holdings Ltd")</f>
        <v>Ichor Holdings Ltd</v>
      </c>
      <c r="C758" t="s">
        <v>1804</v>
      </c>
      <c r="D758">
        <v>29.33</v>
      </c>
      <c r="E758">
        <v>0</v>
      </c>
      <c r="F758" t="s">
        <v>1798</v>
      </c>
      <c r="G758" t="s">
        <v>1798</v>
      </c>
      <c r="H758">
        <v>0</v>
      </c>
      <c r="I758">
        <v>859.36900000000003</v>
      </c>
      <c r="J758">
        <v>38.080781672353432</v>
      </c>
      <c r="K758">
        <v>0</v>
      </c>
      <c r="L758">
        <v>1.949637765347447</v>
      </c>
      <c r="M758">
        <v>39.729999999999997</v>
      </c>
      <c r="N758">
        <v>21.26</v>
      </c>
    </row>
    <row r="759" spans="1:14" x14ac:dyDescent="0.35">
      <c r="A759" s="1" t="s">
        <v>771</v>
      </c>
      <c r="B759" t="str">
        <f>HYPERLINK("https://www.suredividend.com/sure-analysis-research-database/","Intercept Pharmaceuticals Inc")</f>
        <v>Intercept Pharmaceuticals Inc</v>
      </c>
      <c r="C759" t="s">
        <v>1803</v>
      </c>
      <c r="D759">
        <v>18.2</v>
      </c>
      <c r="E759">
        <v>0</v>
      </c>
      <c r="F759" t="s">
        <v>1798</v>
      </c>
      <c r="G759" t="s">
        <v>1798</v>
      </c>
      <c r="H759">
        <v>0</v>
      </c>
      <c r="I759">
        <v>760.44563100000005</v>
      </c>
      <c r="J759">
        <v>3.6449311530884669</v>
      </c>
      <c r="K759">
        <v>0</v>
      </c>
      <c r="M759">
        <v>21.86</v>
      </c>
      <c r="N759">
        <v>8.82</v>
      </c>
    </row>
    <row r="760" spans="1:14" x14ac:dyDescent="0.35">
      <c r="A760" s="1" t="s">
        <v>772</v>
      </c>
      <c r="B760" t="str">
        <f>HYPERLINK("https://www.suredividend.com/sure-analysis-research-database/","Icosavax Inc")</f>
        <v>Icosavax Inc</v>
      </c>
      <c r="C760" t="s">
        <v>1798</v>
      </c>
      <c r="D760">
        <v>6.47</v>
      </c>
      <c r="E760">
        <v>0</v>
      </c>
      <c r="F760" t="s">
        <v>1798</v>
      </c>
      <c r="G760" t="s">
        <v>1798</v>
      </c>
      <c r="H760">
        <v>0</v>
      </c>
      <c r="I760">
        <v>323.80119100000002</v>
      </c>
      <c r="J760">
        <v>0</v>
      </c>
      <c r="K760" t="s">
        <v>1798</v>
      </c>
      <c r="L760">
        <v>0.49416259882000901</v>
      </c>
      <c r="M760">
        <v>16.45</v>
      </c>
      <c r="N760">
        <v>2.2799999999999998</v>
      </c>
    </row>
    <row r="761" spans="1:14" x14ac:dyDescent="0.35">
      <c r="A761" s="1" t="s">
        <v>773</v>
      </c>
      <c r="B761" t="str">
        <f>HYPERLINK("https://www.suredividend.com/sure-analysis-research-database/","Interdigital Inc")</f>
        <v>Interdigital Inc</v>
      </c>
      <c r="C761" t="s">
        <v>1807</v>
      </c>
      <c r="D761">
        <v>80.099999999999994</v>
      </c>
      <c r="E761">
        <v>1.78889630993E-2</v>
      </c>
      <c r="F761">
        <v>0.14285714285714279</v>
      </c>
      <c r="G761">
        <v>2.7066087089351761E-2</v>
      </c>
      <c r="H761">
        <v>1.432905944254008</v>
      </c>
      <c r="I761">
        <v>2115.2083899999998</v>
      </c>
      <c r="J761">
        <v>11.643007120524899</v>
      </c>
      <c r="K761">
        <v>0.23074169794750529</v>
      </c>
      <c r="L761">
        <v>0.89837073768511011</v>
      </c>
      <c r="M761">
        <v>97.72</v>
      </c>
      <c r="N761">
        <v>42.7</v>
      </c>
    </row>
    <row r="762" spans="1:14" x14ac:dyDescent="0.35">
      <c r="A762" s="1" t="s">
        <v>774</v>
      </c>
      <c r="B762" t="str">
        <f>HYPERLINK("https://www.suredividend.com/sure-analysis-research-database/","IDT Corp.")</f>
        <v>IDT Corp.</v>
      </c>
      <c r="C762" t="s">
        <v>1807</v>
      </c>
      <c r="D762">
        <v>28.6</v>
      </c>
      <c r="E762">
        <v>0</v>
      </c>
      <c r="F762" t="s">
        <v>1798</v>
      </c>
      <c r="G762" t="s">
        <v>1798</v>
      </c>
      <c r="H762">
        <v>0</v>
      </c>
      <c r="I762">
        <v>684.16951500000005</v>
      </c>
      <c r="J762">
        <v>13.74855845909612</v>
      </c>
      <c r="K762">
        <v>0</v>
      </c>
      <c r="L762">
        <v>0.45640565155697799</v>
      </c>
      <c r="M762">
        <v>35.18</v>
      </c>
      <c r="N762">
        <v>21.64</v>
      </c>
    </row>
    <row r="763" spans="1:14" x14ac:dyDescent="0.35">
      <c r="A763" s="1" t="s">
        <v>775</v>
      </c>
      <c r="B763" t="str">
        <f>HYPERLINK("https://www.suredividend.com/sure-analysis-research-database/","Ideaya Biosciences Inc")</f>
        <v>Ideaya Biosciences Inc</v>
      </c>
      <c r="C763" t="s">
        <v>1803</v>
      </c>
      <c r="D763">
        <v>24.99</v>
      </c>
      <c r="E763">
        <v>0</v>
      </c>
      <c r="F763" t="s">
        <v>1798</v>
      </c>
      <c r="G763" t="s">
        <v>1798</v>
      </c>
      <c r="H763">
        <v>0</v>
      </c>
      <c r="I763">
        <v>1438.405258</v>
      </c>
      <c r="J763" t="s">
        <v>1798</v>
      </c>
      <c r="K763">
        <v>0</v>
      </c>
      <c r="L763">
        <v>0.612736796329725</v>
      </c>
      <c r="M763">
        <v>30.25</v>
      </c>
      <c r="N763">
        <v>13.29</v>
      </c>
    </row>
    <row r="764" spans="1:14" x14ac:dyDescent="0.35">
      <c r="A764" s="1" t="s">
        <v>776</v>
      </c>
      <c r="B764" t="str">
        <f>HYPERLINK("https://www.suredividend.com/sure-analysis-research-database/","Ivanhoe Electric Inc")</f>
        <v>Ivanhoe Electric Inc</v>
      </c>
      <c r="C764" t="s">
        <v>1798</v>
      </c>
      <c r="D764">
        <v>10.050000000000001</v>
      </c>
      <c r="E764">
        <v>0</v>
      </c>
      <c r="F764" t="s">
        <v>1798</v>
      </c>
      <c r="G764" t="s">
        <v>1798</v>
      </c>
      <c r="H764">
        <v>0</v>
      </c>
      <c r="I764">
        <v>933.54449999999997</v>
      </c>
      <c r="J764">
        <v>0</v>
      </c>
      <c r="K764" t="s">
        <v>1798</v>
      </c>
      <c r="L764">
        <v>1.2014513171252981</v>
      </c>
      <c r="M764">
        <v>16.75</v>
      </c>
      <c r="N764">
        <v>7.88</v>
      </c>
    </row>
    <row r="765" spans="1:14" x14ac:dyDescent="0.35">
      <c r="A765" s="1" t="s">
        <v>777</v>
      </c>
      <c r="B765" t="str">
        <f>HYPERLINK("https://www.suredividend.com/sure-analysis-research-database/","IES Holdings Inc")</f>
        <v>IES Holdings Inc</v>
      </c>
      <c r="C765" t="s">
        <v>1799</v>
      </c>
      <c r="D765">
        <v>63.02</v>
      </c>
      <c r="E765">
        <v>0</v>
      </c>
      <c r="F765" t="s">
        <v>1798</v>
      </c>
      <c r="G765" t="s">
        <v>1798</v>
      </c>
      <c r="H765">
        <v>0</v>
      </c>
      <c r="I765">
        <v>1272.473309</v>
      </c>
      <c r="J765">
        <v>17.252705695613859</v>
      </c>
      <c r="K765">
        <v>0</v>
      </c>
      <c r="L765">
        <v>0.80686585688708812</v>
      </c>
      <c r="M765">
        <v>76.8</v>
      </c>
      <c r="N765">
        <v>27.68</v>
      </c>
    </row>
    <row r="766" spans="1:14" x14ac:dyDescent="0.35">
      <c r="A766" s="1" t="s">
        <v>778</v>
      </c>
      <c r="B766" t="str">
        <f>HYPERLINK("https://www.suredividend.com/sure-analysis-research-database/","IGM Biosciences Inc")</f>
        <v>IGM Biosciences Inc</v>
      </c>
      <c r="C766" t="s">
        <v>1803</v>
      </c>
      <c r="D766">
        <v>4.41</v>
      </c>
      <c r="E766">
        <v>0</v>
      </c>
      <c r="F766" t="s">
        <v>1798</v>
      </c>
      <c r="G766" t="s">
        <v>1798</v>
      </c>
      <c r="H766">
        <v>0</v>
      </c>
      <c r="I766">
        <v>144.936048</v>
      </c>
      <c r="J766" t="s">
        <v>1798</v>
      </c>
      <c r="K766">
        <v>0</v>
      </c>
      <c r="L766">
        <v>2.0677718539456889</v>
      </c>
      <c r="M766">
        <v>28.2</v>
      </c>
      <c r="N766">
        <v>4.3499999999999996</v>
      </c>
    </row>
    <row r="767" spans="1:14" x14ac:dyDescent="0.35">
      <c r="A767" s="1" t="s">
        <v>779</v>
      </c>
      <c r="B767" t="str">
        <f>HYPERLINK("https://www.suredividend.com/sure-analysis-research-database/","International Game Technology PLC")</f>
        <v>International Game Technology PLC</v>
      </c>
      <c r="C767" t="s">
        <v>1802</v>
      </c>
      <c r="D767">
        <v>30.58</v>
      </c>
      <c r="E767">
        <v>2.5880247604690002E-2</v>
      </c>
      <c r="F767" t="s">
        <v>1798</v>
      </c>
      <c r="G767" t="s">
        <v>1798</v>
      </c>
      <c r="H767">
        <v>0.79141797175142903</v>
      </c>
      <c r="I767">
        <v>6087.8330370000003</v>
      </c>
      <c r="J767">
        <v>22.547529767481478</v>
      </c>
      <c r="K767">
        <v>0.5950511065800218</v>
      </c>
      <c r="L767">
        <v>1.302974679199578</v>
      </c>
      <c r="M767">
        <v>33.78</v>
      </c>
      <c r="N767">
        <v>17.36</v>
      </c>
    </row>
    <row r="768" spans="1:14" x14ac:dyDescent="0.35">
      <c r="A768" s="1" t="s">
        <v>780</v>
      </c>
      <c r="B768" t="str">
        <f>HYPERLINK("https://www.suredividend.com/sure-analysis-research-database/","iHeartMedia Inc")</f>
        <v>iHeartMedia Inc</v>
      </c>
      <c r="C768" t="s">
        <v>1807</v>
      </c>
      <c r="D768">
        <v>2.63</v>
      </c>
      <c r="E768">
        <v>0</v>
      </c>
      <c r="F768" t="s">
        <v>1798</v>
      </c>
      <c r="G768" t="s">
        <v>1798</v>
      </c>
      <c r="H768">
        <v>0</v>
      </c>
      <c r="I768">
        <v>323.934999</v>
      </c>
      <c r="J768">
        <v>0</v>
      </c>
      <c r="K768" t="s">
        <v>1798</v>
      </c>
      <c r="L768">
        <v>2.0890532144478011</v>
      </c>
      <c r="M768">
        <v>9.2100000000000009</v>
      </c>
      <c r="N768">
        <v>2.21</v>
      </c>
    </row>
    <row r="769" spans="1:14" x14ac:dyDescent="0.35">
      <c r="A769" s="1" t="s">
        <v>781</v>
      </c>
      <c r="B769" t="str">
        <f>HYPERLINK("https://www.suredividend.com/sure-analysis-research-database/","Information Services Group Inc.")</f>
        <v>Information Services Group Inc.</v>
      </c>
      <c r="C769" t="s">
        <v>1804</v>
      </c>
      <c r="D769">
        <v>4.21</v>
      </c>
      <c r="E769">
        <v>3.9618485001466003E-2</v>
      </c>
      <c r="F769" t="s">
        <v>1798</v>
      </c>
      <c r="G769" t="s">
        <v>1798</v>
      </c>
      <c r="H769">
        <v>0.166793821856173</v>
      </c>
      <c r="I769">
        <v>204.42789999999999</v>
      </c>
      <c r="J769">
        <v>0</v>
      </c>
      <c r="K769" t="s">
        <v>1798</v>
      </c>
      <c r="L769">
        <v>1.1797070405463721</v>
      </c>
      <c r="M769">
        <v>5.77</v>
      </c>
      <c r="N769">
        <v>4.01</v>
      </c>
    </row>
    <row r="770" spans="1:14" x14ac:dyDescent="0.35">
      <c r="A770" s="1" t="s">
        <v>782</v>
      </c>
      <c r="B770" t="str">
        <f>HYPERLINK("https://www.suredividend.com/sure-analysis-research-database/","Insteel Industries, Inc.")</f>
        <v>Insteel Industries, Inc.</v>
      </c>
      <c r="C770" t="s">
        <v>1799</v>
      </c>
      <c r="D770">
        <v>32.229999999999997</v>
      </c>
      <c r="E770">
        <v>3.7178585473070002E-3</v>
      </c>
      <c r="F770">
        <v>0</v>
      </c>
      <c r="G770">
        <v>0</v>
      </c>
      <c r="H770">
        <v>0.119826580979718</v>
      </c>
      <c r="I770">
        <v>626.31266600000004</v>
      </c>
      <c r="J770">
        <v>12.25780733476857</v>
      </c>
      <c r="K770">
        <v>4.5910567425179308E-2</v>
      </c>
      <c r="L770">
        <v>1.096712212155796</v>
      </c>
      <c r="M770">
        <v>35.770000000000003</v>
      </c>
      <c r="N770">
        <v>22.32</v>
      </c>
    </row>
    <row r="771" spans="1:14" x14ac:dyDescent="0.35">
      <c r="A771" s="1" t="s">
        <v>783</v>
      </c>
      <c r="B771" t="str">
        <f>HYPERLINK("https://www.suredividend.com/sure-analysis-research-database/","i3 Verticals Inc")</f>
        <v>i3 Verticals Inc</v>
      </c>
      <c r="C771" t="s">
        <v>1804</v>
      </c>
      <c r="D771">
        <v>19.649999999999999</v>
      </c>
      <c r="E771">
        <v>0</v>
      </c>
      <c r="F771" t="s">
        <v>1798</v>
      </c>
      <c r="G771" t="s">
        <v>1798</v>
      </c>
      <c r="H771">
        <v>0</v>
      </c>
      <c r="I771">
        <v>456.79832299999998</v>
      </c>
      <c r="J771" t="s">
        <v>1798</v>
      </c>
      <c r="K771">
        <v>0</v>
      </c>
      <c r="L771">
        <v>1.330603596457514</v>
      </c>
      <c r="M771">
        <v>30.84</v>
      </c>
      <c r="N771">
        <v>18.59</v>
      </c>
    </row>
    <row r="772" spans="1:14" x14ac:dyDescent="0.35">
      <c r="A772" s="1" t="s">
        <v>784</v>
      </c>
      <c r="B772" t="str">
        <f>HYPERLINK("https://www.suredividend.com/sure-analysis-IIPR/","Innovative Industrial Properties Inc")</f>
        <v>Innovative Industrial Properties Inc</v>
      </c>
      <c r="C772" t="s">
        <v>1800</v>
      </c>
      <c r="D772">
        <v>75.48</v>
      </c>
      <c r="E772">
        <v>9.538950715421303E-2</v>
      </c>
      <c r="F772">
        <v>0</v>
      </c>
      <c r="G772">
        <v>0.38752524057744631</v>
      </c>
      <c r="H772">
        <v>6.9494359993995882</v>
      </c>
      <c r="I772">
        <v>2116.4578409999999</v>
      </c>
      <c r="J772">
        <v>13.286237916344939</v>
      </c>
      <c r="K772">
        <v>1.2299886724601039</v>
      </c>
      <c r="L772">
        <v>1.34331492190674</v>
      </c>
      <c r="M772">
        <v>114.61</v>
      </c>
      <c r="N772">
        <v>60.4</v>
      </c>
    </row>
    <row r="773" spans="1:14" x14ac:dyDescent="0.35">
      <c r="A773" s="1" t="s">
        <v>785</v>
      </c>
      <c r="B773" t="str">
        <f>HYPERLINK("https://www.suredividend.com/sure-analysis-ILPT/","Industrial Logistics Properties Trust")</f>
        <v>Industrial Logistics Properties Trust</v>
      </c>
      <c r="C773" t="s">
        <v>1800</v>
      </c>
      <c r="D773">
        <v>2.5099999999999998</v>
      </c>
      <c r="E773">
        <v>1.5936254980079681E-2</v>
      </c>
      <c r="F773">
        <v>0</v>
      </c>
      <c r="G773">
        <v>-0.50306771631207348</v>
      </c>
      <c r="H773">
        <v>3.9620168086429E-2</v>
      </c>
      <c r="I773">
        <v>164.89932400000001</v>
      </c>
      <c r="J773" t="s">
        <v>1798</v>
      </c>
      <c r="K773" t="s">
        <v>1798</v>
      </c>
      <c r="L773">
        <v>1.9487399299116741</v>
      </c>
      <c r="M773">
        <v>5.33</v>
      </c>
      <c r="N773">
        <v>1.64</v>
      </c>
    </row>
    <row r="774" spans="1:14" x14ac:dyDescent="0.35">
      <c r="A774" s="1" t="s">
        <v>786</v>
      </c>
      <c r="B774" t="str">
        <f>HYPERLINK("https://www.suredividend.com/sure-analysis-research-database/","Imax Corp")</f>
        <v>Imax Corp</v>
      </c>
      <c r="C774" t="s">
        <v>1807</v>
      </c>
      <c r="D774">
        <v>17.739999999999998</v>
      </c>
      <c r="E774">
        <v>0</v>
      </c>
      <c r="F774" t="s">
        <v>1798</v>
      </c>
      <c r="G774" t="s">
        <v>1798</v>
      </c>
      <c r="H774">
        <v>0</v>
      </c>
      <c r="I774">
        <v>968.96027200000003</v>
      </c>
      <c r="J774">
        <v>217.01237904143329</v>
      </c>
      <c r="K774">
        <v>0</v>
      </c>
      <c r="L774">
        <v>1.0071493599270669</v>
      </c>
      <c r="M774">
        <v>21.82</v>
      </c>
      <c r="N774">
        <v>12.13</v>
      </c>
    </row>
    <row r="775" spans="1:14" x14ac:dyDescent="0.35">
      <c r="A775" s="1" t="s">
        <v>787</v>
      </c>
      <c r="B775" t="str">
        <f>HYPERLINK("https://www.suredividend.com/sure-analysis-research-database/","Immunogen, Inc.")</f>
        <v>Immunogen, Inc.</v>
      </c>
      <c r="C775" t="s">
        <v>1803</v>
      </c>
      <c r="D775">
        <v>14.43</v>
      </c>
      <c r="E775">
        <v>0</v>
      </c>
      <c r="F775" t="s">
        <v>1798</v>
      </c>
      <c r="G775" t="s">
        <v>1798</v>
      </c>
      <c r="H775">
        <v>0</v>
      </c>
      <c r="I775">
        <v>3592.2536369999998</v>
      </c>
      <c r="J775" t="s">
        <v>1798</v>
      </c>
      <c r="K775">
        <v>0</v>
      </c>
      <c r="L775">
        <v>0.58791764933315105</v>
      </c>
      <c r="M775">
        <v>20.69</v>
      </c>
      <c r="N775">
        <v>3.61</v>
      </c>
    </row>
    <row r="776" spans="1:14" x14ac:dyDescent="0.35">
      <c r="A776" s="1" t="s">
        <v>788</v>
      </c>
      <c r="B776" t="str">
        <f>HYPERLINK("https://www.suredividend.com/sure-analysis-research-database/","Ingles Markets, Inc.")</f>
        <v>Ingles Markets, Inc.</v>
      </c>
      <c r="C776" t="s">
        <v>1805</v>
      </c>
      <c r="D776">
        <v>77.05</v>
      </c>
      <c r="E776">
        <v>8.5145641375019999E-3</v>
      </c>
      <c r="F776">
        <v>0</v>
      </c>
      <c r="G776">
        <v>0</v>
      </c>
      <c r="H776">
        <v>0.65604716679458108</v>
      </c>
      <c r="I776">
        <v>1116.837824</v>
      </c>
      <c r="J776">
        <v>4.8911930506471313</v>
      </c>
      <c r="K776">
        <v>5.4579631180913572E-2</v>
      </c>
      <c r="L776">
        <v>0.46948733791655711</v>
      </c>
      <c r="M776">
        <v>101.61</v>
      </c>
      <c r="N776">
        <v>73.069999999999993</v>
      </c>
    </row>
    <row r="777" spans="1:14" x14ac:dyDescent="0.35">
      <c r="A777" s="1" t="s">
        <v>789</v>
      </c>
      <c r="B777" t="str">
        <f>HYPERLINK("https://www.suredividend.com/sure-analysis-research-database/","Immunovant Inc")</f>
        <v>Immunovant Inc</v>
      </c>
      <c r="C777" t="s">
        <v>1803</v>
      </c>
      <c r="D777">
        <v>37.409999999999997</v>
      </c>
      <c r="E777">
        <v>0</v>
      </c>
      <c r="F777" t="s">
        <v>1798</v>
      </c>
      <c r="G777" t="s">
        <v>1798</v>
      </c>
      <c r="H777">
        <v>0</v>
      </c>
      <c r="I777">
        <v>4888.4270619999998</v>
      </c>
      <c r="J777">
        <v>0</v>
      </c>
      <c r="K777" t="s">
        <v>1798</v>
      </c>
      <c r="L777">
        <v>0.26467734069779297</v>
      </c>
      <c r="M777">
        <v>44.19</v>
      </c>
      <c r="N777">
        <v>8.8800000000000008</v>
      </c>
    </row>
    <row r="778" spans="1:14" x14ac:dyDescent="0.35">
      <c r="A778" s="1" t="s">
        <v>790</v>
      </c>
      <c r="B778" t="str">
        <f>HYPERLINK("https://www.suredividend.com/sure-analysis-research-database/","International Money Express Inc.")</f>
        <v>International Money Express Inc.</v>
      </c>
      <c r="C778" t="s">
        <v>1804</v>
      </c>
      <c r="D778">
        <v>16.25</v>
      </c>
      <c r="E778">
        <v>0</v>
      </c>
      <c r="F778" t="s">
        <v>1798</v>
      </c>
      <c r="G778" t="s">
        <v>1798</v>
      </c>
      <c r="H778">
        <v>0</v>
      </c>
      <c r="I778">
        <v>575.54726100000005</v>
      </c>
      <c r="J778">
        <v>10.11915644724581</v>
      </c>
      <c r="K778">
        <v>0</v>
      </c>
      <c r="L778">
        <v>0.74852999724011604</v>
      </c>
      <c r="M778">
        <v>28.24</v>
      </c>
      <c r="N778">
        <v>15.88</v>
      </c>
    </row>
    <row r="779" spans="1:14" x14ac:dyDescent="0.35">
      <c r="A779" s="1" t="s">
        <v>791</v>
      </c>
      <c r="B779" t="str">
        <f>HYPERLINK("https://www.suredividend.com/sure-analysis-research-database/","First Internet Bancorp")</f>
        <v>First Internet Bancorp</v>
      </c>
      <c r="C779" t="s">
        <v>1801</v>
      </c>
      <c r="D779">
        <v>17.18</v>
      </c>
      <c r="E779">
        <v>1.3826736719841999E-2</v>
      </c>
      <c r="F779">
        <v>0</v>
      </c>
      <c r="G779">
        <v>0</v>
      </c>
      <c r="H779">
        <v>0.23754333684689399</v>
      </c>
      <c r="I779">
        <v>149.765052</v>
      </c>
      <c r="J779">
        <v>0</v>
      </c>
      <c r="K779" t="s">
        <v>1798</v>
      </c>
      <c r="L779">
        <v>1.4553385637126031</v>
      </c>
      <c r="M779">
        <v>32.32</v>
      </c>
      <c r="N779">
        <v>9.5299999999999994</v>
      </c>
    </row>
    <row r="780" spans="1:14" x14ac:dyDescent="0.35">
      <c r="A780" s="1" t="s">
        <v>792</v>
      </c>
      <c r="B780" t="str">
        <f>HYPERLINK("https://www.suredividend.com/sure-analysis-research-database/","Inhibrx Inc")</f>
        <v>Inhibrx Inc</v>
      </c>
      <c r="C780" t="s">
        <v>1798</v>
      </c>
      <c r="D780">
        <v>17.7</v>
      </c>
      <c r="E780">
        <v>0</v>
      </c>
      <c r="F780" t="s">
        <v>1798</v>
      </c>
      <c r="G780" t="s">
        <v>1798</v>
      </c>
      <c r="H780">
        <v>0</v>
      </c>
      <c r="I780">
        <v>772.92630799999995</v>
      </c>
      <c r="J780" t="s">
        <v>1798</v>
      </c>
      <c r="K780">
        <v>0</v>
      </c>
      <c r="L780">
        <v>1.4782508979875459</v>
      </c>
      <c r="M780">
        <v>34.72</v>
      </c>
      <c r="N780">
        <v>15.01</v>
      </c>
    </row>
    <row r="781" spans="1:14" x14ac:dyDescent="0.35">
      <c r="A781" s="1" t="s">
        <v>793</v>
      </c>
      <c r="B781" t="str">
        <f>HYPERLINK("https://www.suredividend.com/sure-analysis-research-database/","Independent Bank Corp.")</f>
        <v>Independent Bank Corp.</v>
      </c>
      <c r="C781" t="s">
        <v>1801</v>
      </c>
      <c r="D781">
        <v>47.28</v>
      </c>
      <c r="E781">
        <v>4.5117185366457001E-2</v>
      </c>
      <c r="F781">
        <v>7.8431372549019773E-2</v>
      </c>
      <c r="G781">
        <v>7.6752325943092448E-2</v>
      </c>
      <c r="H781">
        <v>2.1331405241261119</v>
      </c>
      <c r="I781">
        <v>2086.7227050000001</v>
      </c>
      <c r="J781">
        <v>7.6484076401875161</v>
      </c>
      <c r="K781">
        <v>0.35316896094803168</v>
      </c>
      <c r="L781">
        <v>0.92346144152940612</v>
      </c>
      <c r="M781">
        <v>86.17</v>
      </c>
      <c r="N781">
        <v>41.31</v>
      </c>
    </row>
    <row r="782" spans="1:14" x14ac:dyDescent="0.35">
      <c r="A782" s="1" t="s">
        <v>794</v>
      </c>
      <c r="B782" t="str">
        <f>HYPERLINK("https://www.suredividend.com/sure-analysis-research-database/","Indie Semiconductor Inc")</f>
        <v>Indie Semiconductor Inc</v>
      </c>
      <c r="C782" t="s">
        <v>1798</v>
      </c>
      <c r="D782">
        <v>4.87</v>
      </c>
      <c r="E782">
        <v>0</v>
      </c>
      <c r="F782" t="s">
        <v>1798</v>
      </c>
      <c r="G782" t="s">
        <v>1798</v>
      </c>
      <c r="H782">
        <v>0</v>
      </c>
      <c r="I782">
        <v>713.59306500000002</v>
      </c>
      <c r="J782" t="s">
        <v>1798</v>
      </c>
      <c r="K782">
        <v>0</v>
      </c>
      <c r="L782">
        <v>1.718584834974874</v>
      </c>
      <c r="M782">
        <v>11.12</v>
      </c>
      <c r="N782">
        <v>4.82</v>
      </c>
    </row>
    <row r="783" spans="1:14" x14ac:dyDescent="0.35">
      <c r="A783" s="1" t="s">
        <v>795</v>
      </c>
      <c r="B783" t="str">
        <f>HYPERLINK("https://www.suredividend.com/sure-analysis-research-database/","INDUS Realty Trust Inc")</f>
        <v>INDUS Realty Trust Inc</v>
      </c>
      <c r="C783" t="s">
        <v>1798</v>
      </c>
      <c r="D783">
        <v>66.989999999999995</v>
      </c>
      <c r="E783">
        <v>0</v>
      </c>
      <c r="F783" t="s">
        <v>1798</v>
      </c>
      <c r="G783" t="s">
        <v>1798</v>
      </c>
      <c r="H783">
        <v>0.7000000178813931</v>
      </c>
      <c r="I783">
        <v>0</v>
      </c>
      <c r="J783">
        <v>0</v>
      </c>
      <c r="K783">
        <v>112.90322869054729</v>
      </c>
    </row>
    <row r="784" spans="1:14" x14ac:dyDescent="0.35">
      <c r="A784" s="1" t="s">
        <v>796</v>
      </c>
      <c r="B784" t="str">
        <f>HYPERLINK("https://www.suredividend.com/sure-analysis-research-database/","Infinera Corp.")</f>
        <v>Infinera Corp.</v>
      </c>
      <c r="C784" t="s">
        <v>1804</v>
      </c>
      <c r="D784">
        <v>3.43</v>
      </c>
      <c r="E784">
        <v>0</v>
      </c>
      <c r="F784" t="s">
        <v>1798</v>
      </c>
      <c r="G784" t="s">
        <v>1798</v>
      </c>
      <c r="H784">
        <v>0</v>
      </c>
      <c r="I784">
        <v>778.34853099999998</v>
      </c>
      <c r="J784" t="s">
        <v>1798</v>
      </c>
      <c r="K784">
        <v>0</v>
      </c>
      <c r="L784">
        <v>1.457689793960002</v>
      </c>
      <c r="M784">
        <v>7.8</v>
      </c>
      <c r="N784">
        <v>3.42</v>
      </c>
    </row>
    <row r="785" spans="1:14" x14ac:dyDescent="0.35">
      <c r="A785" s="1" t="s">
        <v>797</v>
      </c>
      <c r="B785" t="str">
        <f>HYPERLINK("https://www.suredividend.com/sure-analysis-research-database/","Inogen Inc")</f>
        <v>Inogen Inc</v>
      </c>
      <c r="C785" t="s">
        <v>1803</v>
      </c>
      <c r="D785">
        <v>4.6100000000000003</v>
      </c>
      <c r="E785">
        <v>0</v>
      </c>
      <c r="F785" t="s">
        <v>1798</v>
      </c>
      <c r="G785" t="s">
        <v>1798</v>
      </c>
      <c r="H785">
        <v>0</v>
      </c>
      <c r="I785">
        <v>106.92652099999999</v>
      </c>
      <c r="J785" t="s">
        <v>1798</v>
      </c>
      <c r="K785">
        <v>0</v>
      </c>
      <c r="L785">
        <v>1.402075090675726</v>
      </c>
      <c r="M785">
        <v>26.11</v>
      </c>
      <c r="N785">
        <v>4.41</v>
      </c>
    </row>
    <row r="786" spans="1:14" x14ac:dyDescent="0.35">
      <c r="A786" s="1" t="s">
        <v>798</v>
      </c>
      <c r="B786" t="str">
        <f>HYPERLINK("https://www.suredividend.com/sure-analysis-research-database/","Summit Hotel Properties Inc")</f>
        <v>Summit Hotel Properties Inc</v>
      </c>
      <c r="C786" t="s">
        <v>1800</v>
      </c>
      <c r="D786">
        <v>5.76</v>
      </c>
      <c r="E786">
        <v>3.4312360061728997E-2</v>
      </c>
      <c r="F786" t="s">
        <v>1798</v>
      </c>
      <c r="G786" t="s">
        <v>1798</v>
      </c>
      <c r="H786">
        <v>0.19763919395556401</v>
      </c>
      <c r="I786">
        <v>619.64201100000002</v>
      </c>
      <c r="J786" t="s">
        <v>1798</v>
      </c>
      <c r="K786" t="s">
        <v>1798</v>
      </c>
      <c r="L786">
        <v>1.368459222632213</v>
      </c>
      <c r="M786">
        <v>8.59</v>
      </c>
      <c r="N786">
        <v>5.4</v>
      </c>
    </row>
    <row r="787" spans="1:14" x14ac:dyDescent="0.35">
      <c r="A787" s="1" t="s">
        <v>799</v>
      </c>
      <c r="B787" t="str">
        <f>HYPERLINK("https://www.suredividend.com/sure-analysis-research-database/","InnovAge Holding Corp")</f>
        <v>InnovAge Holding Corp</v>
      </c>
      <c r="C787" t="s">
        <v>1798</v>
      </c>
      <c r="D787">
        <v>5.84</v>
      </c>
      <c r="E787">
        <v>0</v>
      </c>
      <c r="F787" t="s">
        <v>1798</v>
      </c>
      <c r="G787" t="s">
        <v>1798</v>
      </c>
      <c r="H787">
        <v>0</v>
      </c>
      <c r="I787">
        <v>793.52770099999998</v>
      </c>
      <c r="J787">
        <v>0</v>
      </c>
      <c r="K787" t="s">
        <v>1798</v>
      </c>
      <c r="L787">
        <v>1.2554905538984149</v>
      </c>
      <c r="M787">
        <v>8.15</v>
      </c>
      <c r="N787">
        <v>4.82</v>
      </c>
    </row>
    <row r="788" spans="1:14" x14ac:dyDescent="0.35">
      <c r="A788" s="1" t="s">
        <v>800</v>
      </c>
      <c r="B788" t="str">
        <f>HYPERLINK("https://www.suredividend.com/sure-analysis-research-database/","Inovio Pharmaceuticals Inc")</f>
        <v>Inovio Pharmaceuticals Inc</v>
      </c>
      <c r="C788" t="s">
        <v>1803</v>
      </c>
      <c r="D788">
        <v>0.51280000000000003</v>
      </c>
      <c r="E788">
        <v>0</v>
      </c>
      <c r="F788" t="s">
        <v>1798</v>
      </c>
      <c r="G788" t="s">
        <v>1798</v>
      </c>
      <c r="H788">
        <v>0</v>
      </c>
      <c r="I788">
        <v>137.46879300000001</v>
      </c>
      <c r="J788" t="s">
        <v>1798</v>
      </c>
      <c r="K788">
        <v>0</v>
      </c>
      <c r="L788">
        <v>1.7637409452202579</v>
      </c>
      <c r="M788">
        <v>2.61</v>
      </c>
      <c r="N788">
        <v>0.34499999999999997</v>
      </c>
    </row>
    <row r="789" spans="1:14" x14ac:dyDescent="0.35">
      <c r="A789" s="1" t="s">
        <v>801</v>
      </c>
      <c r="B789" t="str">
        <f>HYPERLINK("https://www.suredividend.com/sure-analysis-research-database/","Inspired Entertainment Inc")</f>
        <v>Inspired Entertainment Inc</v>
      </c>
      <c r="C789" t="s">
        <v>1807</v>
      </c>
      <c r="D789">
        <v>11.06</v>
      </c>
      <c r="E789">
        <v>0</v>
      </c>
      <c r="F789" t="s">
        <v>1798</v>
      </c>
      <c r="G789" t="s">
        <v>1798</v>
      </c>
      <c r="H789">
        <v>0</v>
      </c>
      <c r="I789">
        <v>291.28264100000001</v>
      </c>
      <c r="J789">
        <v>0</v>
      </c>
      <c r="K789" t="s">
        <v>1798</v>
      </c>
      <c r="L789">
        <v>0.93388999467355704</v>
      </c>
      <c r="M789">
        <v>16.440000000000001</v>
      </c>
      <c r="N789">
        <v>9.0500000000000007</v>
      </c>
    </row>
    <row r="790" spans="1:14" x14ac:dyDescent="0.35">
      <c r="A790" s="1" t="s">
        <v>802</v>
      </c>
      <c r="B790" t="str">
        <f>HYPERLINK("https://www.suredividend.com/sure-analysis-research-database/","Inseego Corp")</f>
        <v>Inseego Corp</v>
      </c>
      <c r="C790" t="s">
        <v>1804</v>
      </c>
      <c r="D790">
        <v>0.39500000000000002</v>
      </c>
      <c r="E790">
        <v>0</v>
      </c>
      <c r="F790" t="s">
        <v>1798</v>
      </c>
      <c r="G790" t="s">
        <v>1798</v>
      </c>
      <c r="H790">
        <v>0</v>
      </c>
      <c r="I790">
        <v>46.164842999999998</v>
      </c>
      <c r="J790" t="s">
        <v>1798</v>
      </c>
      <c r="K790">
        <v>0</v>
      </c>
      <c r="L790">
        <v>2.01741153121369</v>
      </c>
      <c r="M790">
        <v>2.36</v>
      </c>
      <c r="N790">
        <v>0.38019999999999998</v>
      </c>
    </row>
    <row r="791" spans="1:14" x14ac:dyDescent="0.35">
      <c r="A791" s="1" t="s">
        <v>803</v>
      </c>
      <c r="B791" t="str">
        <f>HYPERLINK("https://www.suredividend.com/sure-analysis-research-database/","Insmed Inc")</f>
        <v>Insmed Inc</v>
      </c>
      <c r="C791" t="s">
        <v>1803</v>
      </c>
      <c r="D791">
        <v>24.76</v>
      </c>
      <c r="E791">
        <v>0</v>
      </c>
      <c r="F791" t="s">
        <v>1798</v>
      </c>
      <c r="G791" t="s">
        <v>1798</v>
      </c>
      <c r="H791">
        <v>0</v>
      </c>
      <c r="I791">
        <v>3560.4879999999998</v>
      </c>
      <c r="J791" t="s">
        <v>1798</v>
      </c>
      <c r="K791">
        <v>0</v>
      </c>
      <c r="L791">
        <v>0.75263466169667503</v>
      </c>
      <c r="M791">
        <v>27.59</v>
      </c>
      <c r="N791">
        <v>16.04</v>
      </c>
    </row>
    <row r="792" spans="1:14" x14ac:dyDescent="0.35">
      <c r="A792" s="1" t="s">
        <v>804</v>
      </c>
      <c r="B792" t="str">
        <f>HYPERLINK("https://www.suredividend.com/sure-analysis-research-database/","Inspire Medical Systems Inc")</f>
        <v>Inspire Medical Systems Inc</v>
      </c>
      <c r="C792" t="s">
        <v>1803</v>
      </c>
      <c r="D792">
        <v>150.47</v>
      </c>
      <c r="E792">
        <v>0</v>
      </c>
      <c r="F792" t="s">
        <v>1798</v>
      </c>
      <c r="G792" t="s">
        <v>1798</v>
      </c>
      <c r="H792">
        <v>0</v>
      </c>
      <c r="I792">
        <v>4414.1474440000002</v>
      </c>
      <c r="J792" t="s">
        <v>1798</v>
      </c>
      <c r="K792">
        <v>0</v>
      </c>
      <c r="L792">
        <v>1.1104731012092739</v>
      </c>
      <c r="M792">
        <v>330</v>
      </c>
      <c r="N792">
        <v>144.13</v>
      </c>
    </row>
    <row r="793" spans="1:14" x14ac:dyDescent="0.35">
      <c r="A793" s="1" t="s">
        <v>805</v>
      </c>
      <c r="B793" t="str">
        <f>HYPERLINK("https://www.suredividend.com/sure-analysis-research-database/","Instructure Holdings Inc")</f>
        <v>Instructure Holdings Inc</v>
      </c>
      <c r="C793" t="s">
        <v>1798</v>
      </c>
      <c r="D793">
        <v>25.87</v>
      </c>
      <c r="E793">
        <v>0</v>
      </c>
      <c r="F793" t="s">
        <v>1798</v>
      </c>
      <c r="G793" t="s">
        <v>1798</v>
      </c>
      <c r="H793">
        <v>0</v>
      </c>
      <c r="I793">
        <v>3725.040211</v>
      </c>
      <c r="J793" t="s">
        <v>1798</v>
      </c>
      <c r="K793">
        <v>0</v>
      </c>
      <c r="L793">
        <v>0.62256992003575506</v>
      </c>
      <c r="M793">
        <v>31.47</v>
      </c>
      <c r="N793">
        <v>21</v>
      </c>
    </row>
    <row r="794" spans="1:14" x14ac:dyDescent="0.35">
      <c r="A794" s="1" t="s">
        <v>806</v>
      </c>
      <c r="B794" t="str">
        <f>HYPERLINK("https://www.suredividend.com/sure-analysis-research-database/","International Seaways Inc")</f>
        <v>International Seaways Inc</v>
      </c>
      <c r="C794" t="s">
        <v>1799</v>
      </c>
      <c r="D794">
        <v>45.89</v>
      </c>
      <c r="E794">
        <v>0.112051832002676</v>
      </c>
      <c r="F794">
        <v>-0.93617021276595747</v>
      </c>
      <c r="G794">
        <v>0.1486983549970351</v>
      </c>
      <c r="H794">
        <v>5.1420585706028454</v>
      </c>
      <c r="I794">
        <v>2243.5621000000001</v>
      </c>
      <c r="J794">
        <v>3.4083686921858081</v>
      </c>
      <c r="K794">
        <v>0.38866655862455368</v>
      </c>
      <c r="L794">
        <v>0.39087873877271601</v>
      </c>
      <c r="M794">
        <v>52.79</v>
      </c>
      <c r="N794">
        <v>32.75</v>
      </c>
    </row>
    <row r="795" spans="1:14" x14ac:dyDescent="0.35">
      <c r="A795" s="1" t="s">
        <v>807</v>
      </c>
      <c r="B795" t="str">
        <f>HYPERLINK("https://www.suredividend.com/sure-analysis-research-database/","Intapp Inc")</f>
        <v>Intapp Inc</v>
      </c>
      <c r="C795" t="s">
        <v>1798</v>
      </c>
      <c r="D795">
        <v>34.340000000000003</v>
      </c>
      <c r="E795">
        <v>0</v>
      </c>
      <c r="F795" t="s">
        <v>1798</v>
      </c>
      <c r="G795" t="s">
        <v>1798</v>
      </c>
      <c r="H795">
        <v>0</v>
      </c>
      <c r="I795">
        <v>2377.7242299999998</v>
      </c>
      <c r="J795" t="s">
        <v>1798</v>
      </c>
      <c r="K795">
        <v>0</v>
      </c>
      <c r="L795">
        <v>0.81639700007908311</v>
      </c>
      <c r="M795">
        <v>50.46</v>
      </c>
      <c r="N795">
        <v>19.579999999999998</v>
      </c>
    </row>
    <row r="796" spans="1:14" x14ac:dyDescent="0.35">
      <c r="A796" s="1" t="s">
        <v>808</v>
      </c>
      <c r="B796" t="str">
        <f>HYPERLINK("https://www.suredividend.com/sure-analysis-research-database/","Innoviva Inc")</f>
        <v>Innoviva Inc</v>
      </c>
      <c r="C796" t="s">
        <v>1803</v>
      </c>
      <c r="D796">
        <v>13.31</v>
      </c>
      <c r="E796">
        <v>0</v>
      </c>
      <c r="F796" t="s">
        <v>1798</v>
      </c>
      <c r="G796" t="s">
        <v>1798</v>
      </c>
      <c r="H796">
        <v>0</v>
      </c>
      <c r="I796">
        <v>866.45464600000003</v>
      </c>
      <c r="J796">
        <v>3.7130481851607429</v>
      </c>
      <c r="K796">
        <v>0</v>
      </c>
      <c r="M796">
        <v>13.9</v>
      </c>
      <c r="N796">
        <v>10.64</v>
      </c>
    </row>
    <row r="797" spans="1:14" x14ac:dyDescent="0.35">
      <c r="A797" s="1" t="s">
        <v>809</v>
      </c>
      <c r="B797" t="str">
        <f>HYPERLINK("https://www.suredividend.com/sure-analysis-research-database/","Identiv Inc")</f>
        <v>Identiv Inc</v>
      </c>
      <c r="C797" t="s">
        <v>1804</v>
      </c>
      <c r="D797">
        <v>7.29</v>
      </c>
      <c r="E797">
        <v>0</v>
      </c>
      <c r="F797" t="s">
        <v>1798</v>
      </c>
      <c r="G797" t="s">
        <v>1798</v>
      </c>
      <c r="H797">
        <v>0</v>
      </c>
      <c r="I797">
        <v>168.61635899999999</v>
      </c>
      <c r="J797" t="s">
        <v>1798</v>
      </c>
      <c r="K797">
        <v>0</v>
      </c>
      <c r="L797">
        <v>1.745554825547224</v>
      </c>
      <c r="M797">
        <v>12.62</v>
      </c>
      <c r="N797">
        <v>5.07</v>
      </c>
    </row>
    <row r="798" spans="1:14" x14ac:dyDescent="0.35">
      <c r="A798" s="1" t="s">
        <v>810</v>
      </c>
      <c r="B798" t="str">
        <f>HYPERLINK("https://www.suredividend.com/sure-analysis-research-database/","IonQ Inc")</f>
        <v>IonQ Inc</v>
      </c>
      <c r="C798" t="s">
        <v>1798</v>
      </c>
      <c r="D798">
        <v>14.29</v>
      </c>
      <c r="E798">
        <v>0</v>
      </c>
      <c r="F798" t="s">
        <v>1798</v>
      </c>
      <c r="G798" t="s">
        <v>1798</v>
      </c>
      <c r="H798">
        <v>0</v>
      </c>
      <c r="I798">
        <v>2895.0876659999999</v>
      </c>
      <c r="J798" t="s">
        <v>1798</v>
      </c>
      <c r="K798">
        <v>0</v>
      </c>
      <c r="L798">
        <v>2.6981907388253781</v>
      </c>
      <c r="M798">
        <v>21.6</v>
      </c>
      <c r="N798">
        <v>3.04</v>
      </c>
    </row>
    <row r="799" spans="1:14" x14ac:dyDescent="0.35">
      <c r="A799" s="1" t="s">
        <v>811</v>
      </c>
      <c r="B799" t="str">
        <f>HYPERLINK("https://www.suredividend.com/sure-analysis-research-database/","Innospec Inc")</f>
        <v>Innospec Inc</v>
      </c>
      <c r="C799" t="s">
        <v>1809</v>
      </c>
      <c r="D799">
        <v>98.74</v>
      </c>
      <c r="E799">
        <v>1.3478948080254001E-2</v>
      </c>
      <c r="F799" t="s">
        <v>1798</v>
      </c>
      <c r="G799" t="s">
        <v>1798</v>
      </c>
      <c r="H799">
        <v>1.3309113334443221</v>
      </c>
      <c r="I799">
        <v>2455.2674579999998</v>
      </c>
      <c r="J799">
        <v>19.4399640351544</v>
      </c>
      <c r="K799">
        <v>0.263546798701846</v>
      </c>
      <c r="L799">
        <v>0.87679458725104209</v>
      </c>
      <c r="M799">
        <v>114.38</v>
      </c>
      <c r="N799">
        <v>88.46</v>
      </c>
    </row>
    <row r="800" spans="1:14" x14ac:dyDescent="0.35">
      <c r="A800" s="1" t="s">
        <v>812</v>
      </c>
      <c r="B800" t="str">
        <f>HYPERLINK("https://www.suredividend.com/sure-analysis-research-database/","Iovance Biotherapeutics Inc")</f>
        <v>Iovance Biotherapeutics Inc</v>
      </c>
      <c r="C800" t="s">
        <v>1803</v>
      </c>
      <c r="D800">
        <v>3.63</v>
      </c>
      <c r="E800">
        <v>0</v>
      </c>
      <c r="F800" t="s">
        <v>1798</v>
      </c>
      <c r="G800" t="s">
        <v>1798</v>
      </c>
      <c r="H800">
        <v>0</v>
      </c>
      <c r="I800">
        <v>899.42925000000002</v>
      </c>
      <c r="J800">
        <v>0</v>
      </c>
      <c r="K800" t="s">
        <v>1798</v>
      </c>
      <c r="L800">
        <v>1.091453799345768</v>
      </c>
      <c r="M800">
        <v>10.14</v>
      </c>
      <c r="N800">
        <v>3.56</v>
      </c>
    </row>
    <row r="801" spans="1:14" x14ac:dyDescent="0.35">
      <c r="A801" s="1" t="s">
        <v>813</v>
      </c>
      <c r="B801" t="str">
        <f>HYPERLINK("https://www.suredividend.com/sure-analysis-IPAR/","Inter Parfums, Inc.")</f>
        <v>Inter Parfums, Inc.</v>
      </c>
      <c r="C801" t="s">
        <v>1805</v>
      </c>
      <c r="D801">
        <v>122.51</v>
      </c>
      <c r="E801">
        <v>2.0406497428781319E-2</v>
      </c>
      <c r="F801" t="s">
        <v>1798</v>
      </c>
      <c r="G801" t="s">
        <v>1798</v>
      </c>
      <c r="H801">
        <v>2.3459754208905079</v>
      </c>
      <c r="I801">
        <v>3917.339332</v>
      </c>
      <c r="J801">
        <v>26.640774002842711</v>
      </c>
      <c r="K801">
        <v>0.51222170761801478</v>
      </c>
      <c r="L801">
        <v>0.95030255643492711</v>
      </c>
      <c r="M801">
        <v>158.19</v>
      </c>
      <c r="N801">
        <v>71.39</v>
      </c>
    </row>
    <row r="802" spans="1:14" x14ac:dyDescent="0.35">
      <c r="A802" s="1" t="s">
        <v>814</v>
      </c>
      <c r="B802" t="str">
        <f>HYPERLINK("https://www.suredividend.com/sure-analysis-research-database/","Intrepid Potash Inc")</f>
        <v>Intrepid Potash Inc</v>
      </c>
      <c r="C802" t="s">
        <v>1809</v>
      </c>
      <c r="D802">
        <v>21.98</v>
      </c>
      <c r="E802">
        <v>0</v>
      </c>
      <c r="F802" t="s">
        <v>1798</v>
      </c>
      <c r="G802" t="s">
        <v>1798</v>
      </c>
      <c r="H802">
        <v>0</v>
      </c>
      <c r="I802">
        <v>289.31098100000003</v>
      </c>
      <c r="J802">
        <v>11.169876865758081</v>
      </c>
      <c r="K802">
        <v>0</v>
      </c>
      <c r="L802">
        <v>1.4387539673434271</v>
      </c>
      <c r="M802">
        <v>46.88</v>
      </c>
      <c r="N802">
        <v>17.23</v>
      </c>
    </row>
    <row r="803" spans="1:14" x14ac:dyDescent="0.35">
      <c r="A803" s="1" t="s">
        <v>815</v>
      </c>
      <c r="B803" t="str">
        <f>HYPERLINK("https://www.suredividend.com/sure-analysis-research-database/","Century Therapeutics Inc")</f>
        <v>Century Therapeutics Inc</v>
      </c>
      <c r="C803" t="s">
        <v>1798</v>
      </c>
      <c r="D803">
        <v>1.635</v>
      </c>
      <c r="E803">
        <v>0</v>
      </c>
      <c r="F803" t="s">
        <v>1798</v>
      </c>
      <c r="G803" t="s">
        <v>1798</v>
      </c>
      <c r="H803">
        <v>0</v>
      </c>
      <c r="I803">
        <v>97.716216000000003</v>
      </c>
      <c r="J803" t="s">
        <v>1798</v>
      </c>
      <c r="K803">
        <v>0</v>
      </c>
      <c r="L803">
        <v>1.2388789451764339</v>
      </c>
      <c r="M803">
        <v>11.95</v>
      </c>
      <c r="N803">
        <v>1.58</v>
      </c>
    </row>
    <row r="804" spans="1:14" x14ac:dyDescent="0.35">
      <c r="A804" s="1" t="s">
        <v>816</v>
      </c>
      <c r="B804" t="str">
        <f>HYPERLINK("https://www.suredividend.com/sure-analysis-research-database/","Irobot Corp")</f>
        <v>Irobot Corp</v>
      </c>
      <c r="C804" t="s">
        <v>1804</v>
      </c>
      <c r="D804">
        <v>38.270000000000003</v>
      </c>
      <c r="E804">
        <v>0</v>
      </c>
      <c r="F804" t="s">
        <v>1798</v>
      </c>
      <c r="G804" t="s">
        <v>1798</v>
      </c>
      <c r="H804">
        <v>0</v>
      </c>
      <c r="I804">
        <v>1059.934072</v>
      </c>
      <c r="J804" t="s">
        <v>1798</v>
      </c>
      <c r="K804">
        <v>0</v>
      </c>
      <c r="L804">
        <v>0.18753449234111899</v>
      </c>
      <c r="M804">
        <v>56.74</v>
      </c>
      <c r="N804">
        <v>31.37</v>
      </c>
    </row>
    <row r="805" spans="1:14" x14ac:dyDescent="0.35">
      <c r="A805" s="1" t="s">
        <v>817</v>
      </c>
      <c r="B805" t="str">
        <f>HYPERLINK("https://www.suredividend.com/sure-analysis-research-database/","Iridium Communications Inc")</f>
        <v>Iridium Communications Inc</v>
      </c>
      <c r="C805" t="s">
        <v>1807</v>
      </c>
      <c r="D805">
        <v>42.48</v>
      </c>
      <c r="E805">
        <v>9.1413150190390001E-3</v>
      </c>
      <c r="F805" t="s">
        <v>1798</v>
      </c>
      <c r="G805" t="s">
        <v>1798</v>
      </c>
      <c r="H805">
        <v>0.38832306200877698</v>
      </c>
      <c r="I805">
        <v>5312.1521220000004</v>
      </c>
      <c r="J805" t="s">
        <v>1798</v>
      </c>
      <c r="K805" t="s">
        <v>1798</v>
      </c>
      <c r="L805">
        <v>0.71667430913765207</v>
      </c>
      <c r="M805">
        <v>67.83</v>
      </c>
      <c r="N805">
        <v>41.33</v>
      </c>
    </row>
    <row r="806" spans="1:14" x14ac:dyDescent="0.35">
      <c r="A806" s="1" t="s">
        <v>818</v>
      </c>
      <c r="B806" t="str">
        <f>HYPERLINK("https://www.suredividend.com/sure-analysis-research-database/","Iradimed Corp")</f>
        <v>Iradimed Corp</v>
      </c>
      <c r="C806" t="s">
        <v>1803</v>
      </c>
      <c r="D806">
        <v>38.17</v>
      </c>
      <c r="E806">
        <v>2.7508513290968001E-2</v>
      </c>
      <c r="F806" t="s">
        <v>1798</v>
      </c>
      <c r="G806" t="s">
        <v>1798</v>
      </c>
      <c r="H806">
        <v>1.049999952316284</v>
      </c>
      <c r="I806">
        <v>481.04402800000003</v>
      </c>
      <c r="J806">
        <v>0</v>
      </c>
      <c r="K806" t="s">
        <v>1798</v>
      </c>
      <c r="L806">
        <v>0.80719938731378504</v>
      </c>
      <c r="M806">
        <v>51.04</v>
      </c>
      <c r="N806">
        <v>25.23</v>
      </c>
    </row>
    <row r="807" spans="1:14" x14ac:dyDescent="0.35">
      <c r="A807" s="1" t="s">
        <v>819</v>
      </c>
      <c r="B807" t="str">
        <f>HYPERLINK("https://www.suredividend.com/sure-analysis-research-database/","IronNet Inc")</f>
        <v>IronNet Inc</v>
      </c>
      <c r="C807" t="s">
        <v>1798</v>
      </c>
      <c r="D807">
        <v>0.127</v>
      </c>
      <c r="E807">
        <v>0</v>
      </c>
      <c r="F807" t="s">
        <v>1798</v>
      </c>
      <c r="G807" t="s">
        <v>1798</v>
      </c>
      <c r="H807">
        <v>0</v>
      </c>
      <c r="I807">
        <v>0</v>
      </c>
      <c r="J807">
        <v>0</v>
      </c>
      <c r="K807">
        <v>0</v>
      </c>
    </row>
    <row r="808" spans="1:14" x14ac:dyDescent="0.35">
      <c r="A808" s="1" t="s">
        <v>820</v>
      </c>
      <c r="B808" t="str">
        <f>HYPERLINK("https://www.suredividend.com/sure-analysis-IRT/","Independence Realty Trust Inc")</f>
        <v>Independence Realty Trust Inc</v>
      </c>
      <c r="C808" t="s">
        <v>1800</v>
      </c>
      <c r="D808">
        <v>13.78</v>
      </c>
      <c r="E808">
        <v>4.6444121915820029E-2</v>
      </c>
      <c r="F808">
        <v>0.14285714285714279</v>
      </c>
      <c r="G808">
        <v>-2.328131613882611E-2</v>
      </c>
      <c r="H808">
        <v>0.591322504621139</v>
      </c>
      <c r="I808">
        <v>3096.478803</v>
      </c>
      <c r="J808">
        <v>44.739691712011087</v>
      </c>
      <c r="K808">
        <v>1.921125746007599</v>
      </c>
      <c r="L808">
        <v>1.135521449446373</v>
      </c>
      <c r="M808">
        <v>19.11</v>
      </c>
      <c r="N808">
        <v>13.43</v>
      </c>
    </row>
    <row r="809" spans="1:14" x14ac:dyDescent="0.35">
      <c r="A809" s="1" t="s">
        <v>821</v>
      </c>
      <c r="B809" t="str">
        <f>HYPERLINK("https://www.suredividend.com/sure-analysis-research-database/","iRhythm Technologies Inc")</f>
        <v>iRhythm Technologies Inc</v>
      </c>
      <c r="C809" t="s">
        <v>1803</v>
      </c>
      <c r="D809">
        <v>83.5</v>
      </c>
      <c r="E809">
        <v>0</v>
      </c>
      <c r="F809" t="s">
        <v>1798</v>
      </c>
      <c r="G809" t="s">
        <v>1798</v>
      </c>
      <c r="H809">
        <v>0</v>
      </c>
      <c r="I809">
        <v>2553.2228369999998</v>
      </c>
      <c r="J809" t="s">
        <v>1798</v>
      </c>
      <c r="K809">
        <v>0</v>
      </c>
      <c r="L809">
        <v>1.142926958989799</v>
      </c>
      <c r="M809">
        <v>140.22999999999999</v>
      </c>
      <c r="N809">
        <v>79.36</v>
      </c>
    </row>
    <row r="810" spans="1:14" x14ac:dyDescent="0.35">
      <c r="A810" s="1" t="s">
        <v>822</v>
      </c>
      <c r="B810" t="str">
        <f>HYPERLINK("https://www.suredividend.com/sure-analysis-research-database/","Ironwood Pharmaceuticals Inc")</f>
        <v>Ironwood Pharmaceuticals Inc</v>
      </c>
      <c r="C810" t="s">
        <v>1803</v>
      </c>
      <c r="D810">
        <v>9.35</v>
      </c>
      <c r="E810">
        <v>0</v>
      </c>
      <c r="F810" t="s">
        <v>1798</v>
      </c>
      <c r="G810" t="s">
        <v>1798</v>
      </c>
      <c r="H810">
        <v>0</v>
      </c>
      <c r="I810">
        <v>1458.872889</v>
      </c>
      <c r="J810" t="s">
        <v>1798</v>
      </c>
      <c r="K810">
        <v>0</v>
      </c>
      <c r="L810">
        <v>0.58789333171783309</v>
      </c>
      <c r="M810">
        <v>12.66</v>
      </c>
      <c r="N810">
        <v>8.07</v>
      </c>
    </row>
    <row r="811" spans="1:14" x14ac:dyDescent="0.35">
      <c r="A811" s="1" t="s">
        <v>823</v>
      </c>
      <c r="B811" t="str">
        <f>HYPERLINK("https://www.suredividend.com/sure-analysis-research-database/","IVERIC bio Inc")</f>
        <v>IVERIC bio Inc</v>
      </c>
      <c r="C811" t="s">
        <v>1803</v>
      </c>
      <c r="D811">
        <v>39.950000000000003</v>
      </c>
      <c r="E811">
        <v>0</v>
      </c>
      <c r="F811" t="s">
        <v>1798</v>
      </c>
      <c r="G811" t="s">
        <v>1798</v>
      </c>
      <c r="H811">
        <v>0</v>
      </c>
      <c r="I811">
        <v>0</v>
      </c>
      <c r="J811">
        <v>0</v>
      </c>
      <c r="K811" t="s">
        <v>1798</v>
      </c>
    </row>
    <row r="812" spans="1:14" x14ac:dyDescent="0.35">
      <c r="A812" s="1" t="s">
        <v>824</v>
      </c>
      <c r="B812" t="str">
        <f>HYPERLINK("https://www.suredividend.com/sure-analysis-research-database/","Inspirato Incorporated")</f>
        <v>Inspirato Incorporated</v>
      </c>
      <c r="C812" t="s">
        <v>1798</v>
      </c>
      <c r="D812">
        <v>0.34960000000000002</v>
      </c>
      <c r="E812">
        <v>0</v>
      </c>
      <c r="F812" t="s">
        <v>1798</v>
      </c>
      <c r="G812" t="s">
        <v>1798</v>
      </c>
      <c r="H812">
        <v>0</v>
      </c>
      <c r="I812">
        <v>24.020436</v>
      </c>
      <c r="J812">
        <v>0</v>
      </c>
      <c r="K812" t="s">
        <v>1798</v>
      </c>
      <c r="L812">
        <v>1.343652397650382</v>
      </c>
      <c r="M812">
        <v>2.38</v>
      </c>
      <c r="N812">
        <v>0.34410000000000002</v>
      </c>
    </row>
    <row r="813" spans="1:14" x14ac:dyDescent="0.35">
      <c r="A813" s="1" t="s">
        <v>825</v>
      </c>
      <c r="B813" t="str">
        <f>HYPERLINK("https://www.suredividend.com/sure-analysis-research-database/","Intra-Cellular Therapies Inc")</f>
        <v>Intra-Cellular Therapies Inc</v>
      </c>
      <c r="C813" t="s">
        <v>1803</v>
      </c>
      <c r="D813">
        <v>53.66</v>
      </c>
      <c r="E813">
        <v>0</v>
      </c>
      <c r="F813" t="s">
        <v>1798</v>
      </c>
      <c r="G813" t="s">
        <v>1798</v>
      </c>
      <c r="H813">
        <v>0</v>
      </c>
      <c r="I813">
        <v>5147.3677500000003</v>
      </c>
      <c r="J813">
        <v>0</v>
      </c>
      <c r="K813" t="s">
        <v>1798</v>
      </c>
      <c r="L813">
        <v>0.61665278812401603</v>
      </c>
      <c r="M813">
        <v>67.05</v>
      </c>
      <c r="N813">
        <v>42.01</v>
      </c>
    </row>
    <row r="814" spans="1:14" x14ac:dyDescent="0.35">
      <c r="A814" s="1" t="s">
        <v>826</v>
      </c>
      <c r="B814" t="str">
        <f>HYPERLINK("https://www.suredividend.com/sure-analysis-research-database/","Integer Holdings Corp")</f>
        <v>Integer Holdings Corp</v>
      </c>
      <c r="C814" t="s">
        <v>1803</v>
      </c>
      <c r="D814">
        <v>75.260000000000005</v>
      </c>
      <c r="E814">
        <v>0</v>
      </c>
      <c r="F814" t="s">
        <v>1798</v>
      </c>
      <c r="G814" t="s">
        <v>1798</v>
      </c>
      <c r="H814">
        <v>0</v>
      </c>
      <c r="I814">
        <v>2506.7661010000002</v>
      </c>
      <c r="J814">
        <v>35.202444892571272</v>
      </c>
      <c r="K814">
        <v>0</v>
      </c>
      <c r="L814">
        <v>0.85088258386528204</v>
      </c>
      <c r="M814">
        <v>96.17</v>
      </c>
      <c r="N814">
        <v>55.08</v>
      </c>
    </row>
    <row r="815" spans="1:14" x14ac:dyDescent="0.35">
      <c r="A815" s="1" t="s">
        <v>827</v>
      </c>
      <c r="B815" t="str">
        <f>HYPERLINK("https://www.suredividend.com/sure-analysis-research-database/","Investors Title Co.")</f>
        <v>Investors Title Co.</v>
      </c>
      <c r="C815" t="s">
        <v>1801</v>
      </c>
      <c r="D815">
        <v>144.4</v>
      </c>
      <c r="E815">
        <v>1.2628833518680001E-2</v>
      </c>
      <c r="F815">
        <v>0</v>
      </c>
      <c r="G815">
        <v>2.834672210021361E-2</v>
      </c>
      <c r="H815">
        <v>1.823603560097429</v>
      </c>
      <c r="I815">
        <v>273.00596100000001</v>
      </c>
      <c r="J815">
        <v>0</v>
      </c>
      <c r="K815" t="s">
        <v>1798</v>
      </c>
      <c r="M815">
        <v>165.11</v>
      </c>
      <c r="N815">
        <v>123.38</v>
      </c>
    </row>
    <row r="816" spans="1:14" x14ac:dyDescent="0.35">
      <c r="A816" s="1" t="s">
        <v>828</v>
      </c>
      <c r="B816" t="str">
        <f>HYPERLINK("https://www.suredividend.com/sure-analysis-research-database/","ITeos Therapeutics Inc")</f>
        <v>ITeos Therapeutics Inc</v>
      </c>
      <c r="C816" t="s">
        <v>1798</v>
      </c>
      <c r="D816">
        <v>9.0399999999999991</v>
      </c>
      <c r="E816">
        <v>0</v>
      </c>
      <c r="F816" t="s">
        <v>1798</v>
      </c>
      <c r="G816" t="s">
        <v>1798</v>
      </c>
      <c r="H816">
        <v>0</v>
      </c>
      <c r="I816">
        <v>323.468548</v>
      </c>
      <c r="J816" t="s">
        <v>1798</v>
      </c>
      <c r="K816">
        <v>0</v>
      </c>
      <c r="L816">
        <v>1.014265099909633</v>
      </c>
      <c r="M816">
        <v>23</v>
      </c>
      <c r="N816">
        <v>8.1999999999999993</v>
      </c>
    </row>
    <row r="817" spans="1:14" x14ac:dyDescent="0.35">
      <c r="A817" s="1" t="s">
        <v>829</v>
      </c>
      <c r="B817" t="str">
        <f>HYPERLINK("https://www.suredividend.com/sure-analysis-research-database/","Itron Inc.")</f>
        <v>Itron Inc.</v>
      </c>
      <c r="C817" t="s">
        <v>1804</v>
      </c>
      <c r="D817">
        <v>57.54</v>
      </c>
      <c r="E817">
        <v>0</v>
      </c>
      <c r="F817" t="s">
        <v>1798</v>
      </c>
      <c r="G817" t="s">
        <v>1798</v>
      </c>
      <c r="H817">
        <v>0</v>
      </c>
      <c r="I817">
        <v>2615.7815190000001</v>
      </c>
      <c r="J817">
        <v>67.60173461311831</v>
      </c>
      <c r="K817">
        <v>0</v>
      </c>
      <c r="L817">
        <v>1.3356093138370171</v>
      </c>
      <c r="M817">
        <v>79.989999999999995</v>
      </c>
      <c r="N817">
        <v>39.380000000000003</v>
      </c>
    </row>
    <row r="818" spans="1:14" x14ac:dyDescent="0.35">
      <c r="A818" s="1" t="s">
        <v>830</v>
      </c>
      <c r="B818" t="str">
        <f>HYPERLINK("https://www.suredividend.com/sure-analysis-research-database/","Invesco Mortgage Capital Inc")</f>
        <v>Invesco Mortgage Capital Inc</v>
      </c>
      <c r="C818" t="s">
        <v>1800</v>
      </c>
      <c r="D818">
        <v>8.2899999999999991</v>
      </c>
      <c r="E818">
        <v>0.20877184499533699</v>
      </c>
      <c r="F818">
        <v>-0.38461538461538458</v>
      </c>
      <c r="G818">
        <v>-2.328131613882611E-2</v>
      </c>
      <c r="H818">
        <v>1.7307185950113479</v>
      </c>
      <c r="I818">
        <v>369.56706400000002</v>
      </c>
      <c r="J818" t="s">
        <v>1798</v>
      </c>
      <c r="K818" t="s">
        <v>1798</v>
      </c>
      <c r="L818">
        <v>1.228568766757917</v>
      </c>
      <c r="M818">
        <v>13.85</v>
      </c>
      <c r="N818">
        <v>8.26</v>
      </c>
    </row>
    <row r="819" spans="1:14" x14ac:dyDescent="0.35">
      <c r="A819" s="1" t="s">
        <v>831</v>
      </c>
      <c r="B819" t="str">
        <f>HYPERLINK("https://www.suredividend.com/sure-analysis-research-database/","InvenTrust Properties Corp")</f>
        <v>InvenTrust Properties Corp</v>
      </c>
      <c r="C819" t="s">
        <v>1798</v>
      </c>
      <c r="D819">
        <v>25.44</v>
      </c>
      <c r="E819">
        <v>3.3025119874010002E-2</v>
      </c>
      <c r="F819" t="s">
        <v>1798</v>
      </c>
      <c r="G819" t="s">
        <v>1798</v>
      </c>
      <c r="H819">
        <v>0.84015904959481602</v>
      </c>
      <c r="I819">
        <v>1717.9971619999999</v>
      </c>
      <c r="J819">
        <v>0</v>
      </c>
      <c r="K819" t="s">
        <v>1798</v>
      </c>
      <c r="L819">
        <v>1.0165275128465441</v>
      </c>
      <c r="M819">
        <v>25.95</v>
      </c>
      <c r="N819">
        <v>20.34</v>
      </c>
    </row>
    <row r="820" spans="1:14" x14ac:dyDescent="0.35">
      <c r="A820" s="1" t="s">
        <v>832</v>
      </c>
      <c r="B820" t="str">
        <f>HYPERLINK("https://www.suredividend.com/sure-analysis-research-database/","Invivyd Inc")</f>
        <v>Invivyd Inc</v>
      </c>
      <c r="C820" t="s">
        <v>1798</v>
      </c>
      <c r="D820">
        <v>1.65</v>
      </c>
      <c r="E820">
        <v>0</v>
      </c>
      <c r="F820" t="s">
        <v>1798</v>
      </c>
      <c r="G820" t="s">
        <v>1798</v>
      </c>
      <c r="H820">
        <v>0</v>
      </c>
      <c r="I820">
        <v>181.09678</v>
      </c>
      <c r="J820">
        <v>0</v>
      </c>
      <c r="K820" t="s">
        <v>1798</v>
      </c>
      <c r="L820">
        <v>1.058351508599763</v>
      </c>
      <c r="M820">
        <v>4.09</v>
      </c>
      <c r="N820">
        <v>0.98020000000000007</v>
      </c>
    </row>
    <row r="821" spans="1:14" x14ac:dyDescent="0.35">
      <c r="A821" s="1" t="s">
        <v>833</v>
      </c>
      <c r="B821" t="str">
        <f>HYPERLINK("https://www.suredividend.com/sure-analysis-JACK/","Jack In The Box, Inc.")</f>
        <v>Jack In The Box, Inc.</v>
      </c>
      <c r="C821" t="s">
        <v>1802</v>
      </c>
      <c r="D821">
        <v>63.79</v>
      </c>
      <c r="E821">
        <v>2.7590531431258818E-2</v>
      </c>
      <c r="F821" t="s">
        <v>1798</v>
      </c>
      <c r="G821" t="s">
        <v>1798</v>
      </c>
      <c r="H821">
        <v>1.7349819056395219</v>
      </c>
      <c r="I821">
        <v>1282.6870240000001</v>
      </c>
      <c r="J821">
        <v>8.2867878023348212</v>
      </c>
      <c r="K821">
        <v>0.23445701427561111</v>
      </c>
      <c r="L821">
        <v>0.7675088637925721</v>
      </c>
      <c r="M821">
        <v>98.5</v>
      </c>
      <c r="N821">
        <v>62.72</v>
      </c>
    </row>
    <row r="822" spans="1:14" x14ac:dyDescent="0.35">
      <c r="A822" s="1" t="s">
        <v>834</v>
      </c>
      <c r="B822" t="str">
        <f>HYPERLINK("https://www.suredividend.com/sure-analysis-research-database/","Janux Therapeutics Inc")</f>
        <v>Janux Therapeutics Inc</v>
      </c>
      <c r="C822" t="s">
        <v>1798</v>
      </c>
      <c r="D822">
        <v>8.74</v>
      </c>
      <c r="E822">
        <v>0</v>
      </c>
      <c r="F822" t="s">
        <v>1798</v>
      </c>
      <c r="G822" t="s">
        <v>1798</v>
      </c>
      <c r="H822">
        <v>0</v>
      </c>
      <c r="I822">
        <v>402.91399999999999</v>
      </c>
      <c r="J822" t="s">
        <v>1798</v>
      </c>
      <c r="K822">
        <v>0</v>
      </c>
      <c r="L822">
        <v>1.6452491832586771</v>
      </c>
      <c r="M822">
        <v>23.64</v>
      </c>
      <c r="N822">
        <v>8.69</v>
      </c>
    </row>
    <row r="823" spans="1:14" x14ac:dyDescent="0.35">
      <c r="A823" s="1" t="s">
        <v>835</v>
      </c>
      <c r="B823" t="str">
        <f>HYPERLINK("https://www.suredividend.com/sure-analysis-research-database/","Janus International Group Inc")</f>
        <v>Janus International Group Inc</v>
      </c>
      <c r="C823" t="s">
        <v>1798</v>
      </c>
      <c r="D823">
        <v>10.34</v>
      </c>
      <c r="E823">
        <v>0</v>
      </c>
      <c r="F823" t="s">
        <v>1798</v>
      </c>
      <c r="G823" t="s">
        <v>1798</v>
      </c>
      <c r="H823">
        <v>0</v>
      </c>
      <c r="I823">
        <v>1517.11582</v>
      </c>
      <c r="J823">
        <v>11.844971697597609</v>
      </c>
      <c r="K823">
        <v>0</v>
      </c>
      <c r="L823">
        <v>1.4788900827992739</v>
      </c>
      <c r="M823">
        <v>12.45</v>
      </c>
      <c r="N823">
        <v>8.1</v>
      </c>
    </row>
    <row r="824" spans="1:14" x14ac:dyDescent="0.35">
      <c r="A824" s="1" t="s">
        <v>836</v>
      </c>
      <c r="B824" t="str">
        <f>HYPERLINK("https://www.suredividend.com/sure-analysis-research-database/","Sanfilippo (John B.) &amp; Son, Inc")</f>
        <v>Sanfilippo (John B.) &amp; Son, Inc</v>
      </c>
      <c r="C824" t="s">
        <v>1805</v>
      </c>
      <c r="D824">
        <v>99.24</v>
      </c>
      <c r="E824">
        <v>8.061265738824E-3</v>
      </c>
      <c r="F824" t="s">
        <v>1798</v>
      </c>
      <c r="G824" t="s">
        <v>1798</v>
      </c>
      <c r="H824">
        <v>0.80000001192092907</v>
      </c>
      <c r="I824">
        <v>890.48359600000003</v>
      </c>
      <c r="J824">
        <v>14.166816686128829</v>
      </c>
      <c r="K824">
        <v>0.14814815035572759</v>
      </c>
      <c r="L824">
        <v>0.41437333205644111</v>
      </c>
      <c r="M824">
        <v>124.82</v>
      </c>
      <c r="N824">
        <v>72.84</v>
      </c>
    </row>
    <row r="825" spans="1:14" x14ac:dyDescent="0.35">
      <c r="A825" s="1" t="s">
        <v>837</v>
      </c>
      <c r="B825" t="str">
        <f>HYPERLINK("https://www.suredividend.com/sure-analysis-research-database/","John Bean Technologies Corp")</f>
        <v>John Bean Technologies Corp</v>
      </c>
      <c r="C825" t="s">
        <v>1799</v>
      </c>
      <c r="D825">
        <v>100.68</v>
      </c>
      <c r="E825">
        <v>3.9674520072560003E-3</v>
      </c>
      <c r="F825">
        <v>0</v>
      </c>
      <c r="G825">
        <v>0</v>
      </c>
      <c r="H825">
        <v>0.39944306809054297</v>
      </c>
      <c r="I825">
        <v>3205.4400740000001</v>
      </c>
      <c r="J825">
        <v>24.983944458612619</v>
      </c>
      <c r="K825">
        <v>9.8872046557065107E-2</v>
      </c>
      <c r="L825">
        <v>1.4904494399464621</v>
      </c>
      <c r="M825">
        <v>125.76</v>
      </c>
      <c r="N825">
        <v>83.67</v>
      </c>
    </row>
    <row r="826" spans="1:14" x14ac:dyDescent="0.35">
      <c r="A826" s="1" t="s">
        <v>838</v>
      </c>
      <c r="B826" t="str">
        <f>HYPERLINK("https://www.suredividend.com/sure-analysis-research-database/","JELD-WEN Holding Inc.")</f>
        <v>JELD-WEN Holding Inc.</v>
      </c>
      <c r="C826" t="s">
        <v>1799</v>
      </c>
      <c r="D826">
        <v>12.26</v>
      </c>
      <c r="E826">
        <v>0</v>
      </c>
      <c r="F826" t="s">
        <v>1798</v>
      </c>
      <c r="G826" t="s">
        <v>1798</v>
      </c>
      <c r="H826">
        <v>0</v>
      </c>
      <c r="I826">
        <v>1044.405162</v>
      </c>
      <c r="J826">
        <v>19.396871740212461</v>
      </c>
      <c r="K826">
        <v>0</v>
      </c>
      <c r="L826">
        <v>2.0075189095416839</v>
      </c>
      <c r="M826">
        <v>18.52</v>
      </c>
      <c r="N826">
        <v>8.3800000000000008</v>
      </c>
    </row>
    <row r="827" spans="1:14" x14ac:dyDescent="0.35">
      <c r="A827" s="1" t="s">
        <v>839</v>
      </c>
      <c r="B827" t="str">
        <f>HYPERLINK("https://www.suredividend.com/sure-analysis-JJSF/","J&amp;J Snack Foods Corp.")</f>
        <v>J&amp;J Snack Foods Corp.</v>
      </c>
      <c r="C827" t="s">
        <v>1805</v>
      </c>
      <c r="D827">
        <v>152.69999999999999</v>
      </c>
      <c r="E827">
        <v>1.8336607727570401E-2</v>
      </c>
      <c r="F827">
        <v>4.9999999999999822E-2</v>
      </c>
      <c r="G827">
        <v>8.0098758658889491E-2</v>
      </c>
      <c r="H827">
        <v>2.801227839933178</v>
      </c>
      <c r="I827">
        <v>2945.5523069999999</v>
      </c>
      <c r="J827">
        <v>44.768634505661517</v>
      </c>
      <c r="K827">
        <v>0.82147443986310198</v>
      </c>
      <c r="L827">
        <v>0.43411669264931402</v>
      </c>
      <c r="M827">
        <v>176.2</v>
      </c>
      <c r="N827">
        <v>130.29</v>
      </c>
    </row>
    <row r="828" spans="1:14" x14ac:dyDescent="0.35">
      <c r="A828" s="1" t="s">
        <v>840</v>
      </c>
      <c r="B828" t="str">
        <f>HYPERLINK("https://www.suredividend.com/sure-analysis-research-database/","John Marshall Bancorp Inc")</f>
        <v>John Marshall Bancorp Inc</v>
      </c>
      <c r="C828" t="s">
        <v>1801</v>
      </c>
      <c r="D828">
        <v>18</v>
      </c>
      <c r="E828">
        <v>1.2222222155994E-2</v>
      </c>
      <c r="F828" t="s">
        <v>1798</v>
      </c>
      <c r="G828" t="s">
        <v>1798</v>
      </c>
      <c r="H828">
        <v>0.21999999880790699</v>
      </c>
      <c r="I828">
        <v>254.27048400000001</v>
      </c>
      <c r="J828">
        <v>0</v>
      </c>
      <c r="K828" t="s">
        <v>1798</v>
      </c>
      <c r="L828">
        <v>1.0141396393864159</v>
      </c>
      <c r="M828">
        <v>29.27</v>
      </c>
      <c r="N828">
        <v>14.84</v>
      </c>
    </row>
    <row r="829" spans="1:14" x14ac:dyDescent="0.35">
      <c r="A829" s="1" t="s">
        <v>841</v>
      </c>
      <c r="B829" t="str">
        <f>HYPERLINK("https://www.suredividend.com/sure-analysis-research-database/","JOANN Inc")</f>
        <v>JOANN Inc</v>
      </c>
      <c r="C829" t="s">
        <v>1798</v>
      </c>
      <c r="D829">
        <v>0.72010000000000007</v>
      </c>
      <c r="E829">
        <v>0</v>
      </c>
      <c r="F829" t="s">
        <v>1798</v>
      </c>
      <c r="G829" t="s">
        <v>1798</v>
      </c>
      <c r="H829">
        <v>0</v>
      </c>
      <c r="I829">
        <v>30.176345000000001</v>
      </c>
      <c r="J829" t="s">
        <v>1798</v>
      </c>
      <c r="K829">
        <v>0</v>
      </c>
      <c r="L829">
        <v>1.235379521575213</v>
      </c>
      <c r="M829">
        <v>6.11</v>
      </c>
      <c r="N829">
        <v>0.55180000000000007</v>
      </c>
    </row>
    <row r="830" spans="1:14" x14ac:dyDescent="0.35">
      <c r="A830" s="1" t="s">
        <v>842</v>
      </c>
      <c r="B830" t="str">
        <f>HYPERLINK("https://www.suredividend.com/sure-analysis-research-database/","Joby Aviation Inc")</f>
        <v>Joby Aviation Inc</v>
      </c>
      <c r="C830" t="s">
        <v>1798</v>
      </c>
      <c r="D830">
        <v>6.22</v>
      </c>
      <c r="E830">
        <v>0</v>
      </c>
      <c r="F830" t="s">
        <v>1798</v>
      </c>
      <c r="G830" t="s">
        <v>1798</v>
      </c>
      <c r="H830">
        <v>0</v>
      </c>
      <c r="I830">
        <v>4315.4297800000004</v>
      </c>
      <c r="J830">
        <v>0</v>
      </c>
      <c r="K830" t="s">
        <v>1798</v>
      </c>
      <c r="L830">
        <v>2.0284022501114558</v>
      </c>
      <c r="M830">
        <v>11.98</v>
      </c>
      <c r="N830">
        <v>3.15</v>
      </c>
    </row>
    <row r="831" spans="1:14" x14ac:dyDescent="0.35">
      <c r="A831" s="1" t="s">
        <v>843</v>
      </c>
      <c r="B831" t="str">
        <f>HYPERLINK("https://www.suredividend.com/sure-analysis-research-database/","St. Joe Co.")</f>
        <v>St. Joe Co.</v>
      </c>
      <c r="C831" t="s">
        <v>1800</v>
      </c>
      <c r="D831">
        <v>50.88</v>
      </c>
      <c r="E831">
        <v>8.2296533292720003E-3</v>
      </c>
      <c r="F831" t="s">
        <v>1798</v>
      </c>
      <c r="G831" t="s">
        <v>1798</v>
      </c>
      <c r="H831">
        <v>0.41872476139338699</v>
      </c>
      <c r="I831">
        <v>2969.9693950000001</v>
      </c>
      <c r="J831">
        <v>34.698741663453788</v>
      </c>
      <c r="K831">
        <v>0.2867977817762925</v>
      </c>
      <c r="L831">
        <v>1.063138803553745</v>
      </c>
      <c r="M831">
        <v>65.86</v>
      </c>
      <c r="N831">
        <v>32.29</v>
      </c>
    </row>
    <row r="832" spans="1:14" x14ac:dyDescent="0.35">
      <c r="A832" s="1" t="s">
        <v>844</v>
      </c>
      <c r="B832" t="str">
        <f>HYPERLINK("https://www.suredividend.com/sure-analysis-research-database/","Johnson Outdoors Inc")</f>
        <v>Johnson Outdoors Inc</v>
      </c>
      <c r="C832" t="s">
        <v>1802</v>
      </c>
      <c r="D832">
        <v>52.17</v>
      </c>
      <c r="E832">
        <v>2.3778927460623999E-2</v>
      </c>
      <c r="F832">
        <v>6.4516129032258229E-2</v>
      </c>
      <c r="G832">
        <v>0.18707232699504719</v>
      </c>
      <c r="H832">
        <v>1.2405466456207741</v>
      </c>
      <c r="I832">
        <v>471.78118799999999</v>
      </c>
      <c r="J832">
        <v>10.47936889537983</v>
      </c>
      <c r="K832">
        <v>0.27940239766233649</v>
      </c>
      <c r="L832">
        <v>0.90540704562939012</v>
      </c>
      <c r="M832">
        <v>69.89</v>
      </c>
      <c r="N832">
        <v>44.82</v>
      </c>
    </row>
    <row r="833" spans="1:14" x14ac:dyDescent="0.35">
      <c r="A833" s="1" t="s">
        <v>845</v>
      </c>
      <c r="B833" t="str">
        <f>HYPERLINK("https://www.suredividend.com/sure-analysis-research-database/","James River Group Holdings Ltd")</f>
        <v>James River Group Holdings Ltd</v>
      </c>
      <c r="C833" t="s">
        <v>1801</v>
      </c>
      <c r="D833">
        <v>14.37</v>
      </c>
      <c r="E833">
        <v>1.3802725847069999E-2</v>
      </c>
      <c r="F833">
        <v>0</v>
      </c>
      <c r="G833">
        <v>-0.30117288122842079</v>
      </c>
      <c r="H833">
        <v>0.19834517042239999</v>
      </c>
      <c r="I833">
        <v>540.59579299999996</v>
      </c>
      <c r="J833">
        <v>15.056281663556611</v>
      </c>
      <c r="K833">
        <v>0.21627431078661</v>
      </c>
      <c r="L833">
        <v>0.85421460598590804</v>
      </c>
      <c r="M833">
        <v>26.17</v>
      </c>
      <c r="N833">
        <v>13.84</v>
      </c>
    </row>
    <row r="834" spans="1:14" x14ac:dyDescent="0.35">
      <c r="A834" s="1" t="s">
        <v>846</v>
      </c>
      <c r="B834" t="str">
        <f>HYPERLINK("https://www.suredividend.com/sure-analysis-research-database/","Jackson Financial Inc")</f>
        <v>Jackson Financial Inc</v>
      </c>
      <c r="C834" t="s">
        <v>1798</v>
      </c>
      <c r="D834">
        <v>39.21</v>
      </c>
      <c r="E834">
        <v>5.9915853080718007E-2</v>
      </c>
      <c r="F834" t="s">
        <v>1798</v>
      </c>
      <c r="G834" t="s">
        <v>1798</v>
      </c>
      <c r="H834">
        <v>2.349300599294974</v>
      </c>
      <c r="I834">
        <v>3211.723684</v>
      </c>
      <c r="J834">
        <v>6.7473186628361352</v>
      </c>
      <c r="K834">
        <v>0.42329740527837367</v>
      </c>
      <c r="L834">
        <v>1.8022886586615889</v>
      </c>
      <c r="M834">
        <v>47.05</v>
      </c>
      <c r="N834">
        <v>25.72</v>
      </c>
    </row>
    <row r="835" spans="1:14" x14ac:dyDescent="0.35">
      <c r="A835" s="1" t="s">
        <v>847</v>
      </c>
      <c r="B835" t="str">
        <f>HYPERLINK("https://www.suredividend.com/sure-analysis-research-database/","Joint Corp")</f>
        <v>Joint Corp</v>
      </c>
      <c r="C835" t="s">
        <v>1803</v>
      </c>
      <c r="D835">
        <v>8.1300000000000008</v>
      </c>
      <c r="E835">
        <v>0</v>
      </c>
      <c r="F835" t="s">
        <v>1798</v>
      </c>
      <c r="G835" t="s">
        <v>1798</v>
      </c>
      <c r="H835">
        <v>0</v>
      </c>
      <c r="I835">
        <v>119.954516</v>
      </c>
      <c r="J835">
        <v>191.40507238652961</v>
      </c>
      <c r="K835">
        <v>0</v>
      </c>
      <c r="L835">
        <v>1.2212622930879109</v>
      </c>
      <c r="M835">
        <v>20</v>
      </c>
      <c r="N835">
        <v>8.02</v>
      </c>
    </row>
    <row r="836" spans="1:14" x14ac:dyDescent="0.35">
      <c r="A836" s="1" t="s">
        <v>848</v>
      </c>
      <c r="B836" t="str">
        <f>HYPERLINK("https://www.suredividend.com/sure-analysis-research-database/","Kadant, Inc.")</f>
        <v>Kadant, Inc.</v>
      </c>
      <c r="C836" t="s">
        <v>1799</v>
      </c>
      <c r="D836">
        <v>226.87</v>
      </c>
      <c r="E836">
        <v>4.9710916543290002E-3</v>
      </c>
      <c r="F836">
        <v>0.1153846153846152</v>
      </c>
      <c r="G836">
        <v>5.6805496536407318E-2</v>
      </c>
      <c r="H836">
        <v>1.127791563617752</v>
      </c>
      <c r="I836">
        <v>2655.717079</v>
      </c>
      <c r="J836">
        <v>23.844822260471378</v>
      </c>
      <c r="K836">
        <v>0.1185900697810465</v>
      </c>
      <c r="L836">
        <v>1.1351816747433809</v>
      </c>
      <c r="M836">
        <v>233.3</v>
      </c>
      <c r="N836">
        <v>159.25</v>
      </c>
    </row>
    <row r="837" spans="1:14" x14ac:dyDescent="0.35">
      <c r="A837" s="1" t="s">
        <v>849</v>
      </c>
      <c r="B837" t="str">
        <f>HYPERLINK("https://www.suredividend.com/sure-analysis-KALU/","Kaiser Aluminum Corp")</f>
        <v>Kaiser Aluminum Corp</v>
      </c>
      <c r="C837" t="s">
        <v>1809</v>
      </c>
      <c r="D837">
        <v>67.08</v>
      </c>
      <c r="E837">
        <v>4.5915324985092432E-2</v>
      </c>
      <c r="F837">
        <v>0</v>
      </c>
      <c r="G837">
        <v>6.9610375725068785E-2</v>
      </c>
      <c r="H837">
        <v>3.0140379148602521</v>
      </c>
      <c r="I837">
        <v>1074.163041</v>
      </c>
      <c r="J837">
        <v>104.2876738951456</v>
      </c>
      <c r="K837">
        <v>4.6722026272829824</v>
      </c>
      <c r="L837">
        <v>1.5996068487243691</v>
      </c>
      <c r="M837">
        <v>93.45</v>
      </c>
      <c r="N837">
        <v>56.24</v>
      </c>
    </row>
    <row r="838" spans="1:14" x14ac:dyDescent="0.35">
      <c r="A838" s="1" t="s">
        <v>850</v>
      </c>
      <c r="B838" t="str">
        <f>HYPERLINK("https://www.suredividend.com/sure-analysis-research-database/","KalVista Pharmaceuticals Inc")</f>
        <v>KalVista Pharmaceuticals Inc</v>
      </c>
      <c r="C838" t="s">
        <v>1803</v>
      </c>
      <c r="D838">
        <v>9.08</v>
      </c>
      <c r="E838">
        <v>0</v>
      </c>
      <c r="F838" t="s">
        <v>1798</v>
      </c>
      <c r="G838" t="s">
        <v>1798</v>
      </c>
      <c r="H838">
        <v>0</v>
      </c>
      <c r="I838">
        <v>312.35199999999998</v>
      </c>
      <c r="J838" t="s">
        <v>1798</v>
      </c>
      <c r="K838">
        <v>0</v>
      </c>
      <c r="L838">
        <v>0.92745792887284406</v>
      </c>
      <c r="M838">
        <v>11.45</v>
      </c>
      <c r="N838">
        <v>4.12</v>
      </c>
    </row>
    <row r="839" spans="1:14" x14ac:dyDescent="0.35">
      <c r="A839" s="1" t="s">
        <v>851</v>
      </c>
      <c r="B839" t="str">
        <f>HYPERLINK("https://www.suredividend.com/sure-analysis-research-database/","Kaman Corp.")</f>
        <v>Kaman Corp.</v>
      </c>
      <c r="C839" t="s">
        <v>1799</v>
      </c>
      <c r="D839">
        <v>19.309999999999999</v>
      </c>
      <c r="E839">
        <v>4.0851949377756012E-2</v>
      </c>
      <c r="F839">
        <v>0</v>
      </c>
      <c r="G839">
        <v>0</v>
      </c>
      <c r="H839">
        <v>0.78885114248447807</v>
      </c>
      <c r="I839">
        <v>544.91922099999999</v>
      </c>
      <c r="J839" t="s">
        <v>1798</v>
      </c>
      <c r="K839" t="s">
        <v>1798</v>
      </c>
      <c r="L839">
        <v>1.590946390015523</v>
      </c>
      <c r="M839">
        <v>33.51</v>
      </c>
      <c r="N839">
        <v>18.18</v>
      </c>
    </row>
    <row r="840" spans="1:14" x14ac:dyDescent="0.35">
      <c r="A840" s="1" t="s">
        <v>852</v>
      </c>
      <c r="B840" t="str">
        <f>HYPERLINK("https://www.suredividend.com/sure-analysis-research-database/","Openlane Inc.")</f>
        <v>Openlane Inc.</v>
      </c>
      <c r="C840" t="s">
        <v>1802</v>
      </c>
      <c r="D840">
        <v>14.17</v>
      </c>
      <c r="E840">
        <v>0</v>
      </c>
      <c r="F840" t="s">
        <v>1798</v>
      </c>
      <c r="G840" t="s">
        <v>1798</v>
      </c>
      <c r="H840">
        <v>0</v>
      </c>
      <c r="I840">
        <v>1550.975735</v>
      </c>
      <c r="J840">
        <v>38.774393365500003</v>
      </c>
      <c r="K840">
        <v>0</v>
      </c>
      <c r="L840">
        <v>1.183674397250708</v>
      </c>
      <c r="M840">
        <v>16.489999999999998</v>
      </c>
      <c r="N840">
        <v>12.09</v>
      </c>
    </row>
    <row r="841" spans="1:14" x14ac:dyDescent="0.35">
      <c r="A841" s="1" t="s">
        <v>853</v>
      </c>
      <c r="B841" t="str">
        <f>HYPERLINK("https://www.suredividend.com/sure-analysis-research-database/","KB Home")</f>
        <v>KB Home</v>
      </c>
      <c r="C841" t="s">
        <v>1802</v>
      </c>
      <c r="D841">
        <v>43.86</v>
      </c>
      <c r="E841">
        <v>1.4745936676191E-2</v>
      </c>
      <c r="F841">
        <v>0.33333333333333348</v>
      </c>
      <c r="G841">
        <v>0.51571656651039821</v>
      </c>
      <c r="H841">
        <v>0.64675678261774805</v>
      </c>
      <c r="I841">
        <v>3478.9169980000001</v>
      </c>
      <c r="J841">
        <v>5.3373749396366694</v>
      </c>
      <c r="K841">
        <v>8.4433000341742559E-2</v>
      </c>
      <c r="L841">
        <v>1.303516461104925</v>
      </c>
      <c r="M841">
        <v>55.17</v>
      </c>
      <c r="N841">
        <v>25.53</v>
      </c>
    </row>
    <row r="842" spans="1:14" x14ac:dyDescent="0.35">
      <c r="A842" s="1" t="s">
        <v>854</v>
      </c>
      <c r="B842" t="str">
        <f>HYPERLINK("https://www.suredividend.com/sure-analysis-research-database/","Chinook Therapeutics Inc")</f>
        <v>Chinook Therapeutics Inc</v>
      </c>
      <c r="C842" t="s">
        <v>1798</v>
      </c>
      <c r="D842">
        <v>40.39</v>
      </c>
      <c r="E842">
        <v>0</v>
      </c>
      <c r="F842" t="s">
        <v>1798</v>
      </c>
      <c r="G842" t="s">
        <v>1798</v>
      </c>
      <c r="H842">
        <v>0</v>
      </c>
      <c r="I842">
        <v>0</v>
      </c>
      <c r="J842">
        <v>0</v>
      </c>
      <c r="K842" t="s">
        <v>1798</v>
      </c>
    </row>
    <row r="843" spans="1:14" x14ac:dyDescent="0.35">
      <c r="A843" s="1" t="s">
        <v>855</v>
      </c>
      <c r="B843" t="str">
        <f>HYPERLINK("https://www.suredividend.com/sure-analysis-research-database/","Kimball Electronics Inc")</f>
        <v>Kimball Electronics Inc</v>
      </c>
      <c r="C843" t="s">
        <v>1799</v>
      </c>
      <c r="D843">
        <v>25.95</v>
      </c>
      <c r="E843">
        <v>0</v>
      </c>
      <c r="F843" t="s">
        <v>1798</v>
      </c>
      <c r="G843" t="s">
        <v>1798</v>
      </c>
      <c r="H843">
        <v>0</v>
      </c>
      <c r="I843">
        <v>644.73159099999998</v>
      </c>
      <c r="J843">
        <v>0</v>
      </c>
      <c r="K843" t="s">
        <v>1798</v>
      </c>
      <c r="L843">
        <v>1.1912295166762099</v>
      </c>
      <c r="M843">
        <v>31.43</v>
      </c>
      <c r="N843">
        <v>18.11</v>
      </c>
    </row>
    <row r="844" spans="1:14" x14ac:dyDescent="0.35">
      <c r="A844" s="1" t="s">
        <v>856</v>
      </c>
      <c r="B844" t="str">
        <f>HYPERLINK("https://www.suredividend.com/sure-analysis-research-database/","Kelly Services, Inc.")</f>
        <v>Kelly Services, Inc.</v>
      </c>
      <c r="C844" t="s">
        <v>1799</v>
      </c>
      <c r="D844">
        <v>18.350000000000001</v>
      </c>
      <c r="E844">
        <v>1.6163480206868999E-2</v>
      </c>
      <c r="F844" t="s">
        <v>1798</v>
      </c>
      <c r="G844" t="s">
        <v>1798</v>
      </c>
      <c r="H844">
        <v>0.29659986179606301</v>
      </c>
      <c r="I844">
        <v>651.32481399999995</v>
      </c>
      <c r="J844">
        <v>723.69423733333338</v>
      </c>
      <c r="K844">
        <v>12.30704820730552</v>
      </c>
      <c r="L844">
        <v>1.131633594871849</v>
      </c>
      <c r="M844">
        <v>19.27</v>
      </c>
      <c r="N844">
        <v>14.13</v>
      </c>
    </row>
    <row r="845" spans="1:14" x14ac:dyDescent="0.35">
      <c r="A845" s="1" t="s">
        <v>857</v>
      </c>
      <c r="B845" t="str">
        <f>HYPERLINK("https://www.suredividend.com/sure-analysis-research-database/","Kforce Inc.")</f>
        <v>Kforce Inc.</v>
      </c>
      <c r="C845" t="s">
        <v>1799</v>
      </c>
      <c r="D845">
        <v>59.07</v>
      </c>
      <c r="E845">
        <v>2.2983972045276999E-2</v>
      </c>
      <c r="F845">
        <v>0.19999999999999971</v>
      </c>
      <c r="G845">
        <v>0.1486983549970351</v>
      </c>
      <c r="H845">
        <v>1.3576632287145121</v>
      </c>
      <c r="I845">
        <v>1188.532584</v>
      </c>
      <c r="J845">
        <v>18.536644691974171</v>
      </c>
      <c r="K845">
        <v>0.42294804632850841</v>
      </c>
      <c r="L845">
        <v>0.8836479347624081</v>
      </c>
      <c r="M845">
        <v>65.89</v>
      </c>
      <c r="N845">
        <v>47.87</v>
      </c>
    </row>
    <row r="846" spans="1:14" x14ac:dyDescent="0.35">
      <c r="A846" s="1" t="s">
        <v>858</v>
      </c>
      <c r="B846" t="str">
        <f>HYPERLINK("https://www.suredividend.com/sure-analysis-research-database/","Korn Ferry")</f>
        <v>Korn Ferry</v>
      </c>
      <c r="C846" t="s">
        <v>1799</v>
      </c>
      <c r="D846">
        <v>48.86</v>
      </c>
      <c r="E846">
        <v>1.3439912904137E-2</v>
      </c>
      <c r="F846">
        <v>0.2</v>
      </c>
      <c r="G846">
        <v>0.1247461131420948</v>
      </c>
      <c r="H846">
        <v>0.65667414449614803</v>
      </c>
      <c r="I846">
        <v>2575.148173</v>
      </c>
      <c r="J846">
        <v>14.724135173734799</v>
      </c>
      <c r="K846">
        <v>0.1937091871670053</v>
      </c>
      <c r="L846">
        <v>1.034562194256762</v>
      </c>
      <c r="M846">
        <v>59.29</v>
      </c>
      <c r="N846">
        <v>44.36</v>
      </c>
    </row>
    <row r="847" spans="1:14" x14ac:dyDescent="0.35">
      <c r="A847" s="1" t="s">
        <v>859</v>
      </c>
      <c r="B847" t="str">
        <f>HYPERLINK("https://www.suredividend.com/sure-analysis-research-database/","OrthoPediatrics corp")</f>
        <v>OrthoPediatrics corp</v>
      </c>
      <c r="C847" t="s">
        <v>1803</v>
      </c>
      <c r="D847">
        <v>24.21</v>
      </c>
      <c r="E847">
        <v>0</v>
      </c>
      <c r="F847" t="s">
        <v>1798</v>
      </c>
      <c r="G847" t="s">
        <v>1798</v>
      </c>
      <c r="H847">
        <v>0</v>
      </c>
      <c r="I847">
        <v>565.34213899999997</v>
      </c>
      <c r="J847">
        <v>565.90804720720723</v>
      </c>
      <c r="K847">
        <v>0</v>
      </c>
      <c r="L847">
        <v>1.3110590373931941</v>
      </c>
      <c r="M847">
        <v>53.5</v>
      </c>
      <c r="N847">
        <v>23.46</v>
      </c>
    </row>
    <row r="848" spans="1:14" x14ac:dyDescent="0.35">
      <c r="A848" s="1" t="s">
        <v>860</v>
      </c>
      <c r="B848" t="str">
        <f>HYPERLINK("https://www.suredividend.com/sure-analysis-KLIC/","Kulicke &amp; Soffa Industries, Inc.")</f>
        <v>Kulicke &amp; Soffa Industries, Inc.</v>
      </c>
      <c r="C848" t="s">
        <v>1804</v>
      </c>
      <c r="D848">
        <v>45.2</v>
      </c>
      <c r="E848">
        <v>1.6814159292035401E-2</v>
      </c>
      <c r="F848">
        <v>0.1176470588235294</v>
      </c>
      <c r="G848">
        <v>9.6262279352954172E-2</v>
      </c>
      <c r="H848">
        <v>0.75451638637480001</v>
      </c>
      <c r="I848">
        <v>2552.5930239999998</v>
      </c>
      <c r="J848">
        <v>25.863448243578709</v>
      </c>
      <c r="K848">
        <v>0.44383316845576459</v>
      </c>
      <c r="L848">
        <v>1.458522213196185</v>
      </c>
      <c r="M848">
        <v>59.96</v>
      </c>
      <c r="N848">
        <v>36.69</v>
      </c>
    </row>
    <row r="849" spans="1:14" x14ac:dyDescent="0.35">
      <c r="A849" s="1" t="s">
        <v>861</v>
      </c>
      <c r="B849" t="str">
        <f>HYPERLINK("https://www.suredividend.com/sure-analysis-research-database/","Kaleyra Inc")</f>
        <v>Kaleyra Inc</v>
      </c>
      <c r="C849" t="s">
        <v>1807</v>
      </c>
      <c r="D849">
        <v>7.24</v>
      </c>
      <c r="E849">
        <v>0</v>
      </c>
      <c r="F849" t="s">
        <v>1798</v>
      </c>
      <c r="G849" t="s">
        <v>1798</v>
      </c>
      <c r="H849">
        <v>0</v>
      </c>
      <c r="I849">
        <v>96.479660999999993</v>
      </c>
      <c r="J849">
        <v>0</v>
      </c>
      <c r="K849" t="s">
        <v>1798</v>
      </c>
      <c r="M849">
        <v>7.25</v>
      </c>
      <c r="N849">
        <v>1.57</v>
      </c>
    </row>
    <row r="850" spans="1:14" x14ac:dyDescent="0.35">
      <c r="A850" s="1" t="s">
        <v>862</v>
      </c>
      <c r="B850" t="str">
        <f>HYPERLINK("https://www.suredividend.com/sure-analysis-research-database/","Kennametal Inc.")</f>
        <v>Kennametal Inc.</v>
      </c>
      <c r="C850" t="s">
        <v>1799</v>
      </c>
      <c r="D850">
        <v>24.1</v>
      </c>
      <c r="E850">
        <v>3.2833878467877997E-2</v>
      </c>
      <c r="F850">
        <v>0</v>
      </c>
      <c r="G850">
        <v>0</v>
      </c>
      <c r="H850">
        <v>0.79129647107587109</v>
      </c>
      <c r="I850">
        <v>1921.0404020000001</v>
      </c>
      <c r="J850">
        <v>16.216922327556372</v>
      </c>
      <c r="K850">
        <v>0.54198388429854183</v>
      </c>
      <c r="L850">
        <v>1.3614593234024379</v>
      </c>
      <c r="M850">
        <v>30.38</v>
      </c>
      <c r="N850">
        <v>21.58</v>
      </c>
    </row>
    <row r="851" spans="1:14" x14ac:dyDescent="0.35">
      <c r="A851" s="1" t="s">
        <v>863</v>
      </c>
      <c r="B851" t="str">
        <f>HYPERLINK("https://www.suredividend.com/sure-analysis-research-database/","Knowles Corp")</f>
        <v>Knowles Corp</v>
      </c>
      <c r="C851" t="s">
        <v>1804</v>
      </c>
      <c r="D851">
        <v>13.77</v>
      </c>
      <c r="E851">
        <v>0</v>
      </c>
      <c r="F851" t="s">
        <v>1798</v>
      </c>
      <c r="G851" t="s">
        <v>1798</v>
      </c>
      <c r="H851">
        <v>0</v>
      </c>
      <c r="I851">
        <v>1255.0544769999999</v>
      </c>
      <c r="J851" t="s">
        <v>1798</v>
      </c>
      <c r="K851">
        <v>0</v>
      </c>
      <c r="L851">
        <v>0.97654627234051206</v>
      </c>
      <c r="M851">
        <v>20.25</v>
      </c>
      <c r="N851">
        <v>12.11</v>
      </c>
    </row>
    <row r="852" spans="1:14" x14ac:dyDescent="0.35">
      <c r="A852" s="1" t="s">
        <v>864</v>
      </c>
      <c r="B852" t="str">
        <f>HYPERLINK("https://www.suredividend.com/sure-analysis-research-database/","Kiniksa Pharmaceuticals Ltd")</f>
        <v>Kiniksa Pharmaceuticals Ltd</v>
      </c>
      <c r="C852" t="s">
        <v>1803</v>
      </c>
      <c r="D852">
        <v>16.309999999999999</v>
      </c>
      <c r="E852">
        <v>0</v>
      </c>
      <c r="F852" t="s">
        <v>1798</v>
      </c>
      <c r="G852" t="s">
        <v>1798</v>
      </c>
      <c r="H852">
        <v>0</v>
      </c>
      <c r="I852">
        <v>574.73592299999996</v>
      </c>
      <c r="J852">
        <v>2.4852800478257859</v>
      </c>
      <c r="K852">
        <v>0</v>
      </c>
      <c r="L852">
        <v>0.5918147126912231</v>
      </c>
      <c r="M852">
        <v>20.65</v>
      </c>
      <c r="N852">
        <v>10.29</v>
      </c>
    </row>
    <row r="853" spans="1:14" x14ac:dyDescent="0.35">
      <c r="A853" s="1" t="s">
        <v>865</v>
      </c>
      <c r="B853" t="str">
        <f>HYPERLINK("https://www.suredividend.com/sure-analysis-research-database/","Kinsale Capital Group Inc")</f>
        <v>Kinsale Capital Group Inc</v>
      </c>
      <c r="C853" t="s">
        <v>1801</v>
      </c>
      <c r="D853">
        <v>439.11</v>
      </c>
      <c r="E853">
        <v>1.2517813935340001E-3</v>
      </c>
      <c r="F853">
        <v>7.6923076923077094E-2</v>
      </c>
      <c r="G853">
        <v>0.1486983549970351</v>
      </c>
      <c r="H853">
        <v>0.54966972771474609</v>
      </c>
      <c r="I853">
        <v>10170.742663999999</v>
      </c>
      <c r="J853">
        <v>44.447884244004129</v>
      </c>
      <c r="K853">
        <v>5.5804033270532599E-2</v>
      </c>
      <c r="L853">
        <v>0.8611297023478981</v>
      </c>
      <c r="M853">
        <v>445</v>
      </c>
      <c r="N853">
        <v>250.58</v>
      </c>
    </row>
    <row r="854" spans="1:14" x14ac:dyDescent="0.35">
      <c r="A854" s="1" t="s">
        <v>866</v>
      </c>
      <c r="B854" t="str">
        <f>HYPERLINK("https://www.suredividend.com/sure-analysis-research-database/","Kinnate Biopharma Inc")</f>
        <v>Kinnate Biopharma Inc</v>
      </c>
      <c r="C854" t="s">
        <v>1798</v>
      </c>
      <c r="D854">
        <v>1.38</v>
      </c>
      <c r="E854">
        <v>0</v>
      </c>
      <c r="F854" t="s">
        <v>1798</v>
      </c>
      <c r="G854" t="s">
        <v>1798</v>
      </c>
      <c r="H854">
        <v>0</v>
      </c>
      <c r="I854">
        <v>64.990921999999998</v>
      </c>
      <c r="J854">
        <v>0</v>
      </c>
      <c r="K854" t="s">
        <v>1798</v>
      </c>
      <c r="L854">
        <v>1.7261561673688961</v>
      </c>
      <c r="M854">
        <v>10.56</v>
      </c>
      <c r="N854">
        <v>1.18</v>
      </c>
    </row>
    <row r="855" spans="1:14" x14ac:dyDescent="0.35">
      <c r="A855" s="1" t="s">
        <v>867</v>
      </c>
      <c r="B855" t="str">
        <f>HYPERLINK("https://www.suredividend.com/sure-analysis-research-database/","Kinetik Holdings Inc")</f>
        <v>Kinetik Holdings Inc</v>
      </c>
      <c r="C855" t="s">
        <v>1798</v>
      </c>
      <c r="D855">
        <v>35.840000000000003</v>
      </c>
      <c r="E855">
        <v>1.9476636188347E-2</v>
      </c>
      <c r="F855" t="s">
        <v>1798</v>
      </c>
      <c r="G855" t="s">
        <v>1798</v>
      </c>
      <c r="H855">
        <v>0.69804264099037105</v>
      </c>
      <c r="I855">
        <v>1862.7292359999999</v>
      </c>
      <c r="J855">
        <v>0</v>
      </c>
      <c r="K855" t="s">
        <v>1798</v>
      </c>
      <c r="L855">
        <v>0.94641327245875806</v>
      </c>
      <c r="M855">
        <v>36.42</v>
      </c>
      <c r="N855">
        <v>25.76</v>
      </c>
    </row>
    <row r="856" spans="1:14" x14ac:dyDescent="0.35">
      <c r="A856" s="1" t="s">
        <v>868</v>
      </c>
      <c r="B856" t="str">
        <f>HYPERLINK("https://www.suredividend.com/sure-analysis-research-database/","Kodiak Sciences Inc")</f>
        <v>Kodiak Sciences Inc</v>
      </c>
      <c r="C856" t="s">
        <v>1803</v>
      </c>
      <c r="D856">
        <v>1.71</v>
      </c>
      <c r="E856">
        <v>0</v>
      </c>
      <c r="F856" t="s">
        <v>1798</v>
      </c>
      <c r="G856" t="s">
        <v>1798</v>
      </c>
      <c r="H856">
        <v>0</v>
      </c>
      <c r="I856">
        <v>89.694908999999996</v>
      </c>
      <c r="J856">
        <v>0</v>
      </c>
      <c r="K856" t="s">
        <v>1798</v>
      </c>
      <c r="L856">
        <v>1.54495380655652</v>
      </c>
      <c r="M856">
        <v>9.8000000000000007</v>
      </c>
      <c r="N856">
        <v>1.53</v>
      </c>
    </row>
    <row r="857" spans="1:14" x14ac:dyDescent="0.35">
      <c r="A857" s="1" t="s">
        <v>869</v>
      </c>
      <c r="B857" t="str">
        <f>HYPERLINK("https://www.suredividend.com/sure-analysis-research-database/","Eastman Kodak Co.")</f>
        <v>Eastman Kodak Co.</v>
      </c>
      <c r="C857" t="s">
        <v>1799</v>
      </c>
      <c r="D857">
        <v>3.91</v>
      </c>
      <c r="E857">
        <v>0</v>
      </c>
      <c r="F857" t="s">
        <v>1798</v>
      </c>
      <c r="G857" t="s">
        <v>1798</v>
      </c>
      <c r="H857">
        <v>0</v>
      </c>
      <c r="I857">
        <v>310.74160799999999</v>
      </c>
      <c r="J857">
        <v>0</v>
      </c>
      <c r="K857" t="s">
        <v>1798</v>
      </c>
      <c r="L857">
        <v>1.4303106252019719</v>
      </c>
      <c r="M857">
        <v>6.34</v>
      </c>
      <c r="N857">
        <v>2.78</v>
      </c>
    </row>
    <row r="858" spans="1:14" x14ac:dyDescent="0.35">
      <c r="A858" s="1" t="s">
        <v>870</v>
      </c>
      <c r="B858" t="str">
        <f>HYPERLINK("https://www.suredividend.com/sure-analysis-research-database/","Koppers Holdings Inc")</f>
        <v>Koppers Holdings Inc</v>
      </c>
      <c r="C858" t="s">
        <v>1809</v>
      </c>
      <c r="D858">
        <v>37.49</v>
      </c>
      <c r="E858">
        <v>6.1198066070090014E-3</v>
      </c>
      <c r="F858" t="s">
        <v>1798</v>
      </c>
      <c r="G858" t="s">
        <v>1798</v>
      </c>
      <c r="H858">
        <v>0.22943154969680099</v>
      </c>
      <c r="I858">
        <v>782.50042800000006</v>
      </c>
      <c r="J858">
        <v>9.4390883903498199</v>
      </c>
      <c r="K858">
        <v>5.8828602486359238E-2</v>
      </c>
      <c r="L858">
        <v>1.215630420456622</v>
      </c>
      <c r="M858">
        <v>41.91</v>
      </c>
      <c r="N858">
        <v>22.12</v>
      </c>
    </row>
    <row r="859" spans="1:14" x14ac:dyDescent="0.35">
      <c r="A859" s="1" t="s">
        <v>871</v>
      </c>
      <c r="B859" t="str">
        <f>HYPERLINK("https://www.suredividend.com/sure-analysis-research-database/","Kore Group Holdings Inc")</f>
        <v>Kore Group Holdings Inc</v>
      </c>
      <c r="C859" t="s">
        <v>1798</v>
      </c>
      <c r="D859">
        <v>0.57999999999999996</v>
      </c>
      <c r="E859">
        <v>0</v>
      </c>
      <c r="F859" t="s">
        <v>1798</v>
      </c>
      <c r="G859" t="s">
        <v>1798</v>
      </c>
      <c r="H859">
        <v>0</v>
      </c>
      <c r="I859">
        <v>50.200505</v>
      </c>
      <c r="J859">
        <v>0</v>
      </c>
      <c r="K859" t="s">
        <v>1798</v>
      </c>
      <c r="L859">
        <v>1.3384053594072089</v>
      </c>
      <c r="M859">
        <v>3.25</v>
      </c>
      <c r="N859">
        <v>0.12</v>
      </c>
    </row>
    <row r="860" spans="1:14" x14ac:dyDescent="0.35">
      <c r="A860" s="1" t="s">
        <v>872</v>
      </c>
      <c r="B860" t="str">
        <f>HYPERLINK("https://www.suredividend.com/sure-analysis-research-database/","Kosmos Energy Ltd")</f>
        <v>Kosmos Energy Ltd</v>
      </c>
      <c r="C860" t="s">
        <v>1808</v>
      </c>
      <c r="D860">
        <v>7.71</v>
      </c>
      <c r="E860">
        <v>0</v>
      </c>
      <c r="F860" t="s">
        <v>1798</v>
      </c>
      <c r="G860" t="s">
        <v>1798</v>
      </c>
      <c r="H860">
        <v>0</v>
      </c>
      <c r="I860">
        <v>3547.4434510000001</v>
      </c>
      <c r="J860">
        <v>16.52802681273063</v>
      </c>
      <c r="K860">
        <v>0</v>
      </c>
      <c r="L860">
        <v>1.220787730826612</v>
      </c>
      <c r="M860">
        <v>8.5500000000000007</v>
      </c>
      <c r="N860">
        <v>5.28</v>
      </c>
    </row>
    <row r="861" spans="1:14" x14ac:dyDescent="0.35">
      <c r="A861" s="1" t="s">
        <v>873</v>
      </c>
      <c r="B861" t="str">
        <f>HYPERLINK("https://www.suredividend.com/sure-analysis-research-database/","Karyopharm Therapeutics Inc")</f>
        <v>Karyopharm Therapeutics Inc</v>
      </c>
      <c r="C861" t="s">
        <v>1803</v>
      </c>
      <c r="D861">
        <v>1.19</v>
      </c>
      <c r="E861">
        <v>0</v>
      </c>
      <c r="F861" t="s">
        <v>1798</v>
      </c>
      <c r="G861" t="s">
        <v>1798</v>
      </c>
      <c r="H861">
        <v>0</v>
      </c>
      <c r="I861">
        <v>136.08190300000001</v>
      </c>
      <c r="J861">
        <v>0</v>
      </c>
      <c r="K861" t="s">
        <v>1798</v>
      </c>
      <c r="L861">
        <v>1.424226977228942</v>
      </c>
      <c r="M861">
        <v>5.97</v>
      </c>
      <c r="N861">
        <v>1.1100000000000001</v>
      </c>
    </row>
    <row r="862" spans="1:14" x14ac:dyDescent="0.35">
      <c r="A862" s="1" t="s">
        <v>874</v>
      </c>
      <c r="B862" t="str">
        <f>HYPERLINK("https://www.suredividend.com/sure-analysis-KREF/","KKR Real Estate Finance Trust Inc")</f>
        <v>KKR Real Estate Finance Trust Inc</v>
      </c>
      <c r="C862" t="s">
        <v>1800</v>
      </c>
      <c r="D862">
        <v>11.24</v>
      </c>
      <c r="E862">
        <v>0.1530249110320285</v>
      </c>
      <c r="F862">
        <v>0</v>
      </c>
      <c r="G862">
        <v>0</v>
      </c>
      <c r="H862">
        <v>1.630292762114032</v>
      </c>
      <c r="I862">
        <v>776.75212599999998</v>
      </c>
      <c r="J862" t="s">
        <v>1798</v>
      </c>
      <c r="K862" t="s">
        <v>1798</v>
      </c>
      <c r="L862">
        <v>1.128578647772535</v>
      </c>
      <c r="M862">
        <v>15.62</v>
      </c>
      <c r="N862">
        <v>9.0500000000000007</v>
      </c>
    </row>
    <row r="863" spans="1:14" x14ac:dyDescent="0.35">
      <c r="A863" s="1" t="s">
        <v>875</v>
      </c>
      <c r="B863" t="str">
        <f>HYPERLINK("https://www.suredividend.com/sure-analysis-KRG/","Kite Realty Group Trust")</f>
        <v>Kite Realty Group Trust</v>
      </c>
      <c r="C863" t="s">
        <v>1800</v>
      </c>
      <c r="D863">
        <v>20.32</v>
      </c>
      <c r="E863">
        <v>4.7244094488188983E-2</v>
      </c>
      <c r="F863">
        <v>9.0909090909090828E-2</v>
      </c>
      <c r="G863">
        <v>-5.4430397400526583E-2</v>
      </c>
      <c r="H863">
        <v>0.9439133099951631</v>
      </c>
      <c r="I863">
        <v>4457.661067</v>
      </c>
      <c r="J863">
        <v>156.48603057221089</v>
      </c>
      <c r="K863">
        <v>7.2720593990382367</v>
      </c>
      <c r="L863">
        <v>1.0068958123059399</v>
      </c>
      <c r="M863">
        <v>23.98</v>
      </c>
      <c r="N863">
        <v>16.73</v>
      </c>
    </row>
    <row r="864" spans="1:14" x14ac:dyDescent="0.35">
      <c r="A864" s="1" t="s">
        <v>876</v>
      </c>
      <c r="B864" t="str">
        <f>HYPERLINK("https://www.suredividend.com/sure-analysis-research-database/","Kearny Financial Corp.")</f>
        <v>Kearny Financial Corp.</v>
      </c>
      <c r="C864" t="s">
        <v>1801</v>
      </c>
      <c r="D864">
        <v>6.65</v>
      </c>
      <c r="E864">
        <v>6.436413890096801E-2</v>
      </c>
      <c r="F864">
        <v>0</v>
      </c>
      <c r="G864">
        <v>0.17080491296489231</v>
      </c>
      <c r="H864">
        <v>0.42802152369144097</v>
      </c>
      <c r="I864">
        <v>433.21849900000001</v>
      </c>
      <c r="J864">
        <v>10.61523852270221</v>
      </c>
      <c r="K864">
        <v>0.67961499474665132</v>
      </c>
      <c r="L864">
        <v>1.020715930866946</v>
      </c>
      <c r="M864">
        <v>10.59</v>
      </c>
      <c r="N864">
        <v>6.5</v>
      </c>
    </row>
    <row r="865" spans="1:14" x14ac:dyDescent="0.35">
      <c r="A865" s="1" t="s">
        <v>877</v>
      </c>
      <c r="B865" t="str">
        <f>HYPERLINK("https://www.suredividend.com/sure-analysis-KRO/","Kronos Worldwide, Inc.")</f>
        <v>Kronos Worldwide, Inc.</v>
      </c>
      <c r="C865" t="s">
        <v>1809</v>
      </c>
      <c r="D865">
        <v>7.01</v>
      </c>
      <c r="E865">
        <v>0.108416547788873</v>
      </c>
      <c r="F865">
        <v>0</v>
      </c>
      <c r="G865">
        <v>2.2494394759551509E-2</v>
      </c>
      <c r="H865">
        <v>0.73608589417483605</v>
      </c>
      <c r="I865">
        <v>806.339382</v>
      </c>
      <c r="J865" t="s">
        <v>1798</v>
      </c>
      <c r="K865" t="s">
        <v>1798</v>
      </c>
      <c r="L865">
        <v>1.2038838554551701</v>
      </c>
      <c r="M865">
        <v>11.29</v>
      </c>
      <c r="N865">
        <v>6.16</v>
      </c>
    </row>
    <row r="866" spans="1:14" x14ac:dyDescent="0.35">
      <c r="A866" s="1" t="s">
        <v>878</v>
      </c>
      <c r="B866" t="str">
        <f>HYPERLINK("https://www.suredividend.com/sure-analysis-research-database/","Kronos Bio Inc")</f>
        <v>Kronos Bio Inc</v>
      </c>
      <c r="C866" t="s">
        <v>1798</v>
      </c>
      <c r="D866">
        <v>0.99250000000000005</v>
      </c>
      <c r="E866">
        <v>0</v>
      </c>
      <c r="F866" t="s">
        <v>1798</v>
      </c>
      <c r="G866" t="s">
        <v>1798</v>
      </c>
      <c r="H866">
        <v>0</v>
      </c>
      <c r="I866">
        <v>57.879145999999999</v>
      </c>
      <c r="J866">
        <v>0</v>
      </c>
      <c r="K866" t="s">
        <v>1798</v>
      </c>
      <c r="L866">
        <v>2.2153169800599981</v>
      </c>
      <c r="M866">
        <v>3.07</v>
      </c>
      <c r="N866">
        <v>0.98710000000000009</v>
      </c>
    </row>
    <row r="867" spans="1:14" x14ac:dyDescent="0.35">
      <c r="A867" s="1" t="s">
        <v>879</v>
      </c>
      <c r="B867" t="str">
        <f>HYPERLINK("https://www.suredividend.com/sure-analysis-research-database/","Keros Therapeutics Inc")</f>
        <v>Keros Therapeutics Inc</v>
      </c>
      <c r="C867" t="s">
        <v>1803</v>
      </c>
      <c r="D867">
        <v>28.11</v>
      </c>
      <c r="E867">
        <v>0</v>
      </c>
      <c r="F867" t="s">
        <v>1798</v>
      </c>
      <c r="G867" t="s">
        <v>1798</v>
      </c>
      <c r="H867">
        <v>0</v>
      </c>
      <c r="I867">
        <v>833.83232699999996</v>
      </c>
      <c r="J867">
        <v>0</v>
      </c>
      <c r="K867" t="s">
        <v>1798</v>
      </c>
      <c r="L867">
        <v>1.0999475127764109</v>
      </c>
      <c r="M867">
        <v>59.96</v>
      </c>
      <c r="N867">
        <v>27.61</v>
      </c>
    </row>
    <row r="868" spans="1:14" x14ac:dyDescent="0.35">
      <c r="A868" s="1" t="s">
        <v>880</v>
      </c>
      <c r="B868" t="str">
        <f>HYPERLINK("https://www.suredividend.com/sure-analysis-research-database/","Karat Packaging Inc")</f>
        <v>Karat Packaging Inc</v>
      </c>
      <c r="C868" t="s">
        <v>1798</v>
      </c>
      <c r="D868">
        <v>21.83</v>
      </c>
      <c r="E868">
        <v>4.5808521067390003E-3</v>
      </c>
      <c r="F868" t="s">
        <v>1798</v>
      </c>
      <c r="G868" t="s">
        <v>1798</v>
      </c>
      <c r="H868">
        <v>0.10000000149011599</v>
      </c>
      <c r="I868">
        <v>434.155891</v>
      </c>
      <c r="J868">
        <v>0</v>
      </c>
      <c r="K868" t="s">
        <v>1798</v>
      </c>
      <c r="L868">
        <v>1.0618197749137019</v>
      </c>
      <c r="M868">
        <v>26.69</v>
      </c>
      <c r="N868">
        <v>11.69</v>
      </c>
    </row>
    <row r="869" spans="1:14" x14ac:dyDescent="0.35">
      <c r="A869" s="1" t="s">
        <v>881</v>
      </c>
      <c r="B869" t="str">
        <f>HYPERLINK("https://www.suredividend.com/sure-analysis-research-database/","Karuna Therapeutics Inc")</f>
        <v>Karuna Therapeutics Inc</v>
      </c>
      <c r="C869" t="s">
        <v>1803</v>
      </c>
      <c r="D869">
        <v>171.01</v>
      </c>
      <c r="E869">
        <v>0</v>
      </c>
      <c r="F869" t="s">
        <v>1798</v>
      </c>
      <c r="G869" t="s">
        <v>1798</v>
      </c>
      <c r="H869">
        <v>0</v>
      </c>
      <c r="I869">
        <v>6441.5781729999999</v>
      </c>
      <c r="J869" t="s">
        <v>1798</v>
      </c>
      <c r="K869">
        <v>0</v>
      </c>
      <c r="L869">
        <v>0.94220350911289508</v>
      </c>
      <c r="M869">
        <v>245</v>
      </c>
      <c r="N869">
        <v>158.38</v>
      </c>
    </row>
    <row r="870" spans="1:14" x14ac:dyDescent="0.35">
      <c r="A870" s="1" t="s">
        <v>882</v>
      </c>
      <c r="B870" t="str">
        <f>HYPERLINK("https://www.suredividend.com/sure-analysis-research-database/","Kura Sushi USA Inc")</f>
        <v>Kura Sushi USA Inc</v>
      </c>
      <c r="C870" t="s">
        <v>1802</v>
      </c>
      <c r="D870">
        <v>61.39</v>
      </c>
      <c r="E870">
        <v>0</v>
      </c>
      <c r="F870" t="s">
        <v>1798</v>
      </c>
      <c r="G870" t="s">
        <v>1798</v>
      </c>
      <c r="H870">
        <v>0</v>
      </c>
      <c r="I870">
        <v>620.45964400000003</v>
      </c>
      <c r="J870" t="s">
        <v>1798</v>
      </c>
      <c r="K870">
        <v>0</v>
      </c>
      <c r="L870">
        <v>1.2653797950799739</v>
      </c>
      <c r="M870">
        <v>110</v>
      </c>
      <c r="N870">
        <v>37.97</v>
      </c>
    </row>
    <row r="871" spans="1:14" x14ac:dyDescent="0.35">
      <c r="A871" s="1" t="s">
        <v>883</v>
      </c>
      <c r="B871" t="str">
        <f>HYPERLINK("https://www.suredividend.com/sure-analysis-research-database/","Krystal Biotech Inc")</f>
        <v>Krystal Biotech Inc</v>
      </c>
      <c r="C871" t="s">
        <v>1803</v>
      </c>
      <c r="D871">
        <v>113.78</v>
      </c>
      <c r="E871">
        <v>0</v>
      </c>
      <c r="F871" t="s">
        <v>1798</v>
      </c>
      <c r="G871" t="s">
        <v>1798</v>
      </c>
      <c r="H871">
        <v>0</v>
      </c>
      <c r="I871">
        <v>3185.177459</v>
      </c>
      <c r="J871">
        <v>0</v>
      </c>
      <c r="K871" t="s">
        <v>1798</v>
      </c>
      <c r="L871">
        <v>0.67748024673434104</v>
      </c>
      <c r="M871">
        <v>132.68</v>
      </c>
      <c r="N871">
        <v>66.209999999999994</v>
      </c>
    </row>
    <row r="872" spans="1:14" x14ac:dyDescent="0.35">
      <c r="A872" s="1" t="s">
        <v>884</v>
      </c>
      <c r="B872" t="str">
        <f>HYPERLINK("https://www.suredividend.com/sure-analysis-KTB/","Kontoor Brands Inc")</f>
        <v>Kontoor Brands Inc</v>
      </c>
      <c r="C872" t="s">
        <v>1802</v>
      </c>
      <c r="D872">
        <v>43.04</v>
      </c>
      <c r="E872">
        <v>4.4609665427509292E-2</v>
      </c>
      <c r="F872" t="s">
        <v>1798</v>
      </c>
      <c r="G872" t="s">
        <v>1798</v>
      </c>
      <c r="H872">
        <v>1.88917391678654</v>
      </c>
      <c r="I872">
        <v>2415.590991</v>
      </c>
      <c r="J872">
        <v>11.76156875567241</v>
      </c>
      <c r="K872">
        <v>0.52187124773108839</v>
      </c>
      <c r="L872">
        <v>1.0831675325819179</v>
      </c>
      <c r="M872">
        <v>52.16</v>
      </c>
      <c r="N872">
        <v>32.119999999999997</v>
      </c>
    </row>
    <row r="873" spans="1:14" x14ac:dyDescent="0.35">
      <c r="A873" s="1" t="s">
        <v>885</v>
      </c>
      <c r="B873" t="str">
        <f>HYPERLINK("https://www.suredividend.com/sure-analysis-research-database/","Kratos Defense &amp; Security Solutions Inc")</f>
        <v>Kratos Defense &amp; Security Solutions Inc</v>
      </c>
      <c r="C873" t="s">
        <v>1799</v>
      </c>
      <c r="D873">
        <v>16.95</v>
      </c>
      <c r="E873">
        <v>0</v>
      </c>
      <c r="F873" t="s">
        <v>1798</v>
      </c>
      <c r="G873" t="s">
        <v>1798</v>
      </c>
      <c r="H873">
        <v>0</v>
      </c>
      <c r="I873">
        <v>2171.2950000000001</v>
      </c>
      <c r="J873" t="s">
        <v>1798</v>
      </c>
      <c r="K873">
        <v>0</v>
      </c>
      <c r="L873">
        <v>1.060138104591767</v>
      </c>
      <c r="M873">
        <v>17.73</v>
      </c>
      <c r="N873">
        <v>8.9</v>
      </c>
    </row>
    <row r="874" spans="1:14" x14ac:dyDescent="0.35">
      <c r="A874" s="1" t="s">
        <v>886</v>
      </c>
      <c r="B874" t="str">
        <f>HYPERLINK("https://www.suredividend.com/sure-analysis-research-database/","Kura Oncology Inc")</f>
        <v>Kura Oncology Inc</v>
      </c>
      <c r="C874" t="s">
        <v>1803</v>
      </c>
      <c r="D874">
        <v>8.44</v>
      </c>
      <c r="E874">
        <v>0</v>
      </c>
      <c r="F874" t="s">
        <v>1798</v>
      </c>
      <c r="G874" t="s">
        <v>1798</v>
      </c>
      <c r="H874">
        <v>0</v>
      </c>
      <c r="I874">
        <v>626.55481899999995</v>
      </c>
      <c r="J874">
        <v>0</v>
      </c>
      <c r="K874" t="s">
        <v>1798</v>
      </c>
      <c r="L874">
        <v>0.74537958149539407</v>
      </c>
      <c r="M874">
        <v>17.27</v>
      </c>
      <c r="N874">
        <v>7.93</v>
      </c>
    </row>
    <row r="875" spans="1:14" x14ac:dyDescent="0.35">
      <c r="A875" s="1" t="s">
        <v>887</v>
      </c>
      <c r="B875" t="str">
        <f>HYPERLINK("https://www.suredividend.com/sure-analysis-research-database/","Kennedy-Wilson Holdings Inc")</f>
        <v>Kennedy-Wilson Holdings Inc</v>
      </c>
      <c r="C875" t="s">
        <v>1800</v>
      </c>
      <c r="D875">
        <v>13.63</v>
      </c>
      <c r="E875">
        <v>6.881673904782401E-2</v>
      </c>
      <c r="F875">
        <v>0</v>
      </c>
      <c r="G875">
        <v>2.7066087089351761E-2</v>
      </c>
      <c r="H875">
        <v>0.93797215322184713</v>
      </c>
      <c r="I875">
        <v>1899.8971079999999</v>
      </c>
      <c r="J875">
        <v>51.072502911559141</v>
      </c>
      <c r="K875">
        <v>3.432023978126042</v>
      </c>
      <c r="L875">
        <v>1.252522436296541</v>
      </c>
      <c r="M875">
        <v>18.05</v>
      </c>
      <c r="N875">
        <v>13.55</v>
      </c>
    </row>
    <row r="876" spans="1:14" x14ac:dyDescent="0.35">
      <c r="A876" s="1" t="s">
        <v>888</v>
      </c>
      <c r="B876" t="str">
        <f>HYPERLINK("https://www.suredividend.com/sure-analysis-KWR/","Quaker Houghton")</f>
        <v>Quaker Houghton</v>
      </c>
      <c r="C876" t="s">
        <v>1809</v>
      </c>
      <c r="D876">
        <v>144.42500000000001</v>
      </c>
      <c r="E876">
        <v>1.2601696382205299E-2</v>
      </c>
      <c r="F876">
        <v>4.5977011494252817E-2</v>
      </c>
      <c r="G876">
        <v>4.2226075304704118E-2</v>
      </c>
      <c r="H876">
        <v>1.2980382096480521</v>
      </c>
      <c r="I876">
        <v>2599.3614389999998</v>
      </c>
      <c r="J876">
        <v>298.12609689758011</v>
      </c>
      <c r="K876">
        <v>2.6631887764629711</v>
      </c>
      <c r="L876">
        <v>1.628264796063243</v>
      </c>
      <c r="M876">
        <v>214.81</v>
      </c>
      <c r="N876">
        <v>133.79</v>
      </c>
    </row>
    <row r="877" spans="1:14" x14ac:dyDescent="0.35">
      <c r="A877" s="1" t="s">
        <v>889</v>
      </c>
      <c r="B877" t="str">
        <f>HYPERLINK("https://www.suredividend.com/sure-analysis-research-database/","Kymera Therapeutics Inc")</f>
        <v>Kymera Therapeutics Inc</v>
      </c>
      <c r="C877" t="s">
        <v>1798</v>
      </c>
      <c r="D877">
        <v>12.61</v>
      </c>
      <c r="E877">
        <v>0</v>
      </c>
      <c r="F877" t="s">
        <v>1798</v>
      </c>
      <c r="G877" t="s">
        <v>1798</v>
      </c>
      <c r="H877">
        <v>0</v>
      </c>
      <c r="I877">
        <v>698.74915299999998</v>
      </c>
      <c r="J877" t="s">
        <v>1798</v>
      </c>
      <c r="K877">
        <v>0</v>
      </c>
      <c r="L877">
        <v>1.5022786060865241</v>
      </c>
      <c r="M877">
        <v>39.85</v>
      </c>
      <c r="N877">
        <v>12.06</v>
      </c>
    </row>
    <row r="878" spans="1:14" x14ac:dyDescent="0.35">
      <c r="A878" s="1" t="s">
        <v>890</v>
      </c>
      <c r="B878" t="str">
        <f>HYPERLINK("https://www.suredividend.com/sure-analysis-research-database/","Kezar Life Sciences Inc")</f>
        <v>Kezar Life Sciences Inc</v>
      </c>
      <c r="C878" t="s">
        <v>1803</v>
      </c>
      <c r="D878">
        <v>0.95660000000000001</v>
      </c>
      <c r="E878">
        <v>0</v>
      </c>
      <c r="F878" t="s">
        <v>1798</v>
      </c>
      <c r="G878" t="s">
        <v>1798</v>
      </c>
      <c r="H878">
        <v>0</v>
      </c>
      <c r="I878">
        <v>69.538088000000002</v>
      </c>
      <c r="J878">
        <v>0</v>
      </c>
      <c r="K878" t="s">
        <v>1798</v>
      </c>
      <c r="L878">
        <v>1.39586791077007</v>
      </c>
      <c r="M878">
        <v>8.4499999999999993</v>
      </c>
      <c r="N878">
        <v>0.86310000000000009</v>
      </c>
    </row>
    <row r="879" spans="1:14" x14ac:dyDescent="0.35">
      <c r="A879" s="1" t="s">
        <v>891</v>
      </c>
      <c r="B879" t="str">
        <f>HYPERLINK("https://www.suredividend.com/sure-analysis-LADR/","Ladder Capital Corp")</f>
        <v>Ladder Capital Corp</v>
      </c>
      <c r="C879" t="s">
        <v>1800</v>
      </c>
      <c r="D879">
        <v>9.8800000000000008</v>
      </c>
      <c r="E879">
        <v>9.3117408906882582E-2</v>
      </c>
      <c r="F879">
        <v>0</v>
      </c>
      <c r="G879">
        <v>-7.5195820517296119E-2</v>
      </c>
      <c r="H879">
        <v>1.104313127298183</v>
      </c>
      <c r="I879">
        <v>1254.083744</v>
      </c>
      <c r="J879">
        <v>9.0411781846757222</v>
      </c>
      <c r="K879">
        <v>0.99487669125962419</v>
      </c>
      <c r="L879">
        <v>1.0562717012659379</v>
      </c>
      <c r="M879">
        <v>11.5</v>
      </c>
      <c r="N879">
        <v>8.18</v>
      </c>
    </row>
    <row r="880" spans="1:14" x14ac:dyDescent="0.35">
      <c r="A880" s="1" t="s">
        <v>892</v>
      </c>
      <c r="B880" t="str">
        <f>HYPERLINK("https://www.suredividend.com/sure-analysis-LANC/","Lancaster Colony Corp.")</f>
        <v>Lancaster Colony Corp.</v>
      </c>
      <c r="C880" t="s">
        <v>1805</v>
      </c>
      <c r="D880">
        <v>177.01</v>
      </c>
      <c r="E880">
        <v>1.920795435286142E-2</v>
      </c>
      <c r="F880">
        <v>6.25E-2</v>
      </c>
      <c r="G880">
        <v>5.5118198683204563E-2</v>
      </c>
      <c r="H880">
        <v>3.3556915237184191</v>
      </c>
      <c r="I880">
        <v>4871.0328689999997</v>
      </c>
      <c r="J880">
        <v>43.87171702032802</v>
      </c>
      <c r="K880">
        <v>0.83061671379168789</v>
      </c>
      <c r="L880">
        <v>0.29204544012104</v>
      </c>
      <c r="M880">
        <v>216.52</v>
      </c>
      <c r="N880">
        <v>157.36000000000001</v>
      </c>
    </row>
    <row r="881" spans="1:14" x14ac:dyDescent="0.35">
      <c r="A881" s="1" t="s">
        <v>893</v>
      </c>
      <c r="B881" t="str">
        <f>HYPERLINK("https://www.suredividend.com/sure-analysis-LAND/","Gladstone Land Corp")</f>
        <v>Gladstone Land Corp</v>
      </c>
      <c r="C881" t="s">
        <v>1800</v>
      </c>
      <c r="D881">
        <v>14.12</v>
      </c>
      <c r="E881">
        <v>3.8951841359773379E-2</v>
      </c>
      <c r="F881">
        <v>4.3478260869567187E-3</v>
      </c>
      <c r="G881">
        <v>3.9423036354719887E-3</v>
      </c>
      <c r="H881">
        <v>0.54002252973058107</v>
      </c>
      <c r="I881">
        <v>506.03880099999998</v>
      </c>
      <c r="J881">
        <v>0</v>
      </c>
      <c r="K881" t="s">
        <v>1798</v>
      </c>
      <c r="L881">
        <v>1.049947621742128</v>
      </c>
      <c r="M881">
        <v>21.3</v>
      </c>
      <c r="N881">
        <v>13.57</v>
      </c>
    </row>
    <row r="882" spans="1:14" x14ac:dyDescent="0.35">
      <c r="A882" s="1" t="s">
        <v>894</v>
      </c>
      <c r="B882" t="str">
        <f>HYPERLINK("https://www.suredividend.com/sure-analysis-research-database/","nLIGHT Inc")</f>
        <v>nLIGHT Inc</v>
      </c>
      <c r="C882" t="s">
        <v>1804</v>
      </c>
      <c r="D882">
        <v>9.27</v>
      </c>
      <c r="E882">
        <v>0</v>
      </c>
      <c r="F882" t="s">
        <v>1798</v>
      </c>
      <c r="G882" t="s">
        <v>1798</v>
      </c>
      <c r="H882">
        <v>0</v>
      </c>
      <c r="I882">
        <v>431.152038</v>
      </c>
      <c r="J882" t="s">
        <v>1798</v>
      </c>
      <c r="K882">
        <v>0</v>
      </c>
      <c r="L882">
        <v>1.582621627512045</v>
      </c>
      <c r="M882">
        <v>15.91</v>
      </c>
      <c r="N882">
        <v>8.2200000000000006</v>
      </c>
    </row>
    <row r="883" spans="1:14" x14ac:dyDescent="0.35">
      <c r="A883" s="1" t="s">
        <v>895</v>
      </c>
      <c r="B883" t="str">
        <f>HYPERLINK("https://www.suredividend.com/sure-analysis-research-database/","Laureate Education Inc")</f>
        <v>Laureate Education Inc</v>
      </c>
      <c r="C883" t="s">
        <v>1805</v>
      </c>
      <c r="D883">
        <v>14.18</v>
      </c>
      <c r="E883">
        <v>0</v>
      </c>
      <c r="F883" t="s">
        <v>1798</v>
      </c>
      <c r="G883" t="s">
        <v>1798</v>
      </c>
      <c r="H883">
        <v>0</v>
      </c>
      <c r="I883">
        <v>2229.385272</v>
      </c>
      <c r="J883">
        <v>22.30924609980887</v>
      </c>
      <c r="K883">
        <v>0</v>
      </c>
      <c r="L883">
        <v>0.61662622160422009</v>
      </c>
      <c r="M883">
        <v>14.81</v>
      </c>
      <c r="N883">
        <v>9.24</v>
      </c>
    </row>
    <row r="884" spans="1:14" x14ac:dyDescent="0.35">
      <c r="A884" s="1" t="s">
        <v>896</v>
      </c>
      <c r="B884" t="str">
        <f>HYPERLINK("https://www.suredividend.com/sure-analysis-research-database/","CS Disco Inc")</f>
        <v>CS Disco Inc</v>
      </c>
      <c r="C884" t="s">
        <v>1798</v>
      </c>
      <c r="D884">
        <v>5.61</v>
      </c>
      <c r="E884">
        <v>0</v>
      </c>
      <c r="F884" t="s">
        <v>1798</v>
      </c>
      <c r="G884" t="s">
        <v>1798</v>
      </c>
      <c r="H884">
        <v>0</v>
      </c>
      <c r="I884">
        <v>337.37538599999999</v>
      </c>
      <c r="J884" t="s">
        <v>1798</v>
      </c>
      <c r="K884">
        <v>0</v>
      </c>
      <c r="L884">
        <v>2.3188922364350648</v>
      </c>
      <c r="M884">
        <v>11.45</v>
      </c>
      <c r="N884">
        <v>5.27</v>
      </c>
    </row>
    <row r="885" spans="1:14" x14ac:dyDescent="0.35">
      <c r="A885" s="1" t="s">
        <v>897</v>
      </c>
      <c r="B885" t="str">
        <f>HYPERLINK("https://www.suredividend.com/sure-analysis-research-database/","Luminar Technologies Inc")</f>
        <v>Luminar Technologies Inc</v>
      </c>
      <c r="C885" t="s">
        <v>1798</v>
      </c>
      <c r="D885">
        <v>4.12</v>
      </c>
      <c r="E885">
        <v>0</v>
      </c>
      <c r="F885" t="s">
        <v>1798</v>
      </c>
      <c r="G885" t="s">
        <v>1798</v>
      </c>
      <c r="H885">
        <v>0</v>
      </c>
      <c r="I885">
        <v>1208.3595789999999</v>
      </c>
      <c r="J885" t="s">
        <v>1798</v>
      </c>
      <c r="K885">
        <v>0</v>
      </c>
      <c r="L885">
        <v>2.4382120705093269</v>
      </c>
      <c r="M885">
        <v>10.55</v>
      </c>
      <c r="N885">
        <v>3.91</v>
      </c>
    </row>
    <row r="886" spans="1:14" x14ac:dyDescent="0.35">
      <c r="A886" s="1" t="s">
        <v>898</v>
      </c>
      <c r="B886" t="str">
        <f>HYPERLINK("https://www.suredividend.com/sure-analysis-research-database/","Lakeland Bancorp, Inc.")</f>
        <v>Lakeland Bancorp, Inc.</v>
      </c>
      <c r="C886" t="s">
        <v>1801</v>
      </c>
      <c r="D886">
        <v>11.75</v>
      </c>
      <c r="E886">
        <v>4.7998654026939001E-2</v>
      </c>
      <c r="F886" t="s">
        <v>1798</v>
      </c>
      <c r="G886" t="s">
        <v>1798</v>
      </c>
      <c r="H886">
        <v>0.563984184816542</v>
      </c>
      <c r="I886">
        <v>764.09641399999998</v>
      </c>
      <c r="J886">
        <v>7.375376815860851</v>
      </c>
      <c r="K886">
        <v>0.35470703447581259</v>
      </c>
      <c r="L886">
        <v>1.1209625979952089</v>
      </c>
      <c r="M886">
        <v>19.18</v>
      </c>
      <c r="N886">
        <v>11.39</v>
      </c>
    </row>
    <row r="887" spans="1:14" x14ac:dyDescent="0.35">
      <c r="A887" s="1" t="s">
        <v>899</v>
      </c>
      <c r="B887" t="str">
        <f>HYPERLINK("https://www.suredividend.com/sure-analysis-research-database/","Luther Burbank Corp")</f>
        <v>Luther Burbank Corp</v>
      </c>
      <c r="C887" t="s">
        <v>1801</v>
      </c>
      <c r="D887">
        <v>8.3000000000000007</v>
      </c>
      <c r="E887">
        <v>1.4457831002143E-2</v>
      </c>
      <c r="F887" t="s">
        <v>1798</v>
      </c>
      <c r="G887" t="s">
        <v>1798</v>
      </c>
      <c r="H887">
        <v>0.119999997317791</v>
      </c>
      <c r="I887">
        <v>423.531387</v>
      </c>
      <c r="J887">
        <v>0</v>
      </c>
      <c r="K887" t="s">
        <v>1798</v>
      </c>
      <c r="L887">
        <v>1.1879778087241939</v>
      </c>
      <c r="M887">
        <v>12.92</v>
      </c>
      <c r="N887">
        <v>7.82</v>
      </c>
    </row>
    <row r="888" spans="1:14" x14ac:dyDescent="0.35">
      <c r="A888" s="1" t="s">
        <v>900</v>
      </c>
      <c r="B888" t="str">
        <f>HYPERLINK("https://www.suredividend.com/sure-analysis-research-database/","Liberty Energy Inc")</f>
        <v>Liberty Energy Inc</v>
      </c>
      <c r="C888" t="s">
        <v>1808</v>
      </c>
      <c r="D888">
        <v>18.88</v>
      </c>
      <c r="E888">
        <v>1.0561126271371001E-2</v>
      </c>
      <c r="F888" t="s">
        <v>1798</v>
      </c>
      <c r="G888" t="s">
        <v>1798</v>
      </c>
      <c r="H888">
        <v>0.199394064003485</v>
      </c>
      <c r="I888">
        <v>3217.0241070000002</v>
      </c>
      <c r="J888">
        <v>5.2296749837112362</v>
      </c>
      <c r="K888">
        <v>6.0058453013097902E-2</v>
      </c>
      <c r="L888">
        <v>1.0955892147860951</v>
      </c>
      <c r="M888">
        <v>19.11</v>
      </c>
      <c r="N888">
        <v>11.15</v>
      </c>
    </row>
    <row r="889" spans="1:14" x14ac:dyDescent="0.35">
      <c r="A889" s="1" t="s">
        <v>901</v>
      </c>
      <c r="B889" t="str">
        <f>HYPERLINK("https://www.suredividend.com/sure-analysis-research-database/","LendingClub Corp")</f>
        <v>LendingClub Corp</v>
      </c>
      <c r="C889" t="s">
        <v>1801</v>
      </c>
      <c r="D889">
        <v>5.4</v>
      </c>
      <c r="E889">
        <v>0</v>
      </c>
      <c r="F889" t="s">
        <v>1798</v>
      </c>
      <c r="G889" t="s">
        <v>1798</v>
      </c>
      <c r="H889">
        <v>0</v>
      </c>
      <c r="I889">
        <v>586.94824800000004</v>
      </c>
      <c r="J889">
        <v>6.480961166013361</v>
      </c>
      <c r="K889">
        <v>0</v>
      </c>
      <c r="L889">
        <v>1.9442978271301521</v>
      </c>
      <c r="M889">
        <v>12.38</v>
      </c>
      <c r="N889">
        <v>5.35</v>
      </c>
    </row>
    <row r="890" spans="1:14" x14ac:dyDescent="0.35">
      <c r="A890" s="1" t="s">
        <v>902</v>
      </c>
      <c r="B890" t="str">
        <f>HYPERLINK("https://www.suredividend.com/sure-analysis-research-database/","LCI Industries")</f>
        <v>LCI Industries</v>
      </c>
      <c r="C890" t="s">
        <v>1802</v>
      </c>
      <c r="D890">
        <v>112.2</v>
      </c>
      <c r="E890">
        <v>3.6935737748299002E-2</v>
      </c>
      <c r="F890">
        <v>0</v>
      </c>
      <c r="G890">
        <v>0.1184269147201447</v>
      </c>
      <c r="H890">
        <v>4.1441897753591856</v>
      </c>
      <c r="I890">
        <v>2841.4013829999999</v>
      </c>
      <c r="J890">
        <v>33.448714302867643</v>
      </c>
      <c r="K890">
        <v>1.2407753818440681</v>
      </c>
      <c r="L890">
        <v>1.3578814172216209</v>
      </c>
      <c r="M890">
        <v>135.94</v>
      </c>
      <c r="N890">
        <v>85.95</v>
      </c>
    </row>
    <row r="891" spans="1:14" x14ac:dyDescent="0.35">
      <c r="A891" s="1" t="s">
        <v>903</v>
      </c>
      <c r="B891" t="str">
        <f>HYPERLINK("https://www.suredividend.com/sure-analysis-research-database/","Lifetime Brands, Inc.")</f>
        <v>Lifetime Brands, Inc.</v>
      </c>
      <c r="C891" t="s">
        <v>1802</v>
      </c>
      <c r="D891">
        <v>4.9000000000000004</v>
      </c>
      <c r="E891">
        <v>3.4108296075737003E-2</v>
      </c>
      <c r="F891">
        <v>0</v>
      </c>
      <c r="G891">
        <v>0</v>
      </c>
      <c r="H891">
        <v>0.167130650771113</v>
      </c>
      <c r="I891">
        <v>106.88975600000001</v>
      </c>
      <c r="J891" t="s">
        <v>1798</v>
      </c>
      <c r="K891" t="s">
        <v>1798</v>
      </c>
      <c r="L891">
        <v>0.87297581681321612</v>
      </c>
      <c r="M891">
        <v>9.9600000000000009</v>
      </c>
      <c r="N891">
        <v>4.24</v>
      </c>
    </row>
    <row r="892" spans="1:14" x14ac:dyDescent="0.35">
      <c r="A892" s="1" t="s">
        <v>904</v>
      </c>
      <c r="B892" t="str">
        <f>HYPERLINK("https://www.suredividend.com/sure-analysis-research-database/","Lands` End, Inc.")</f>
        <v>Lands` End, Inc.</v>
      </c>
      <c r="C892" t="s">
        <v>1802</v>
      </c>
      <c r="D892">
        <v>6.83</v>
      </c>
      <c r="E892">
        <v>0</v>
      </c>
      <c r="F892" t="s">
        <v>1798</v>
      </c>
      <c r="G892" t="s">
        <v>1798</v>
      </c>
      <c r="H892">
        <v>0</v>
      </c>
      <c r="I892">
        <v>218.05612400000001</v>
      </c>
      <c r="J892">
        <v>0</v>
      </c>
      <c r="K892" t="s">
        <v>1798</v>
      </c>
      <c r="L892">
        <v>1.590353103386936</v>
      </c>
      <c r="M892">
        <v>11.93</v>
      </c>
      <c r="N892">
        <v>6.2</v>
      </c>
    </row>
    <row r="893" spans="1:14" x14ac:dyDescent="0.35">
      <c r="A893" s="1" t="s">
        <v>905</v>
      </c>
      <c r="B893" t="str">
        <f>HYPERLINK("https://www.suredividend.com/sure-analysis-research-database/","Legacy Housing Corp")</f>
        <v>Legacy Housing Corp</v>
      </c>
      <c r="C893" t="s">
        <v>1802</v>
      </c>
      <c r="D893">
        <v>18.78</v>
      </c>
      <c r="E893">
        <v>0</v>
      </c>
      <c r="F893" t="s">
        <v>1798</v>
      </c>
      <c r="G893" t="s">
        <v>1798</v>
      </c>
      <c r="H893">
        <v>0</v>
      </c>
      <c r="I893">
        <v>458.07417299999997</v>
      </c>
      <c r="J893">
        <v>6.9705120956844606</v>
      </c>
      <c r="K893">
        <v>0</v>
      </c>
      <c r="L893">
        <v>0.98380634744426709</v>
      </c>
      <c r="M893">
        <v>25.3</v>
      </c>
      <c r="N893">
        <v>16.13</v>
      </c>
    </row>
    <row r="894" spans="1:14" x14ac:dyDescent="0.35">
      <c r="A894" s="1" t="s">
        <v>906</v>
      </c>
      <c r="B894" t="str">
        <f>HYPERLINK("https://www.suredividend.com/sure-analysis-research-database/","Centrus Energy Corp")</f>
        <v>Centrus Energy Corp</v>
      </c>
      <c r="C894" t="s">
        <v>1808</v>
      </c>
      <c r="D894">
        <v>52.82</v>
      </c>
      <c r="E894">
        <v>0</v>
      </c>
      <c r="F894" t="s">
        <v>1798</v>
      </c>
      <c r="G894" t="s">
        <v>1798</v>
      </c>
      <c r="H894">
        <v>0</v>
      </c>
      <c r="I894">
        <v>782.076055</v>
      </c>
      <c r="J894">
        <v>23.276073070238091</v>
      </c>
      <c r="K894">
        <v>0</v>
      </c>
      <c r="L894">
        <v>2.0138909429627638</v>
      </c>
      <c r="M894">
        <v>61.35</v>
      </c>
      <c r="N894">
        <v>24.88</v>
      </c>
    </row>
    <row r="895" spans="1:14" x14ac:dyDescent="0.35">
      <c r="A895" s="1" t="s">
        <v>907</v>
      </c>
      <c r="B895" t="str">
        <f>HYPERLINK("https://www.suredividend.com/sure-analysis-research-database/","Lifecore Biomedical Inc")</f>
        <v>Lifecore Biomedical Inc</v>
      </c>
      <c r="C895" t="s">
        <v>1798</v>
      </c>
      <c r="D895">
        <v>7.11</v>
      </c>
      <c r="E895">
        <v>0</v>
      </c>
      <c r="F895" t="s">
        <v>1798</v>
      </c>
      <c r="G895" t="s">
        <v>1798</v>
      </c>
      <c r="H895">
        <v>0</v>
      </c>
      <c r="I895">
        <v>215.590622</v>
      </c>
      <c r="J895" t="s">
        <v>1798</v>
      </c>
      <c r="K895">
        <v>0</v>
      </c>
      <c r="M895">
        <v>11.46</v>
      </c>
      <c r="N895">
        <v>1.8</v>
      </c>
    </row>
    <row r="896" spans="1:14" x14ac:dyDescent="0.35">
      <c r="A896" s="1" t="s">
        <v>908</v>
      </c>
      <c r="B896" t="str">
        <f>HYPERLINK("https://www.suredividend.com/sure-analysis-research-database/","LifeStance Health Group Inc")</f>
        <v>LifeStance Health Group Inc</v>
      </c>
      <c r="C896" t="s">
        <v>1798</v>
      </c>
      <c r="D896">
        <v>6.16</v>
      </c>
      <c r="E896">
        <v>0</v>
      </c>
      <c r="F896" t="s">
        <v>1798</v>
      </c>
      <c r="G896" t="s">
        <v>1798</v>
      </c>
      <c r="H896">
        <v>0</v>
      </c>
      <c r="I896">
        <v>2328.5122849999998</v>
      </c>
      <c r="J896" t="s">
        <v>1798</v>
      </c>
      <c r="K896">
        <v>0</v>
      </c>
      <c r="L896">
        <v>1.5982054757816719</v>
      </c>
      <c r="M896">
        <v>9.59</v>
      </c>
      <c r="N896">
        <v>4.22</v>
      </c>
    </row>
    <row r="897" spans="1:14" x14ac:dyDescent="0.35">
      <c r="A897" s="1" t="s">
        <v>909</v>
      </c>
      <c r="B897" t="str">
        <f>HYPERLINK("https://www.suredividend.com/sure-analysis-research-database/","LGI Homes Inc")</f>
        <v>LGI Homes Inc</v>
      </c>
      <c r="C897" t="s">
        <v>1802</v>
      </c>
      <c r="D897">
        <v>93.6</v>
      </c>
      <c r="E897">
        <v>0</v>
      </c>
      <c r="F897" t="s">
        <v>1798</v>
      </c>
      <c r="G897" t="s">
        <v>1798</v>
      </c>
      <c r="H897">
        <v>0</v>
      </c>
      <c r="I897">
        <v>2203.9094380000001</v>
      </c>
      <c r="J897">
        <v>10.77174323488155</v>
      </c>
      <c r="K897">
        <v>0</v>
      </c>
      <c r="L897">
        <v>1.8144716887140619</v>
      </c>
      <c r="M897">
        <v>141.91</v>
      </c>
      <c r="N897">
        <v>74.61</v>
      </c>
    </row>
    <row r="898" spans="1:14" x14ac:dyDescent="0.35">
      <c r="A898" s="1" t="s">
        <v>910</v>
      </c>
      <c r="B898" t="str">
        <f>HYPERLINK("https://www.suredividend.com/sure-analysis-research-database/","Ligand Pharmaceuticals, Inc.")</f>
        <v>Ligand Pharmaceuticals, Inc.</v>
      </c>
      <c r="C898" t="s">
        <v>1803</v>
      </c>
      <c r="D898">
        <v>54.99</v>
      </c>
      <c r="E898">
        <v>0</v>
      </c>
      <c r="F898" t="s">
        <v>1798</v>
      </c>
      <c r="G898" t="s">
        <v>1798</v>
      </c>
      <c r="H898">
        <v>0</v>
      </c>
      <c r="I898">
        <v>954.36558200000002</v>
      </c>
      <c r="J898">
        <v>35.141232138964583</v>
      </c>
      <c r="K898">
        <v>0</v>
      </c>
      <c r="M898">
        <v>96.91</v>
      </c>
      <c r="N898">
        <v>54.54</v>
      </c>
    </row>
    <row r="899" spans="1:14" x14ac:dyDescent="0.35">
      <c r="A899" s="1" t="s">
        <v>911</v>
      </c>
      <c r="B899" t="str">
        <f>HYPERLINK("https://www.suredividend.com/sure-analysis-research-database/","Li-Cycle Holdings Corp")</f>
        <v>Li-Cycle Holdings Corp</v>
      </c>
      <c r="C899" t="s">
        <v>1798</v>
      </c>
      <c r="D899">
        <v>2.79</v>
      </c>
      <c r="E899">
        <v>0</v>
      </c>
      <c r="F899" t="s">
        <v>1798</v>
      </c>
      <c r="G899" t="s">
        <v>1798</v>
      </c>
      <c r="H899">
        <v>0</v>
      </c>
      <c r="I899">
        <v>496.91996999999998</v>
      </c>
      <c r="J899">
        <v>0</v>
      </c>
      <c r="K899" t="s">
        <v>1798</v>
      </c>
      <c r="L899">
        <v>1.7988337237671861</v>
      </c>
      <c r="M899">
        <v>6.58</v>
      </c>
      <c r="N899">
        <v>2.76</v>
      </c>
    </row>
    <row r="900" spans="1:14" x14ac:dyDescent="0.35">
      <c r="A900" s="1" t="s">
        <v>912</v>
      </c>
      <c r="B900" t="str">
        <f>HYPERLINK("https://www.suredividend.com/sure-analysis-research-database/","AEye Inc")</f>
        <v>AEye Inc</v>
      </c>
      <c r="C900" t="s">
        <v>1798</v>
      </c>
      <c r="D900">
        <v>0.20200000000000001</v>
      </c>
      <c r="E900">
        <v>0</v>
      </c>
      <c r="F900" t="s">
        <v>1798</v>
      </c>
      <c r="G900" t="s">
        <v>1798</v>
      </c>
      <c r="H900">
        <v>0</v>
      </c>
      <c r="I900">
        <v>37.331372999999999</v>
      </c>
      <c r="J900" t="s">
        <v>1798</v>
      </c>
      <c r="K900">
        <v>0</v>
      </c>
      <c r="L900">
        <v>1.5996272193486569</v>
      </c>
      <c r="M900">
        <v>1.3</v>
      </c>
      <c r="N900">
        <v>0.159</v>
      </c>
    </row>
    <row r="901" spans="1:14" x14ac:dyDescent="0.35">
      <c r="A901" s="1" t="s">
        <v>913</v>
      </c>
      <c r="B901" t="str">
        <f>HYPERLINK("https://www.suredividend.com/sure-analysis-research-database/","Liberty Latin America Ltd")</f>
        <v>Liberty Latin America Ltd</v>
      </c>
      <c r="C901" t="s">
        <v>1807</v>
      </c>
      <c r="D901">
        <v>7.44</v>
      </c>
      <c r="E901">
        <v>0</v>
      </c>
      <c r="F901" t="s">
        <v>1798</v>
      </c>
      <c r="G901" t="s">
        <v>1798</v>
      </c>
      <c r="H901">
        <v>0</v>
      </c>
      <c r="I901">
        <v>1527.8058880000001</v>
      </c>
      <c r="J901">
        <v>0</v>
      </c>
      <c r="K901" t="s">
        <v>1798</v>
      </c>
      <c r="L901">
        <v>1.2433974575134961</v>
      </c>
      <c r="M901">
        <v>10.01</v>
      </c>
      <c r="N901">
        <v>6.75</v>
      </c>
    </row>
    <row r="902" spans="1:14" x14ac:dyDescent="0.35">
      <c r="A902" s="1" t="s">
        <v>914</v>
      </c>
      <c r="B902" t="str">
        <f>HYPERLINK("https://www.suredividend.com/sure-analysis-research-database/","Liberty Latin America Ltd")</f>
        <v>Liberty Latin America Ltd</v>
      </c>
      <c r="C902" t="s">
        <v>1807</v>
      </c>
      <c r="D902">
        <v>7.43</v>
      </c>
      <c r="E902">
        <v>0</v>
      </c>
      <c r="F902" t="s">
        <v>1798</v>
      </c>
      <c r="G902" t="s">
        <v>1798</v>
      </c>
      <c r="H902">
        <v>0</v>
      </c>
      <c r="I902">
        <v>1527.8058880000001</v>
      </c>
      <c r="J902">
        <v>0</v>
      </c>
      <c r="K902" t="s">
        <v>1798</v>
      </c>
      <c r="L902">
        <v>1.2788554321461041</v>
      </c>
      <c r="M902">
        <v>9.98</v>
      </c>
      <c r="N902">
        <v>6.78</v>
      </c>
    </row>
    <row r="903" spans="1:14" x14ac:dyDescent="0.35">
      <c r="A903" s="1" t="s">
        <v>915</v>
      </c>
      <c r="B903" t="str">
        <f>HYPERLINK("https://www.suredividend.com/sure-analysis-research-database/","Lindblad Expeditions Holdings Inc")</f>
        <v>Lindblad Expeditions Holdings Inc</v>
      </c>
      <c r="C903" t="s">
        <v>1802</v>
      </c>
      <c r="D903">
        <v>6.62</v>
      </c>
      <c r="E903">
        <v>0</v>
      </c>
      <c r="F903" t="s">
        <v>1798</v>
      </c>
      <c r="G903" t="s">
        <v>1798</v>
      </c>
      <c r="H903">
        <v>0</v>
      </c>
      <c r="I903">
        <v>353.03845699999999</v>
      </c>
      <c r="J903">
        <v>0</v>
      </c>
      <c r="K903" t="s">
        <v>1798</v>
      </c>
      <c r="L903">
        <v>1.3280135150003129</v>
      </c>
      <c r="M903">
        <v>12.46</v>
      </c>
      <c r="N903">
        <v>6.26</v>
      </c>
    </row>
    <row r="904" spans="1:14" x14ac:dyDescent="0.35">
      <c r="A904" s="1" t="s">
        <v>916</v>
      </c>
      <c r="B904" t="str">
        <f>HYPERLINK("https://www.suredividend.com/sure-analysis-research-database/","LivaNova PLC")</f>
        <v>LivaNova PLC</v>
      </c>
      <c r="C904" t="s">
        <v>1803</v>
      </c>
      <c r="D904">
        <v>47.94</v>
      </c>
      <c r="E904">
        <v>0</v>
      </c>
      <c r="F904" t="s">
        <v>1798</v>
      </c>
      <c r="G904" t="s">
        <v>1798</v>
      </c>
      <c r="H904">
        <v>0</v>
      </c>
      <c r="I904">
        <v>2583.1498689999999</v>
      </c>
      <c r="J904" t="s">
        <v>1798</v>
      </c>
      <c r="K904">
        <v>0</v>
      </c>
      <c r="L904">
        <v>0.69381543745220109</v>
      </c>
      <c r="M904">
        <v>59.86</v>
      </c>
      <c r="N904">
        <v>40.26</v>
      </c>
    </row>
    <row r="905" spans="1:14" x14ac:dyDescent="0.35">
      <c r="A905" s="1" t="s">
        <v>917</v>
      </c>
      <c r="B905" t="str">
        <f>HYPERLINK("https://www.suredividend.com/sure-analysis-research-database/","Lakeland Financial Corp.")</f>
        <v>Lakeland Financial Corp.</v>
      </c>
      <c r="C905" t="s">
        <v>1801</v>
      </c>
      <c r="D905">
        <v>48.69</v>
      </c>
      <c r="E905">
        <v>3.5774143488605997E-2</v>
      </c>
      <c r="F905">
        <v>0.14999999999999991</v>
      </c>
      <c r="G905">
        <v>0.1208742617958329</v>
      </c>
      <c r="H905">
        <v>1.7418430464602641</v>
      </c>
      <c r="I905">
        <v>1238.3432379999999</v>
      </c>
      <c r="J905">
        <v>13.259770624043</v>
      </c>
      <c r="K905">
        <v>0.47984656927280012</v>
      </c>
      <c r="L905">
        <v>0.74165898937572705</v>
      </c>
      <c r="M905">
        <v>80.34</v>
      </c>
      <c r="N905">
        <v>42.33</v>
      </c>
    </row>
    <row r="906" spans="1:14" x14ac:dyDescent="0.35">
      <c r="A906" s="1" t="s">
        <v>918</v>
      </c>
      <c r="B906" t="str">
        <f>HYPERLINK("https://www.suredividend.com/sure-analysis-research-database/","LL Flooring Holdings Inc")</f>
        <v>LL Flooring Holdings Inc</v>
      </c>
      <c r="C906" t="s">
        <v>1802</v>
      </c>
      <c r="D906">
        <v>3.93</v>
      </c>
      <c r="E906">
        <v>0</v>
      </c>
      <c r="F906" t="s">
        <v>1798</v>
      </c>
      <c r="G906" t="s">
        <v>1798</v>
      </c>
      <c r="H906">
        <v>0</v>
      </c>
      <c r="I906">
        <v>120.747839</v>
      </c>
      <c r="J906" t="s">
        <v>1798</v>
      </c>
      <c r="K906">
        <v>0</v>
      </c>
      <c r="L906">
        <v>1.160380033334574</v>
      </c>
      <c r="M906">
        <v>8.77</v>
      </c>
      <c r="N906">
        <v>2.6</v>
      </c>
    </row>
    <row r="907" spans="1:14" x14ac:dyDescent="0.35">
      <c r="A907" s="1" t="s">
        <v>919</v>
      </c>
      <c r="B907" t="str">
        <f>HYPERLINK("https://www.suredividend.com/sure-analysis-research-database/","Terran Orbital Corp")</f>
        <v>Terran Orbital Corp</v>
      </c>
      <c r="C907" t="s">
        <v>1798</v>
      </c>
      <c r="D907">
        <v>0.71279999999999999</v>
      </c>
      <c r="E907">
        <v>0</v>
      </c>
      <c r="F907" t="s">
        <v>1798</v>
      </c>
      <c r="G907" t="s">
        <v>1798</v>
      </c>
      <c r="H907">
        <v>0</v>
      </c>
      <c r="I907">
        <v>122.87093400000001</v>
      </c>
      <c r="J907" t="s">
        <v>1798</v>
      </c>
      <c r="K907">
        <v>0</v>
      </c>
      <c r="L907">
        <v>1.4430071472970629</v>
      </c>
      <c r="M907">
        <v>3.45</v>
      </c>
      <c r="N907">
        <v>0.625</v>
      </c>
    </row>
    <row r="908" spans="1:14" x14ac:dyDescent="0.35">
      <c r="A908" s="1" t="s">
        <v>920</v>
      </c>
      <c r="B908" t="str">
        <f>HYPERLINK("https://www.suredividend.com/sure-analysis-research-database/","Lemaitre Vascular Inc")</f>
        <v>Lemaitre Vascular Inc</v>
      </c>
      <c r="C908" t="s">
        <v>1803</v>
      </c>
      <c r="D908">
        <v>46.77</v>
      </c>
      <c r="E908">
        <v>1.1599460361253E-2</v>
      </c>
      <c r="F908">
        <v>0.12000000000000011</v>
      </c>
      <c r="G908">
        <v>0.1486983549970351</v>
      </c>
      <c r="H908">
        <v>0.54250676109582607</v>
      </c>
      <c r="I908">
        <v>1041.247198</v>
      </c>
      <c r="J908">
        <v>41.284929150707747</v>
      </c>
      <c r="K908">
        <v>0.48009447884586381</v>
      </c>
      <c r="L908">
        <v>0.47591296299159802</v>
      </c>
      <c r="M908">
        <v>68.5</v>
      </c>
      <c r="N908">
        <v>41.27</v>
      </c>
    </row>
    <row r="909" spans="1:14" x14ac:dyDescent="0.35">
      <c r="A909" s="1" t="s">
        <v>921</v>
      </c>
      <c r="B909" t="str">
        <f>HYPERLINK("https://www.suredividend.com/sure-analysis-research-database/","Lemonade Inc")</f>
        <v>Lemonade Inc</v>
      </c>
      <c r="C909" t="s">
        <v>1798</v>
      </c>
      <c r="D909">
        <v>12.52</v>
      </c>
      <c r="E909">
        <v>0</v>
      </c>
      <c r="F909" t="s">
        <v>1798</v>
      </c>
      <c r="G909" t="s">
        <v>1798</v>
      </c>
      <c r="H909">
        <v>0</v>
      </c>
      <c r="I909">
        <v>872.47703300000001</v>
      </c>
      <c r="J909" t="s">
        <v>1798</v>
      </c>
      <c r="K909">
        <v>0</v>
      </c>
      <c r="L909">
        <v>2.1694702350302628</v>
      </c>
      <c r="M909">
        <v>25.11</v>
      </c>
      <c r="N909">
        <v>10.29</v>
      </c>
    </row>
    <row r="910" spans="1:14" x14ac:dyDescent="0.35">
      <c r="A910" s="1" t="s">
        <v>922</v>
      </c>
      <c r="B910" t="str">
        <f>HYPERLINK("https://www.suredividend.com/sure-analysis-LNN/","Lindsay Corporation")</f>
        <v>Lindsay Corporation</v>
      </c>
      <c r="C910" t="s">
        <v>1799</v>
      </c>
      <c r="D910">
        <v>111.03</v>
      </c>
      <c r="E910">
        <v>1.260920471944519E-2</v>
      </c>
      <c r="F910" t="s">
        <v>1798</v>
      </c>
      <c r="G910" t="s">
        <v>1798</v>
      </c>
      <c r="H910">
        <v>1.364478229591803</v>
      </c>
      <c r="I910">
        <v>1222.323163</v>
      </c>
      <c r="J910">
        <v>17.196684862617651</v>
      </c>
      <c r="K910">
        <v>0.21220501237819639</v>
      </c>
      <c r="L910">
        <v>0.8827200081307881</v>
      </c>
      <c r="M910">
        <v>181.65</v>
      </c>
      <c r="N910">
        <v>110.12</v>
      </c>
    </row>
    <row r="911" spans="1:14" x14ac:dyDescent="0.35">
      <c r="A911" s="1" t="s">
        <v>923</v>
      </c>
      <c r="B911" t="str">
        <f>HYPERLINK("https://www.suredividend.com/sure-analysis-research-database/","Lantheus Holdings Inc")</f>
        <v>Lantheus Holdings Inc</v>
      </c>
      <c r="C911" t="s">
        <v>1803</v>
      </c>
      <c r="D911">
        <v>67.47</v>
      </c>
      <c r="E911">
        <v>0</v>
      </c>
      <c r="F911" t="s">
        <v>1798</v>
      </c>
      <c r="G911" t="s">
        <v>1798</v>
      </c>
      <c r="H911">
        <v>0</v>
      </c>
      <c r="I911">
        <v>4617.0191269999996</v>
      </c>
      <c r="J911">
        <v>138.3542335138294</v>
      </c>
      <c r="K911">
        <v>0</v>
      </c>
      <c r="L911">
        <v>0.93230777217847005</v>
      </c>
      <c r="M911">
        <v>100.85</v>
      </c>
      <c r="N911">
        <v>47.46</v>
      </c>
    </row>
    <row r="912" spans="1:14" x14ac:dyDescent="0.35">
      <c r="A912" s="1" t="s">
        <v>924</v>
      </c>
      <c r="B912" t="str">
        <f>HYPERLINK("https://www.suredividend.com/sure-analysis-research-database/","Light &amp; Wonder Inc")</f>
        <v>Light &amp; Wonder Inc</v>
      </c>
      <c r="C912" t="s">
        <v>1798</v>
      </c>
      <c r="D912">
        <v>76.25</v>
      </c>
      <c r="E912">
        <v>0</v>
      </c>
      <c r="F912" t="s">
        <v>1798</v>
      </c>
      <c r="G912" t="s">
        <v>1798</v>
      </c>
      <c r="H912">
        <v>0</v>
      </c>
      <c r="I912">
        <v>6965.9611089999999</v>
      </c>
      <c r="J912">
        <v>18.379844614116092</v>
      </c>
      <c r="K912">
        <v>0</v>
      </c>
      <c r="L912">
        <v>1.2434323201217481</v>
      </c>
      <c r="M912">
        <v>79.069999999999993</v>
      </c>
      <c r="N912">
        <v>47.14</v>
      </c>
    </row>
    <row r="913" spans="1:14" x14ac:dyDescent="0.35">
      <c r="A913" s="1" t="s">
        <v>925</v>
      </c>
      <c r="B913" t="str">
        <f>HYPERLINK("https://www.suredividend.com/sure-analysis-research-database/","Live Oak Bancshares Inc")</f>
        <v>Live Oak Bancshares Inc</v>
      </c>
      <c r="C913" t="s">
        <v>1801</v>
      </c>
      <c r="D913">
        <v>28.18</v>
      </c>
      <c r="E913">
        <v>1.0612837236159999E-3</v>
      </c>
      <c r="F913">
        <v>0</v>
      </c>
      <c r="G913">
        <v>0</v>
      </c>
      <c r="H913">
        <v>2.9906975331526999E-2</v>
      </c>
      <c r="I913">
        <v>1250.15399</v>
      </c>
      <c r="J913">
        <v>19.96987300245998</v>
      </c>
      <c r="K913">
        <v>2.1362125236804998E-2</v>
      </c>
      <c r="L913">
        <v>1.8219680969898959</v>
      </c>
      <c r="M913">
        <v>38.33</v>
      </c>
      <c r="N913">
        <v>17.27</v>
      </c>
    </row>
    <row r="914" spans="1:14" x14ac:dyDescent="0.35">
      <c r="A914" s="1" t="s">
        <v>926</v>
      </c>
      <c r="B914" t="str">
        <f>HYPERLINK("https://www.suredividend.com/sure-analysis-research-database/","Local Bounti Corp")</f>
        <v>Local Bounti Corp</v>
      </c>
      <c r="C914" t="s">
        <v>1798</v>
      </c>
      <c r="D914">
        <v>1.56</v>
      </c>
      <c r="E914">
        <v>0</v>
      </c>
      <c r="F914" t="s">
        <v>1798</v>
      </c>
      <c r="G914" t="s">
        <v>1798</v>
      </c>
      <c r="H914">
        <v>0</v>
      </c>
      <c r="I914">
        <v>12.835526</v>
      </c>
      <c r="J914">
        <v>0</v>
      </c>
      <c r="K914" t="s">
        <v>1798</v>
      </c>
      <c r="M914">
        <v>42.64</v>
      </c>
      <c r="N914">
        <v>1.46</v>
      </c>
    </row>
    <row r="915" spans="1:14" x14ac:dyDescent="0.35">
      <c r="A915" s="1" t="s">
        <v>927</v>
      </c>
      <c r="B915" t="str">
        <f>HYPERLINK("https://www.suredividend.com/sure-analysis-research-database/","El Pollo Loco Holdings Inc")</f>
        <v>El Pollo Loco Holdings Inc</v>
      </c>
      <c r="C915" t="s">
        <v>1802</v>
      </c>
      <c r="D915">
        <v>8.2100000000000009</v>
      </c>
      <c r="E915">
        <v>0</v>
      </c>
      <c r="F915" t="s">
        <v>1798</v>
      </c>
      <c r="G915" t="s">
        <v>1798</v>
      </c>
      <c r="H915">
        <v>0</v>
      </c>
      <c r="I915">
        <v>291.162667</v>
      </c>
      <c r="J915">
        <v>12.37989142948255</v>
      </c>
      <c r="K915">
        <v>0</v>
      </c>
      <c r="L915">
        <v>0.91337242142643005</v>
      </c>
      <c r="M915">
        <v>13</v>
      </c>
      <c r="N915">
        <v>8.2100000000000009</v>
      </c>
    </row>
    <row r="916" spans="1:14" x14ac:dyDescent="0.35">
      <c r="A916" s="1" t="s">
        <v>928</v>
      </c>
      <c r="B916" t="str">
        <f>HYPERLINK("https://www.suredividend.com/sure-analysis-research-database/","Lovesac Company")</f>
        <v>Lovesac Company</v>
      </c>
      <c r="C916" t="s">
        <v>1802</v>
      </c>
      <c r="D916">
        <v>16.760000000000002</v>
      </c>
      <c r="E916">
        <v>0</v>
      </c>
      <c r="F916" t="s">
        <v>1798</v>
      </c>
      <c r="G916" t="s">
        <v>1798</v>
      </c>
      <c r="H916">
        <v>0</v>
      </c>
      <c r="I916">
        <v>255.03671900000001</v>
      </c>
      <c r="J916">
        <v>11.53125283175838</v>
      </c>
      <c r="K916">
        <v>0</v>
      </c>
      <c r="L916">
        <v>1.788216878652247</v>
      </c>
      <c r="M916">
        <v>30.94</v>
      </c>
      <c r="N916">
        <v>16.75</v>
      </c>
    </row>
    <row r="917" spans="1:14" x14ac:dyDescent="0.35">
      <c r="A917" s="1" t="s">
        <v>929</v>
      </c>
      <c r="B917" t="str">
        <f>HYPERLINK("https://www.suredividend.com/sure-analysis-research-database/","Dorian LPG Ltd")</f>
        <v>Dorian LPG Ltd</v>
      </c>
      <c r="C917" t="s">
        <v>1808</v>
      </c>
      <c r="D917">
        <v>30.49</v>
      </c>
      <c r="E917">
        <v>0</v>
      </c>
      <c r="F917" t="s">
        <v>1798</v>
      </c>
      <c r="G917" t="s">
        <v>1798</v>
      </c>
      <c r="H917">
        <v>0</v>
      </c>
      <c r="I917">
        <v>1231.5606780000001</v>
      </c>
      <c r="J917">
        <v>6.178893592136764</v>
      </c>
      <c r="K917">
        <v>0</v>
      </c>
      <c r="L917">
        <v>0.98030138003077505</v>
      </c>
      <c r="M917">
        <v>31.41</v>
      </c>
      <c r="N917">
        <v>12.71</v>
      </c>
    </row>
    <row r="918" spans="1:14" x14ac:dyDescent="0.35">
      <c r="A918" s="1" t="s">
        <v>930</v>
      </c>
      <c r="B918" t="str">
        <f>HYPERLINK("https://www.suredividend.com/sure-analysis-research-database/","Open Lending Corp")</f>
        <v>Open Lending Corp</v>
      </c>
      <c r="C918" t="s">
        <v>1798</v>
      </c>
      <c r="D918">
        <v>6.53</v>
      </c>
      <c r="E918">
        <v>0</v>
      </c>
      <c r="F918" t="s">
        <v>1798</v>
      </c>
      <c r="G918" t="s">
        <v>1798</v>
      </c>
      <c r="H918">
        <v>0</v>
      </c>
      <c r="I918">
        <v>788.15763300000003</v>
      </c>
      <c r="J918">
        <v>17.811874462473732</v>
      </c>
      <c r="K918">
        <v>0</v>
      </c>
      <c r="L918">
        <v>1.9608930036877761</v>
      </c>
      <c r="M918">
        <v>11.99</v>
      </c>
      <c r="N918">
        <v>5.35</v>
      </c>
    </row>
    <row r="919" spans="1:14" x14ac:dyDescent="0.35">
      <c r="A919" s="1" t="s">
        <v>931</v>
      </c>
      <c r="B919" t="str">
        <f>HYPERLINK("https://www.suredividend.com/sure-analysis-research-database/","Liveperson Inc")</f>
        <v>Liveperson Inc</v>
      </c>
      <c r="C919" t="s">
        <v>1804</v>
      </c>
      <c r="D919">
        <v>2.79</v>
      </c>
      <c r="E919">
        <v>0</v>
      </c>
      <c r="F919" t="s">
        <v>1798</v>
      </c>
      <c r="G919" t="s">
        <v>1798</v>
      </c>
      <c r="H919">
        <v>0</v>
      </c>
      <c r="I919">
        <v>217.64874499999999</v>
      </c>
      <c r="J919" t="s">
        <v>1798</v>
      </c>
      <c r="K919">
        <v>0</v>
      </c>
      <c r="L919">
        <v>2.2884977628541598</v>
      </c>
      <c r="M919">
        <v>18.170000000000002</v>
      </c>
      <c r="N919">
        <v>2.77</v>
      </c>
    </row>
    <row r="920" spans="1:14" x14ac:dyDescent="0.35">
      <c r="A920" s="1" t="s">
        <v>932</v>
      </c>
      <c r="B920" t="str">
        <f>HYPERLINK("https://www.suredividend.com/sure-analysis-research-database/","Liquidia Corp")</f>
        <v>Liquidia Corp</v>
      </c>
      <c r="C920" t="s">
        <v>1803</v>
      </c>
      <c r="D920">
        <v>6.16</v>
      </c>
      <c r="E920">
        <v>0</v>
      </c>
      <c r="F920" t="s">
        <v>1798</v>
      </c>
      <c r="G920" t="s">
        <v>1798</v>
      </c>
      <c r="H920">
        <v>0</v>
      </c>
      <c r="I920">
        <v>398.80515100000002</v>
      </c>
      <c r="J920" t="s">
        <v>1798</v>
      </c>
      <c r="K920">
        <v>0</v>
      </c>
      <c r="L920">
        <v>0.567263846888445</v>
      </c>
      <c r="M920">
        <v>9.9499999999999993</v>
      </c>
      <c r="N920">
        <v>4.3499999999999996</v>
      </c>
    </row>
    <row r="921" spans="1:14" x14ac:dyDescent="0.35">
      <c r="A921" s="1" t="s">
        <v>933</v>
      </c>
      <c r="B921" t="str">
        <f>HYPERLINK("https://www.suredividend.com/sure-analysis-research-database/","Liquidity Services Inc")</f>
        <v>Liquidity Services Inc</v>
      </c>
      <c r="C921" t="s">
        <v>1802</v>
      </c>
      <c r="D921">
        <v>19.93</v>
      </c>
      <c r="E921">
        <v>0</v>
      </c>
      <c r="F921" t="s">
        <v>1798</v>
      </c>
      <c r="G921" t="s">
        <v>1798</v>
      </c>
      <c r="H921">
        <v>0</v>
      </c>
      <c r="I921">
        <v>611.67457999999999</v>
      </c>
      <c r="J921">
        <v>26.544919482706241</v>
      </c>
      <c r="K921">
        <v>0</v>
      </c>
      <c r="L921">
        <v>1.032409886154263</v>
      </c>
      <c r="M921">
        <v>20.83</v>
      </c>
      <c r="N921">
        <v>11.97</v>
      </c>
    </row>
    <row r="922" spans="1:14" x14ac:dyDescent="0.35">
      <c r="A922" s="1" t="s">
        <v>934</v>
      </c>
      <c r="B922" t="str">
        <f>HYPERLINK("https://www.suredividend.com/sure-analysis-research-database/","Stride Inc")</f>
        <v>Stride Inc</v>
      </c>
      <c r="C922" t="s">
        <v>1805</v>
      </c>
      <c r="D922">
        <v>45.32</v>
      </c>
      <c r="E922">
        <v>0</v>
      </c>
      <c r="F922" t="s">
        <v>1798</v>
      </c>
      <c r="G922" t="s">
        <v>1798</v>
      </c>
      <c r="H922">
        <v>0</v>
      </c>
      <c r="I922">
        <v>1948.4352819999999</v>
      </c>
      <c r="J922">
        <v>15.35809376906524</v>
      </c>
      <c r="K922">
        <v>0</v>
      </c>
      <c r="L922">
        <v>0.41071832184956197</v>
      </c>
      <c r="M922">
        <v>47.35</v>
      </c>
      <c r="N922">
        <v>30.66</v>
      </c>
    </row>
    <row r="923" spans="1:14" x14ac:dyDescent="0.35">
      <c r="A923" s="1" t="s">
        <v>935</v>
      </c>
      <c r="B923" t="str">
        <f>HYPERLINK("https://www.suredividend.com/sure-analysis-research-database/","Landsea Homes Corporation")</f>
        <v>Landsea Homes Corporation</v>
      </c>
      <c r="C923" t="s">
        <v>1798</v>
      </c>
      <c r="D923">
        <v>7.47</v>
      </c>
      <c r="E923">
        <v>0</v>
      </c>
      <c r="F923" t="s">
        <v>1798</v>
      </c>
      <c r="G923" t="s">
        <v>1798</v>
      </c>
      <c r="H923">
        <v>0</v>
      </c>
      <c r="I923">
        <v>288.292056</v>
      </c>
      <c r="J923">
        <v>0</v>
      </c>
      <c r="K923" t="s">
        <v>1798</v>
      </c>
      <c r="L923">
        <v>0.98389051470879307</v>
      </c>
      <c r="M923">
        <v>12.45</v>
      </c>
      <c r="N923">
        <v>4.57</v>
      </c>
    </row>
    <row r="924" spans="1:14" x14ac:dyDescent="0.35">
      <c r="A924" s="1" t="s">
        <v>936</v>
      </c>
      <c r="B924" t="str">
        <f>HYPERLINK("https://www.suredividend.com/sure-analysis-LTC/","LTC Properties, Inc.")</f>
        <v>LTC Properties, Inc.</v>
      </c>
      <c r="C924" t="s">
        <v>1800</v>
      </c>
      <c r="D924">
        <v>32.32</v>
      </c>
      <c r="E924">
        <v>7.0544554455445538E-2</v>
      </c>
      <c r="F924">
        <v>0</v>
      </c>
      <c r="G924">
        <v>0</v>
      </c>
      <c r="H924">
        <v>2.210571485512081</v>
      </c>
      <c r="I924">
        <v>1338.3289580000001</v>
      </c>
      <c r="J924">
        <v>19.102338787057001</v>
      </c>
      <c r="K924">
        <v>1.2927318628725619</v>
      </c>
      <c r="L924">
        <v>0.55865753469266299</v>
      </c>
      <c r="M924">
        <v>38.15</v>
      </c>
      <c r="N924">
        <v>30.17</v>
      </c>
    </row>
    <row r="925" spans="1:14" x14ac:dyDescent="0.35">
      <c r="A925" s="1" t="s">
        <v>937</v>
      </c>
      <c r="B925" t="str">
        <f>HYPERLINK("https://www.suredividend.com/sure-analysis-research-database/","Latch Inc")</f>
        <v>Latch Inc</v>
      </c>
      <c r="C925" t="s">
        <v>1798</v>
      </c>
      <c r="D925">
        <v>0.87</v>
      </c>
      <c r="E925">
        <v>0</v>
      </c>
      <c r="F925" t="s">
        <v>1798</v>
      </c>
      <c r="G925" t="s">
        <v>1798</v>
      </c>
      <c r="H925">
        <v>0</v>
      </c>
      <c r="I925">
        <v>124.95040899999999</v>
      </c>
      <c r="J925" t="s">
        <v>1798</v>
      </c>
      <c r="K925">
        <v>0</v>
      </c>
      <c r="M925">
        <v>0.99990000000000001</v>
      </c>
      <c r="N925">
        <v>0.45</v>
      </c>
    </row>
    <row r="926" spans="1:14" x14ac:dyDescent="0.35">
      <c r="A926" s="1" t="s">
        <v>938</v>
      </c>
      <c r="B926" t="str">
        <f>HYPERLINK("https://www.suredividend.com/sure-analysis-research-database/","Life Time Group Holdings Inc")</f>
        <v>Life Time Group Holdings Inc</v>
      </c>
      <c r="C926" t="s">
        <v>1798</v>
      </c>
      <c r="D926">
        <v>14.5</v>
      </c>
      <c r="E926">
        <v>0</v>
      </c>
      <c r="F926" t="s">
        <v>1798</v>
      </c>
      <c r="G926" t="s">
        <v>1798</v>
      </c>
      <c r="H926">
        <v>0</v>
      </c>
      <c r="I926">
        <v>2843.5001560000001</v>
      </c>
      <c r="J926">
        <v>0</v>
      </c>
      <c r="K926" t="s">
        <v>1798</v>
      </c>
      <c r="L926">
        <v>1.5251540497126019</v>
      </c>
      <c r="M926">
        <v>22.41</v>
      </c>
      <c r="N926">
        <v>8.75</v>
      </c>
    </row>
    <row r="927" spans="1:14" x14ac:dyDescent="0.35">
      <c r="A927" s="1" t="s">
        <v>939</v>
      </c>
      <c r="B927" t="str">
        <f>HYPERLINK("https://www.suredividend.com/sure-analysis-research-database/","Livent Corp")</f>
        <v>Livent Corp</v>
      </c>
      <c r="C927" t="s">
        <v>1809</v>
      </c>
      <c r="D927">
        <v>17.86</v>
      </c>
      <c r="E927">
        <v>0</v>
      </c>
      <c r="F927" t="s">
        <v>1798</v>
      </c>
      <c r="G927" t="s">
        <v>1798</v>
      </c>
      <c r="H927">
        <v>0</v>
      </c>
      <c r="I927">
        <v>3209.716848</v>
      </c>
      <c r="J927">
        <v>8.7865229880646041</v>
      </c>
      <c r="K927">
        <v>0</v>
      </c>
      <c r="L927">
        <v>1.7006427753103699</v>
      </c>
      <c r="M927">
        <v>35.81</v>
      </c>
      <c r="N927">
        <v>16.420000000000002</v>
      </c>
    </row>
    <row r="928" spans="1:14" x14ac:dyDescent="0.35">
      <c r="A928" s="1" t="s">
        <v>940</v>
      </c>
      <c r="B928" t="str">
        <f>HYPERLINK("https://www.suredividend.com/sure-analysis-research-database/","Pulmonx Corp")</f>
        <v>Pulmonx Corp</v>
      </c>
      <c r="C928" t="s">
        <v>1798</v>
      </c>
      <c r="D928">
        <v>7.99</v>
      </c>
      <c r="E928">
        <v>0</v>
      </c>
      <c r="F928" t="s">
        <v>1798</v>
      </c>
      <c r="G928" t="s">
        <v>1798</v>
      </c>
      <c r="H928">
        <v>0</v>
      </c>
      <c r="I928">
        <v>303.841499</v>
      </c>
      <c r="J928" t="s">
        <v>1798</v>
      </c>
      <c r="K928">
        <v>0</v>
      </c>
      <c r="L928">
        <v>1.4133297269667759</v>
      </c>
      <c r="M928">
        <v>15.09</v>
      </c>
      <c r="N928">
        <v>4.07</v>
      </c>
    </row>
    <row r="929" spans="1:14" x14ac:dyDescent="0.35">
      <c r="A929" s="1" t="s">
        <v>941</v>
      </c>
      <c r="B929" t="str">
        <f>HYPERLINK("https://www.suredividend.com/sure-analysis-research-database/","Lulus Fashion Lounge Holdings Inc")</f>
        <v>Lulus Fashion Lounge Holdings Inc</v>
      </c>
      <c r="C929" t="s">
        <v>1798</v>
      </c>
      <c r="D929">
        <v>2.1800000000000002</v>
      </c>
      <c r="E929">
        <v>0</v>
      </c>
      <c r="F929" t="s">
        <v>1798</v>
      </c>
      <c r="G929" t="s">
        <v>1798</v>
      </c>
      <c r="H929">
        <v>0</v>
      </c>
      <c r="I929">
        <v>87.546987999999999</v>
      </c>
      <c r="J929">
        <v>0</v>
      </c>
      <c r="K929" t="s">
        <v>1798</v>
      </c>
      <c r="L929">
        <v>1.262920203438598</v>
      </c>
      <c r="M929">
        <v>6.8</v>
      </c>
      <c r="N929">
        <v>1.9</v>
      </c>
    </row>
    <row r="930" spans="1:14" x14ac:dyDescent="0.35">
      <c r="A930" s="1" t="s">
        <v>942</v>
      </c>
      <c r="B930" t="str">
        <f>HYPERLINK("https://www.suredividend.com/sure-analysis-research-database/","LiveVox Holdings Inc")</f>
        <v>LiveVox Holdings Inc</v>
      </c>
      <c r="C930" t="s">
        <v>1798</v>
      </c>
      <c r="D930">
        <v>3.62</v>
      </c>
      <c r="E930">
        <v>0</v>
      </c>
      <c r="F930" t="s">
        <v>1798</v>
      </c>
      <c r="G930" t="s">
        <v>1798</v>
      </c>
      <c r="H930">
        <v>0</v>
      </c>
      <c r="I930">
        <v>341.01494000000002</v>
      </c>
      <c r="J930">
        <v>0</v>
      </c>
      <c r="K930" t="s">
        <v>1798</v>
      </c>
      <c r="L930">
        <v>0.57991662505628905</v>
      </c>
      <c r="M930">
        <v>3.65</v>
      </c>
      <c r="N930">
        <v>1.7</v>
      </c>
    </row>
    <row r="931" spans="1:14" x14ac:dyDescent="0.35">
      <c r="A931" s="1" t="s">
        <v>943</v>
      </c>
      <c r="B931" t="str">
        <f>HYPERLINK("https://www.suredividend.com/sure-analysis-research-database/","Lightwave Logic Inc")</f>
        <v>Lightwave Logic Inc</v>
      </c>
      <c r="C931" t="s">
        <v>1809</v>
      </c>
      <c r="D931">
        <v>4.5599999999999996</v>
      </c>
      <c r="E931">
        <v>0</v>
      </c>
      <c r="F931" t="s">
        <v>1798</v>
      </c>
      <c r="G931" t="s">
        <v>1798</v>
      </c>
      <c r="H931">
        <v>0</v>
      </c>
      <c r="I931">
        <v>531.06507399999998</v>
      </c>
      <c r="J931">
        <v>0</v>
      </c>
      <c r="K931" t="s">
        <v>1798</v>
      </c>
      <c r="L931">
        <v>2.7162930030912338</v>
      </c>
      <c r="M931">
        <v>9.64</v>
      </c>
      <c r="N931">
        <v>3.88</v>
      </c>
    </row>
    <row r="932" spans="1:14" x14ac:dyDescent="0.35">
      <c r="A932" s="1" t="s">
        <v>944</v>
      </c>
      <c r="B932" t="str">
        <f>HYPERLINK("https://www.suredividend.com/sure-analysis-research-database/","Luxfer Holdings PLC")</f>
        <v>Luxfer Holdings PLC</v>
      </c>
      <c r="C932" t="s">
        <v>1799</v>
      </c>
      <c r="D932">
        <v>9.5299999999999994</v>
      </c>
      <c r="E932">
        <v>5.3740950226278013E-2</v>
      </c>
      <c r="F932">
        <v>0</v>
      </c>
      <c r="G932">
        <v>7.8749885178921453E-3</v>
      </c>
      <c r="H932">
        <v>0.51215125565643405</v>
      </c>
      <c r="I932">
        <v>256.56991900000003</v>
      </c>
      <c r="J932">
        <v>0</v>
      </c>
      <c r="K932" t="s">
        <v>1798</v>
      </c>
      <c r="L932">
        <v>0.98315973241373011</v>
      </c>
      <c r="M932">
        <v>17.32</v>
      </c>
      <c r="N932">
        <v>9.3000000000000007</v>
      </c>
    </row>
    <row r="933" spans="1:14" x14ac:dyDescent="0.35">
      <c r="A933" s="1" t="s">
        <v>945</v>
      </c>
      <c r="B933" t="str">
        <f>HYPERLINK("https://www.suredividend.com/sure-analysis-LXP/","LXP Industrial Trust")</f>
        <v>LXP Industrial Trust</v>
      </c>
      <c r="C933" t="s">
        <v>1800</v>
      </c>
      <c r="D933">
        <v>8.4</v>
      </c>
      <c r="E933">
        <v>5.9523809523809521E-2</v>
      </c>
      <c r="F933">
        <v>4.1666666666666741E-2</v>
      </c>
      <c r="G933">
        <v>-6.7728664654730708E-2</v>
      </c>
      <c r="H933">
        <v>0.49012078580194801</v>
      </c>
      <c r="I933">
        <v>2457.8908120000001</v>
      </c>
      <c r="J933">
        <v>42.022410866814838</v>
      </c>
      <c r="K933">
        <v>2.461681495740573</v>
      </c>
      <c r="L933">
        <v>0.97764565407139203</v>
      </c>
      <c r="M933">
        <v>11.46</v>
      </c>
      <c r="N933">
        <v>8.33</v>
      </c>
    </row>
    <row r="934" spans="1:14" x14ac:dyDescent="0.35">
      <c r="A934" s="1" t="s">
        <v>946</v>
      </c>
      <c r="B934" t="str">
        <f>HYPERLINK("https://www.suredividend.com/sure-analysis-research-database/","Lexicon Pharmaceuticals Inc")</f>
        <v>Lexicon Pharmaceuticals Inc</v>
      </c>
      <c r="C934" t="s">
        <v>1803</v>
      </c>
      <c r="D934">
        <v>1.19</v>
      </c>
      <c r="E934">
        <v>0</v>
      </c>
      <c r="F934" t="s">
        <v>1798</v>
      </c>
      <c r="G934" t="s">
        <v>1798</v>
      </c>
      <c r="H934">
        <v>0</v>
      </c>
      <c r="I934">
        <v>291.46038700000003</v>
      </c>
      <c r="J934" t="s">
        <v>1798</v>
      </c>
      <c r="K934">
        <v>0</v>
      </c>
      <c r="L934">
        <v>1.5817313132323489</v>
      </c>
      <c r="M934">
        <v>3.79</v>
      </c>
      <c r="N934">
        <v>0.95960000000000001</v>
      </c>
    </row>
    <row r="935" spans="1:14" x14ac:dyDescent="0.35">
      <c r="A935" s="1" t="s">
        <v>947</v>
      </c>
      <c r="B935" t="str">
        <f>HYPERLINK("https://www.suredividend.com/sure-analysis-research-database/","LSB Industries, Inc.")</f>
        <v>LSB Industries, Inc.</v>
      </c>
      <c r="C935" t="s">
        <v>1809</v>
      </c>
      <c r="D935">
        <v>9.64</v>
      </c>
      <c r="E935">
        <v>0</v>
      </c>
      <c r="F935" t="s">
        <v>1798</v>
      </c>
      <c r="G935" t="s">
        <v>1798</v>
      </c>
      <c r="H935">
        <v>0</v>
      </c>
      <c r="I935">
        <v>716.67939899999999</v>
      </c>
      <c r="J935">
        <v>6.5643206418875604</v>
      </c>
      <c r="K935">
        <v>0</v>
      </c>
      <c r="L935">
        <v>1.006542749431693</v>
      </c>
      <c r="M935">
        <v>18.47</v>
      </c>
      <c r="N935">
        <v>8.15</v>
      </c>
    </row>
    <row r="936" spans="1:14" x14ac:dyDescent="0.35">
      <c r="A936" s="1" t="s">
        <v>948</v>
      </c>
      <c r="B936" t="str">
        <f>HYPERLINK("https://www.suredividend.com/sure-analysis-research-database/","Lyell Immunopharma Inc")</f>
        <v>Lyell Immunopharma Inc</v>
      </c>
      <c r="C936" t="s">
        <v>1798</v>
      </c>
      <c r="D936">
        <v>1.64</v>
      </c>
      <c r="E936">
        <v>0</v>
      </c>
      <c r="F936" t="s">
        <v>1798</v>
      </c>
      <c r="G936" t="s">
        <v>1798</v>
      </c>
      <c r="H936">
        <v>0</v>
      </c>
      <c r="I936">
        <v>411.68427500000001</v>
      </c>
      <c r="J936" t="s">
        <v>1798</v>
      </c>
      <c r="K936">
        <v>0</v>
      </c>
      <c r="L936">
        <v>1.7020847905033269</v>
      </c>
      <c r="M936">
        <v>7.08</v>
      </c>
      <c r="N936">
        <v>1.32</v>
      </c>
    </row>
    <row r="937" spans="1:14" x14ac:dyDescent="0.35">
      <c r="A937" s="1" t="s">
        <v>949</v>
      </c>
      <c r="B937" t="str">
        <f>HYPERLINK("https://www.suredividend.com/sure-analysis-research-database/","LegalZoom.com Inc.")</f>
        <v>LegalZoom.com Inc.</v>
      </c>
      <c r="C937" t="s">
        <v>1798</v>
      </c>
      <c r="D937">
        <v>9.8800000000000008</v>
      </c>
      <c r="E937">
        <v>0</v>
      </c>
      <c r="F937" t="s">
        <v>1798</v>
      </c>
      <c r="G937" t="s">
        <v>1798</v>
      </c>
      <c r="H937">
        <v>0</v>
      </c>
      <c r="I937">
        <v>1894.8827100000001</v>
      </c>
      <c r="J937" t="s">
        <v>1798</v>
      </c>
      <c r="K937">
        <v>0</v>
      </c>
      <c r="L937">
        <v>1.859703276732849</v>
      </c>
      <c r="M937">
        <v>15.68</v>
      </c>
      <c r="N937">
        <v>6.89</v>
      </c>
    </row>
    <row r="938" spans="1:14" x14ac:dyDescent="0.35">
      <c r="A938" s="1" t="s">
        <v>950</v>
      </c>
      <c r="B938" t="str">
        <f>HYPERLINK("https://www.suredividend.com/sure-analysis-research-database/","La-Z-Boy Inc.")</f>
        <v>La-Z-Boy Inc.</v>
      </c>
      <c r="C938" t="s">
        <v>1802</v>
      </c>
      <c r="D938">
        <v>29.49</v>
      </c>
      <c r="E938">
        <v>2.4396100272688001E-2</v>
      </c>
      <c r="F938" t="s">
        <v>1798</v>
      </c>
      <c r="G938" t="s">
        <v>1798</v>
      </c>
      <c r="H938">
        <v>0.71944099704157405</v>
      </c>
      <c r="I938">
        <v>1269.5898850000001</v>
      </c>
      <c r="J938">
        <v>9.0909017586910608</v>
      </c>
      <c r="K938">
        <v>0.22273715078686501</v>
      </c>
      <c r="L938">
        <v>1.1839472486156819</v>
      </c>
      <c r="M938">
        <v>33.729999999999997</v>
      </c>
      <c r="N938">
        <v>21.86</v>
      </c>
    </row>
    <row r="939" spans="1:14" x14ac:dyDescent="0.35">
      <c r="A939" s="1" t="s">
        <v>951</v>
      </c>
      <c r="B939" t="str">
        <f>HYPERLINK("https://www.suredividend.com/sure-analysis-MAC/","Macerich Co.")</f>
        <v>Macerich Co.</v>
      </c>
      <c r="C939" t="s">
        <v>1800</v>
      </c>
      <c r="D939">
        <v>10.86</v>
      </c>
      <c r="E939">
        <v>6.2615101289134445E-2</v>
      </c>
      <c r="F939">
        <v>0.1333333333333335</v>
      </c>
      <c r="G939">
        <v>-0.25684820418238441</v>
      </c>
      <c r="H939">
        <v>0.66471421854676105</v>
      </c>
      <c r="I939">
        <v>2337.6793459999999</v>
      </c>
      <c r="J939" t="s">
        <v>1798</v>
      </c>
      <c r="K939" t="s">
        <v>1798</v>
      </c>
      <c r="L939">
        <v>1.4607746803837109</v>
      </c>
      <c r="M939">
        <v>13.87</v>
      </c>
      <c r="N939">
        <v>8.49</v>
      </c>
    </row>
    <row r="940" spans="1:14" x14ac:dyDescent="0.35">
      <c r="A940" s="1" t="s">
        <v>952</v>
      </c>
      <c r="B940" t="str">
        <f>HYPERLINK("https://www.suredividend.com/sure-analysis-research-database/","WM Technology Inc")</f>
        <v>WM Technology Inc</v>
      </c>
      <c r="C940" t="s">
        <v>1798</v>
      </c>
      <c r="D940">
        <v>1.22</v>
      </c>
      <c r="E940">
        <v>0</v>
      </c>
      <c r="F940" t="s">
        <v>1798</v>
      </c>
      <c r="G940" t="s">
        <v>1798</v>
      </c>
      <c r="H940">
        <v>0</v>
      </c>
      <c r="I940">
        <v>113.96708599999999</v>
      </c>
      <c r="J940">
        <v>0</v>
      </c>
      <c r="K940" t="s">
        <v>1798</v>
      </c>
      <c r="L940">
        <v>2.2329959268102102</v>
      </c>
      <c r="M940">
        <v>2.12</v>
      </c>
      <c r="N940">
        <v>0.59599999999999997</v>
      </c>
    </row>
    <row r="941" spans="1:14" x14ac:dyDescent="0.35">
      <c r="A941" s="1" t="s">
        <v>953</v>
      </c>
      <c r="B941" t="str">
        <f>HYPERLINK("https://www.suredividend.com/sure-analysis-research-database/","Marathon Digital Holdings Inc")</f>
        <v>Marathon Digital Holdings Inc</v>
      </c>
      <c r="C941" t="s">
        <v>1801</v>
      </c>
      <c r="D941">
        <v>7.71</v>
      </c>
      <c r="E941">
        <v>0</v>
      </c>
      <c r="F941" t="s">
        <v>1798</v>
      </c>
      <c r="G941" t="s">
        <v>1798</v>
      </c>
      <c r="H941">
        <v>0</v>
      </c>
      <c r="I941">
        <v>1343.661229</v>
      </c>
      <c r="J941">
        <v>0</v>
      </c>
      <c r="K941" t="s">
        <v>1798</v>
      </c>
      <c r="L941">
        <v>3.030798010846282</v>
      </c>
      <c r="M941">
        <v>19.88</v>
      </c>
      <c r="N941">
        <v>3.11</v>
      </c>
    </row>
    <row r="942" spans="1:14" x14ac:dyDescent="0.35">
      <c r="A942" s="1" t="s">
        <v>954</v>
      </c>
      <c r="B942" t="str">
        <f>HYPERLINK("https://www.suredividend.com/sure-analysis-research-database/","908 Devices Inc")</f>
        <v>908 Devices Inc</v>
      </c>
      <c r="C942" t="s">
        <v>1798</v>
      </c>
      <c r="D942">
        <v>5.63</v>
      </c>
      <c r="E942">
        <v>0</v>
      </c>
      <c r="F942" t="s">
        <v>1798</v>
      </c>
      <c r="G942" t="s">
        <v>1798</v>
      </c>
      <c r="H942">
        <v>0</v>
      </c>
      <c r="I942">
        <v>182.04145600000001</v>
      </c>
      <c r="J942" t="s">
        <v>1798</v>
      </c>
      <c r="K942">
        <v>0</v>
      </c>
      <c r="L942">
        <v>2.0473386960574138</v>
      </c>
      <c r="M942">
        <v>17.88</v>
      </c>
      <c r="N942">
        <v>5.5</v>
      </c>
    </row>
    <row r="943" spans="1:14" x14ac:dyDescent="0.35">
      <c r="A943" s="1" t="s">
        <v>955</v>
      </c>
      <c r="B943" t="str">
        <f>HYPERLINK("https://www.suredividend.com/sure-analysis-research-database/","Mativ Holdings Inc")</f>
        <v>Mativ Holdings Inc</v>
      </c>
      <c r="C943" t="s">
        <v>1798</v>
      </c>
      <c r="D943">
        <v>13.28</v>
      </c>
      <c r="E943">
        <v>9.5456021941723007E-2</v>
      </c>
      <c r="F943" t="s">
        <v>1798</v>
      </c>
      <c r="G943" t="s">
        <v>1798</v>
      </c>
      <c r="H943">
        <v>1.267655971386088</v>
      </c>
      <c r="I943">
        <v>726.51658299999997</v>
      </c>
      <c r="J943" t="s">
        <v>1798</v>
      </c>
      <c r="K943" t="s">
        <v>1798</v>
      </c>
      <c r="L943">
        <v>0.68722652689727104</v>
      </c>
      <c r="M943">
        <v>27.69</v>
      </c>
      <c r="N943">
        <v>12.89</v>
      </c>
    </row>
    <row r="944" spans="1:14" x14ac:dyDescent="0.35">
      <c r="A944" s="1" t="s">
        <v>956</v>
      </c>
      <c r="B944" t="str">
        <f>HYPERLINK("https://www.suredividend.com/sure-analysis-MATW/","Matthews International Corp.")</f>
        <v>Matthews International Corp.</v>
      </c>
      <c r="C944" t="s">
        <v>1799</v>
      </c>
      <c r="D944">
        <v>38.89</v>
      </c>
      <c r="E944">
        <v>2.3656466958086909E-2</v>
      </c>
      <c r="F944">
        <v>4.5454545454545407E-2</v>
      </c>
      <c r="G944">
        <v>2.834672210021361E-2</v>
      </c>
      <c r="H944">
        <v>0.90602130113999402</v>
      </c>
      <c r="I944">
        <v>1184.887375</v>
      </c>
      <c r="J944" t="s">
        <v>1798</v>
      </c>
      <c r="K944" t="s">
        <v>1798</v>
      </c>
      <c r="L944">
        <v>0.75024417429597601</v>
      </c>
      <c r="M944">
        <v>48.36</v>
      </c>
      <c r="N944">
        <v>23.17</v>
      </c>
    </row>
    <row r="945" spans="1:14" x14ac:dyDescent="0.35">
      <c r="A945" s="1" t="s">
        <v>957</v>
      </c>
      <c r="B945" t="str">
        <f>HYPERLINK("https://www.suredividend.com/sure-analysis-research-database/","Matson Inc")</f>
        <v>Matson Inc</v>
      </c>
      <c r="C945" t="s">
        <v>1799</v>
      </c>
      <c r="D945">
        <v>88.49</v>
      </c>
      <c r="E945">
        <v>1.4041492340717001E-2</v>
      </c>
      <c r="F945">
        <v>3.2258064516128997E-2</v>
      </c>
      <c r="G945">
        <v>8.7892885777757002E-2</v>
      </c>
      <c r="H945">
        <v>1.2425316572301131</v>
      </c>
      <c r="I945">
        <v>3122.7314860000001</v>
      </c>
      <c r="J945">
        <v>6.8063022790104606</v>
      </c>
      <c r="K945">
        <v>0.1001234212111292</v>
      </c>
      <c r="L945">
        <v>1.3552393488186461</v>
      </c>
      <c r="M945">
        <v>97.49</v>
      </c>
      <c r="N945">
        <v>56.05</v>
      </c>
    </row>
    <row r="946" spans="1:14" x14ac:dyDescent="0.35">
      <c r="A946" s="1" t="s">
        <v>958</v>
      </c>
      <c r="B946" t="str">
        <f>HYPERLINK("https://www.suredividend.com/sure-analysis-research-database/","MediaAlpha Inc")</f>
        <v>MediaAlpha Inc</v>
      </c>
      <c r="C946" t="s">
        <v>1798</v>
      </c>
      <c r="D946">
        <v>9.43</v>
      </c>
      <c r="E946">
        <v>0</v>
      </c>
      <c r="F946" t="s">
        <v>1798</v>
      </c>
      <c r="G946" t="s">
        <v>1798</v>
      </c>
      <c r="H946">
        <v>0</v>
      </c>
      <c r="I946">
        <v>435.932907</v>
      </c>
      <c r="J946" t="s">
        <v>1798</v>
      </c>
      <c r="K946">
        <v>0</v>
      </c>
      <c r="L946">
        <v>1.407177779828128</v>
      </c>
      <c r="M946">
        <v>17.010000000000002</v>
      </c>
      <c r="N946">
        <v>5.08</v>
      </c>
    </row>
    <row r="947" spans="1:14" x14ac:dyDescent="0.35">
      <c r="A947" s="1" t="s">
        <v>959</v>
      </c>
      <c r="B947" t="str">
        <f>HYPERLINK("https://www.suredividend.com/sure-analysis-research-database/","MBIA Inc.")</f>
        <v>MBIA Inc.</v>
      </c>
      <c r="C947" t="s">
        <v>1801</v>
      </c>
      <c r="D947">
        <v>6.2</v>
      </c>
      <c r="E947">
        <v>0</v>
      </c>
      <c r="F947" t="s">
        <v>1798</v>
      </c>
      <c r="G947" t="s">
        <v>1798</v>
      </c>
      <c r="H947">
        <v>0</v>
      </c>
      <c r="I947">
        <v>321.996647</v>
      </c>
      <c r="J947" t="s">
        <v>1798</v>
      </c>
      <c r="K947">
        <v>0</v>
      </c>
      <c r="L947">
        <v>0.87241248361392509</v>
      </c>
      <c r="M947">
        <v>14</v>
      </c>
      <c r="N947">
        <v>6.07</v>
      </c>
    </row>
    <row r="948" spans="1:14" x14ac:dyDescent="0.35">
      <c r="A948" s="1" t="s">
        <v>960</v>
      </c>
      <c r="B948" t="str">
        <f>HYPERLINK("https://www.suredividend.com/sure-analysis-research-database/","Merchants Bancorp")</f>
        <v>Merchants Bancorp</v>
      </c>
      <c r="C948" t="s">
        <v>1801</v>
      </c>
      <c r="D948">
        <v>27.02</v>
      </c>
      <c r="E948">
        <v>1.1383405811500999E-2</v>
      </c>
      <c r="F948">
        <v>0.14285714285714279</v>
      </c>
      <c r="G948">
        <v>5.9223841048812183E-2</v>
      </c>
      <c r="H948">
        <v>0.30757962502677499</v>
      </c>
      <c r="I948">
        <v>1168.2718460000001</v>
      </c>
      <c r="J948">
        <v>5.7257000882179971</v>
      </c>
      <c r="K948">
        <v>6.5303529729676235E-2</v>
      </c>
      <c r="L948">
        <v>0.99966924828971604</v>
      </c>
      <c r="M948">
        <v>33.39</v>
      </c>
      <c r="N948">
        <v>21.25</v>
      </c>
    </row>
    <row r="949" spans="1:14" x14ac:dyDescent="0.35">
      <c r="A949" s="1" t="s">
        <v>961</v>
      </c>
      <c r="B949" t="str">
        <f>HYPERLINK("https://www.suredividend.com/sure-analysis-research-database/","Malibu Boats Inc")</f>
        <v>Malibu Boats Inc</v>
      </c>
      <c r="C949" t="s">
        <v>1802</v>
      </c>
      <c r="D949">
        <v>48.91</v>
      </c>
      <c r="E949">
        <v>0</v>
      </c>
      <c r="F949" t="s">
        <v>1798</v>
      </c>
      <c r="G949" t="s">
        <v>1798</v>
      </c>
      <c r="H949">
        <v>0</v>
      </c>
      <c r="I949">
        <v>1004.55129</v>
      </c>
      <c r="J949">
        <v>9.6117352827877873</v>
      </c>
      <c r="K949">
        <v>0</v>
      </c>
      <c r="L949">
        <v>1.2144306159659719</v>
      </c>
      <c r="M949">
        <v>65.45</v>
      </c>
      <c r="N949">
        <v>46.57</v>
      </c>
    </row>
    <row r="950" spans="1:14" x14ac:dyDescent="0.35">
      <c r="A950" s="1" t="s">
        <v>962</v>
      </c>
      <c r="B950" t="str">
        <f>HYPERLINK("https://www.suredividend.com/sure-analysis-research-database/","Mercantile Bank Corp.")</f>
        <v>Mercantile Bank Corp.</v>
      </c>
      <c r="C950" t="s">
        <v>1801</v>
      </c>
      <c r="D950">
        <v>30.56</v>
      </c>
      <c r="E950">
        <v>4.1931343559980003E-2</v>
      </c>
      <c r="F950">
        <v>6.25E-2</v>
      </c>
      <c r="G950">
        <v>6.342724238285391E-2</v>
      </c>
      <c r="H950">
        <v>1.2814218591930051</v>
      </c>
      <c r="I950">
        <v>489.51668100000001</v>
      </c>
      <c r="J950">
        <v>6.1834987805216954</v>
      </c>
      <c r="K950">
        <v>0.25783135999859258</v>
      </c>
      <c r="L950">
        <v>0.94317261590253709</v>
      </c>
      <c r="M950">
        <v>35.99</v>
      </c>
      <c r="N950">
        <v>22.82</v>
      </c>
    </row>
    <row r="951" spans="1:14" x14ac:dyDescent="0.35">
      <c r="A951" s="1" t="s">
        <v>963</v>
      </c>
      <c r="B951" t="str">
        <f>HYPERLINK("https://www.suredividend.com/sure-analysis-research-database/","Moelis &amp; Co")</f>
        <v>Moelis &amp; Co</v>
      </c>
      <c r="C951" t="s">
        <v>1801</v>
      </c>
      <c r="D951">
        <v>43.61</v>
      </c>
      <c r="E951">
        <v>5.3710492565462002E-2</v>
      </c>
      <c r="F951">
        <v>0</v>
      </c>
      <c r="G951">
        <v>3.3037804113932312E-2</v>
      </c>
      <c r="H951">
        <v>2.3423145807798318</v>
      </c>
      <c r="I951">
        <v>2903.2696810000002</v>
      </c>
      <c r="J951">
        <v>77.71272466741614</v>
      </c>
      <c r="K951">
        <v>4.4111385702068402</v>
      </c>
      <c r="L951">
        <v>1.3523120471860719</v>
      </c>
      <c r="M951">
        <v>51.85</v>
      </c>
      <c r="N951">
        <v>33.450000000000003</v>
      </c>
    </row>
    <row r="952" spans="1:14" x14ac:dyDescent="0.35">
      <c r="A952" s="1" t="s">
        <v>964</v>
      </c>
      <c r="B952" t="str">
        <f>HYPERLINK("https://www.suredividend.com/sure-analysis-research-database/","Metropolitan Bank Holding Corp")</f>
        <v>Metropolitan Bank Holding Corp</v>
      </c>
      <c r="C952" t="s">
        <v>1801</v>
      </c>
      <c r="D952">
        <v>30.26</v>
      </c>
      <c r="E952">
        <v>0</v>
      </c>
      <c r="F952" t="s">
        <v>1798</v>
      </c>
      <c r="G952" t="s">
        <v>1798</v>
      </c>
      <c r="H952">
        <v>0</v>
      </c>
      <c r="I952">
        <v>334.75817999999998</v>
      </c>
      <c r="J952">
        <v>0</v>
      </c>
      <c r="K952" t="s">
        <v>1798</v>
      </c>
      <c r="L952">
        <v>1.9170974870738231</v>
      </c>
      <c r="M952">
        <v>71.989999999999995</v>
      </c>
      <c r="N952">
        <v>13.98</v>
      </c>
    </row>
    <row r="953" spans="1:14" x14ac:dyDescent="0.35">
      <c r="A953" s="1" t="s">
        <v>965</v>
      </c>
      <c r="B953" t="str">
        <f>HYPERLINK("https://www.suredividend.com/sure-analysis-research-database/","Macatawa Bank Corp.")</f>
        <v>Macatawa Bank Corp.</v>
      </c>
      <c r="C953" t="s">
        <v>1801</v>
      </c>
      <c r="D953">
        <v>8.86</v>
      </c>
      <c r="E953">
        <v>3.543117862188E-2</v>
      </c>
      <c r="F953">
        <v>0</v>
      </c>
      <c r="G953">
        <v>2.7066087089351761E-2</v>
      </c>
      <c r="H953">
        <v>0.31392024258986301</v>
      </c>
      <c r="I953">
        <v>303.82257499999997</v>
      </c>
      <c r="J953">
        <v>6.8306970664808109</v>
      </c>
      <c r="K953">
        <v>0.24147710968451</v>
      </c>
      <c r="L953">
        <v>0.56843261220338703</v>
      </c>
      <c r="M953">
        <v>11.37</v>
      </c>
      <c r="N953">
        <v>6.78</v>
      </c>
    </row>
    <row r="954" spans="1:14" x14ac:dyDescent="0.35">
      <c r="A954" s="1" t="s">
        <v>966</v>
      </c>
      <c r="B954" t="str">
        <f>HYPERLINK("https://www.suredividend.com/sure-analysis-research-database/","MetroCity Bankshares Inc")</f>
        <v>MetroCity Bankshares Inc</v>
      </c>
      <c r="C954" t="s">
        <v>1801</v>
      </c>
      <c r="D954">
        <v>19.98</v>
      </c>
      <c r="E954">
        <v>3.3673060880559998E-2</v>
      </c>
      <c r="F954">
        <v>0.2</v>
      </c>
      <c r="G954">
        <v>-2.0851637639023202E-2</v>
      </c>
      <c r="H954">
        <v>0.672787756393604</v>
      </c>
      <c r="I954">
        <v>505.09132299999999</v>
      </c>
      <c r="J954">
        <v>0</v>
      </c>
      <c r="K954" t="s">
        <v>1798</v>
      </c>
      <c r="L954">
        <v>1.082673474372928</v>
      </c>
      <c r="M954">
        <v>23.18</v>
      </c>
      <c r="N954">
        <v>12.88</v>
      </c>
    </row>
    <row r="955" spans="1:14" x14ac:dyDescent="0.35">
      <c r="A955" s="1" t="s">
        <v>967</v>
      </c>
      <c r="B955" t="str">
        <f>HYPERLINK("https://www.suredividend.com/sure-analysis-research-database/","MasterCraft Boat Holdings Inc")</f>
        <v>MasterCraft Boat Holdings Inc</v>
      </c>
      <c r="C955" t="s">
        <v>1802</v>
      </c>
      <c r="D955">
        <v>22.31</v>
      </c>
      <c r="E955">
        <v>0</v>
      </c>
      <c r="F955" t="s">
        <v>1798</v>
      </c>
      <c r="G955" t="s">
        <v>1798</v>
      </c>
      <c r="H955">
        <v>0</v>
      </c>
      <c r="I955">
        <v>383.79259400000001</v>
      </c>
      <c r="J955">
        <v>5.5672946887738073</v>
      </c>
      <c r="K955">
        <v>0</v>
      </c>
      <c r="L955">
        <v>1.0998405098459461</v>
      </c>
      <c r="M955">
        <v>35.29</v>
      </c>
      <c r="N955">
        <v>19.25</v>
      </c>
    </row>
    <row r="956" spans="1:14" x14ac:dyDescent="0.35">
      <c r="A956" s="1" t="s">
        <v>968</v>
      </c>
      <c r="B956" t="str">
        <f>HYPERLINK("https://www.suredividend.com/sure-analysis-research-database/","Seres Therapeutics Inc")</f>
        <v>Seres Therapeutics Inc</v>
      </c>
      <c r="C956" t="s">
        <v>1803</v>
      </c>
      <c r="D956">
        <v>1.5</v>
      </c>
      <c r="E956">
        <v>0</v>
      </c>
      <c r="F956" t="s">
        <v>1798</v>
      </c>
      <c r="G956" t="s">
        <v>1798</v>
      </c>
      <c r="H956">
        <v>0</v>
      </c>
      <c r="I956">
        <v>192.30692099999999</v>
      </c>
      <c r="J956" t="s">
        <v>1798</v>
      </c>
      <c r="K956">
        <v>0</v>
      </c>
      <c r="L956">
        <v>0.95270039828897612</v>
      </c>
      <c r="M956">
        <v>9.49</v>
      </c>
      <c r="N956">
        <v>1.32</v>
      </c>
    </row>
    <row r="957" spans="1:14" x14ac:dyDescent="0.35">
      <c r="A957" s="1" t="s">
        <v>969</v>
      </c>
      <c r="B957" t="str">
        <f>HYPERLINK("https://www.suredividend.com/sure-analysis-research-database/","Monarch Casino &amp; Resort, Inc.")</f>
        <v>Monarch Casino &amp; Resort, Inc.</v>
      </c>
      <c r="C957" t="s">
        <v>1802</v>
      </c>
      <c r="D957">
        <v>61.42</v>
      </c>
      <c r="E957">
        <v>9.7256443500279999E-3</v>
      </c>
      <c r="F957" t="s">
        <v>1798</v>
      </c>
      <c r="G957" t="s">
        <v>1798</v>
      </c>
      <c r="H957">
        <v>0.59734907597877407</v>
      </c>
      <c r="I957">
        <v>1175.8330169999999</v>
      </c>
      <c r="J957">
        <v>13.06350495372685</v>
      </c>
      <c r="K957">
        <v>0.1301414108886218</v>
      </c>
      <c r="L957">
        <v>0.75784628739451809</v>
      </c>
      <c r="M957">
        <v>78.78</v>
      </c>
      <c r="N957">
        <v>55.61</v>
      </c>
    </row>
    <row r="958" spans="1:14" x14ac:dyDescent="0.35">
      <c r="A958" s="1" t="s">
        <v>970</v>
      </c>
      <c r="B958" t="str">
        <f>HYPERLINK("https://www.suredividend.com/sure-analysis-research-database/","Marcus Corp.")</f>
        <v>Marcus Corp.</v>
      </c>
      <c r="C958" t="s">
        <v>1807</v>
      </c>
      <c r="D958">
        <v>15.56</v>
      </c>
      <c r="E958">
        <v>1.4064516548809001E-2</v>
      </c>
      <c r="F958" t="s">
        <v>1798</v>
      </c>
      <c r="G958" t="s">
        <v>1798</v>
      </c>
      <c r="H958">
        <v>0.21884387749947501</v>
      </c>
      <c r="I958">
        <v>382.96184899999997</v>
      </c>
      <c r="J958" t="s">
        <v>1798</v>
      </c>
      <c r="K958" t="s">
        <v>1798</v>
      </c>
      <c r="L958">
        <v>0.57228209650867601</v>
      </c>
      <c r="M958">
        <v>17.91</v>
      </c>
      <c r="N958">
        <v>13.47</v>
      </c>
    </row>
    <row r="959" spans="1:14" x14ac:dyDescent="0.35">
      <c r="A959" s="1" t="s">
        <v>971</v>
      </c>
      <c r="B959" t="str">
        <f>HYPERLINK("https://www.suredividend.com/sure-analysis-MCY/","Mercury General Corp.")</f>
        <v>Mercury General Corp.</v>
      </c>
      <c r="C959" t="s">
        <v>1801</v>
      </c>
      <c r="D959">
        <v>29.73</v>
      </c>
      <c r="E959">
        <v>4.2717793474604783E-2</v>
      </c>
      <c r="F959">
        <v>0</v>
      </c>
      <c r="G959">
        <v>-0.12737831757699991</v>
      </c>
      <c r="H959">
        <v>1.249635561096117</v>
      </c>
      <c r="I959">
        <v>1646.1836060000001</v>
      </c>
      <c r="J959" t="s">
        <v>1798</v>
      </c>
      <c r="K959" t="s">
        <v>1798</v>
      </c>
      <c r="L959">
        <v>0.55580148277972508</v>
      </c>
      <c r="M959">
        <v>38.21</v>
      </c>
      <c r="N959">
        <v>25.59</v>
      </c>
    </row>
    <row r="960" spans="1:14" x14ac:dyDescent="0.35">
      <c r="A960" s="1" t="s">
        <v>972</v>
      </c>
      <c r="B960" t="str">
        <f>HYPERLINK("https://www.suredividend.com/sure-analysis-research-database/","Pediatrix Medical Group Inc")</f>
        <v>Pediatrix Medical Group Inc</v>
      </c>
      <c r="C960" t="s">
        <v>1803</v>
      </c>
      <c r="D960">
        <v>11.77</v>
      </c>
      <c r="E960">
        <v>0</v>
      </c>
      <c r="F960" t="s">
        <v>1798</v>
      </c>
      <c r="G960" t="s">
        <v>1798</v>
      </c>
      <c r="H960">
        <v>0</v>
      </c>
      <c r="I960">
        <v>987.99548000000004</v>
      </c>
      <c r="J960">
        <v>9.6038442803402155</v>
      </c>
      <c r="K960">
        <v>0</v>
      </c>
      <c r="L960">
        <v>1.076429096403362</v>
      </c>
      <c r="M960">
        <v>19.63</v>
      </c>
      <c r="N960">
        <v>11.69</v>
      </c>
    </row>
    <row r="961" spans="1:14" x14ac:dyDescent="0.35">
      <c r="A961" s="1" t="s">
        <v>973</v>
      </c>
      <c r="B961" t="str">
        <f>HYPERLINK("https://www.suredividend.com/sure-analysis-MDC/","M.D.C. Holdings, Inc.")</f>
        <v>M.D.C. Holdings, Inc.</v>
      </c>
      <c r="C961" t="s">
        <v>1802</v>
      </c>
      <c r="D961">
        <v>38.58</v>
      </c>
      <c r="E961">
        <v>5.7024364955935727E-2</v>
      </c>
      <c r="F961" t="s">
        <v>1798</v>
      </c>
      <c r="G961" t="s">
        <v>1798</v>
      </c>
      <c r="H961">
        <v>2.0158520249393508</v>
      </c>
      <c r="I961">
        <v>2876.0014620000002</v>
      </c>
      <c r="J961">
        <v>7.256985633143918</v>
      </c>
      <c r="K961">
        <v>0.37539143853619189</v>
      </c>
      <c r="L961">
        <v>1.239290086774069</v>
      </c>
      <c r="M961">
        <v>51.71</v>
      </c>
      <c r="N961">
        <v>26.49</v>
      </c>
    </row>
    <row r="962" spans="1:14" x14ac:dyDescent="0.35">
      <c r="A962" s="1" t="s">
        <v>974</v>
      </c>
      <c r="B962" t="str">
        <f>HYPERLINK("https://www.suredividend.com/sure-analysis-research-database/","Madrigal Pharmaceuticals Inc")</f>
        <v>Madrigal Pharmaceuticals Inc</v>
      </c>
      <c r="C962" t="s">
        <v>1803</v>
      </c>
      <c r="D962">
        <v>140.37</v>
      </c>
      <c r="E962">
        <v>0</v>
      </c>
      <c r="F962" t="s">
        <v>1798</v>
      </c>
      <c r="G962" t="s">
        <v>1798</v>
      </c>
      <c r="H962">
        <v>0</v>
      </c>
      <c r="I962">
        <v>2592.8069759999998</v>
      </c>
      <c r="J962">
        <v>0</v>
      </c>
      <c r="K962" t="s">
        <v>1798</v>
      </c>
      <c r="L962">
        <v>-0.15033005910903299</v>
      </c>
      <c r="M962">
        <v>322.67</v>
      </c>
      <c r="N962">
        <v>57.21</v>
      </c>
    </row>
    <row r="963" spans="1:14" x14ac:dyDescent="0.35">
      <c r="A963" s="1" t="s">
        <v>975</v>
      </c>
      <c r="B963" t="str">
        <f>HYPERLINK("https://www.suredividend.com/sure-analysis-research-database/","Veradigm Inc")</f>
        <v>Veradigm Inc</v>
      </c>
      <c r="C963" t="s">
        <v>1803</v>
      </c>
      <c r="D963">
        <v>13.51</v>
      </c>
      <c r="E963">
        <v>0</v>
      </c>
      <c r="F963" t="s">
        <v>1798</v>
      </c>
      <c r="G963" t="s">
        <v>1798</v>
      </c>
      <c r="H963">
        <v>0</v>
      </c>
      <c r="I963">
        <v>1476.0995740000001</v>
      </c>
      <c r="J963">
        <v>24.34442018933272</v>
      </c>
      <c r="K963">
        <v>0</v>
      </c>
      <c r="L963">
        <v>0.94794220973456911</v>
      </c>
      <c r="M963">
        <v>19.77</v>
      </c>
      <c r="N963">
        <v>11.3</v>
      </c>
    </row>
    <row r="964" spans="1:14" x14ac:dyDescent="0.35">
      <c r="A964" s="1" t="s">
        <v>976</v>
      </c>
      <c r="B964" t="str">
        <f>HYPERLINK("https://www.suredividend.com/sure-analysis-research-database/","Mimedx Group Inc")</f>
        <v>Mimedx Group Inc</v>
      </c>
      <c r="C964" t="s">
        <v>1803</v>
      </c>
      <c r="D964">
        <v>6.34</v>
      </c>
      <c r="E964">
        <v>0</v>
      </c>
      <c r="F964" t="s">
        <v>1798</v>
      </c>
      <c r="G964" t="s">
        <v>1798</v>
      </c>
      <c r="H964">
        <v>0</v>
      </c>
      <c r="I964">
        <v>736.13185299999998</v>
      </c>
      <c r="J964" t="s">
        <v>1798</v>
      </c>
      <c r="K964">
        <v>0</v>
      </c>
      <c r="L964">
        <v>1.3001588507244899</v>
      </c>
      <c r="M964">
        <v>8.6</v>
      </c>
      <c r="N964">
        <v>2.4300000000000002</v>
      </c>
    </row>
    <row r="965" spans="1:14" x14ac:dyDescent="0.35">
      <c r="A965" s="1" t="s">
        <v>977</v>
      </c>
      <c r="B965" t="str">
        <f>HYPERLINK("https://www.suredividend.com/sure-analysis-research-database/","23andMe Holding Co")</f>
        <v>23andMe Holding Co</v>
      </c>
      <c r="C965" t="s">
        <v>1798</v>
      </c>
      <c r="D965">
        <v>0.84720000000000006</v>
      </c>
      <c r="E965">
        <v>0</v>
      </c>
      <c r="F965" t="s">
        <v>1798</v>
      </c>
      <c r="G965" t="s">
        <v>1798</v>
      </c>
      <c r="H965">
        <v>0</v>
      </c>
      <c r="I965">
        <v>258.31128000000001</v>
      </c>
      <c r="J965" t="s">
        <v>1798</v>
      </c>
      <c r="K965">
        <v>0</v>
      </c>
      <c r="L965">
        <v>2.1146774448334522</v>
      </c>
      <c r="M965">
        <v>3.5</v>
      </c>
      <c r="N965">
        <v>0.78760000000000008</v>
      </c>
    </row>
    <row r="966" spans="1:14" x14ac:dyDescent="0.35">
      <c r="A966" s="1" t="s">
        <v>978</v>
      </c>
      <c r="B966" t="str">
        <f>HYPERLINK("https://www.suredividend.com/sure-analysis-MED/","Medifast Inc")</f>
        <v>Medifast Inc</v>
      </c>
      <c r="C966" t="s">
        <v>1802</v>
      </c>
      <c r="D966">
        <v>72.58</v>
      </c>
      <c r="E966">
        <v>9.0934141636814542E-2</v>
      </c>
      <c r="F966">
        <v>6.0975609756095386E-3</v>
      </c>
      <c r="G966">
        <v>0.17080491296489231</v>
      </c>
      <c r="H966">
        <v>6.4026595720354749</v>
      </c>
      <c r="I966">
        <v>790.35032899999999</v>
      </c>
      <c r="J966">
        <v>5.9459707906892767</v>
      </c>
      <c r="K966">
        <v>0.52783673306145706</v>
      </c>
      <c r="L966">
        <v>1.2659022541549809</v>
      </c>
      <c r="M966">
        <v>124.2</v>
      </c>
      <c r="N966">
        <v>69.58</v>
      </c>
    </row>
    <row r="967" spans="1:14" x14ac:dyDescent="0.35">
      <c r="A967" s="1" t="s">
        <v>979</v>
      </c>
      <c r="B967" t="str">
        <f>HYPERLINK("https://www.suredividend.com/sure-analysis-research-database/","Medpace Holdings Inc")</f>
        <v>Medpace Holdings Inc</v>
      </c>
      <c r="C967" t="s">
        <v>1803</v>
      </c>
      <c r="D967">
        <v>239.1</v>
      </c>
      <c r="E967">
        <v>0</v>
      </c>
      <c r="F967" t="s">
        <v>1798</v>
      </c>
      <c r="G967" t="s">
        <v>1798</v>
      </c>
      <c r="H967">
        <v>0</v>
      </c>
      <c r="I967">
        <v>7307.5590240000001</v>
      </c>
      <c r="J967">
        <v>27.21836353793034</v>
      </c>
      <c r="K967">
        <v>0</v>
      </c>
      <c r="L967">
        <v>1.2251360326433021</v>
      </c>
      <c r="M967">
        <v>282.73</v>
      </c>
      <c r="N967">
        <v>153.69999999999999</v>
      </c>
    </row>
    <row r="968" spans="1:14" x14ac:dyDescent="0.35">
      <c r="A968" s="1" t="s">
        <v>980</v>
      </c>
      <c r="B968" t="str">
        <f>HYPERLINK("https://www.suredividend.com/sure-analysis-research-database/","Montrose Environmental Group Inc")</f>
        <v>Montrose Environmental Group Inc</v>
      </c>
      <c r="C968" t="s">
        <v>1798</v>
      </c>
      <c r="D968">
        <v>24.97</v>
      </c>
      <c r="E968">
        <v>0</v>
      </c>
      <c r="F968" t="s">
        <v>1798</v>
      </c>
      <c r="G968" t="s">
        <v>1798</v>
      </c>
      <c r="H968">
        <v>0</v>
      </c>
      <c r="I968">
        <v>752.966455</v>
      </c>
      <c r="J968" t="s">
        <v>1798</v>
      </c>
      <c r="K968">
        <v>0</v>
      </c>
      <c r="L968">
        <v>1.8314703436851421</v>
      </c>
      <c r="M968">
        <v>55</v>
      </c>
      <c r="N968">
        <v>24.35</v>
      </c>
    </row>
    <row r="969" spans="1:14" x14ac:dyDescent="0.35">
      <c r="A969" s="1" t="s">
        <v>981</v>
      </c>
      <c r="B969" t="str">
        <f>HYPERLINK("https://www.suredividend.com/sure-analysis-research-database/","Methode Electronics, Inc.")</f>
        <v>Methode Electronics, Inc.</v>
      </c>
      <c r="C969" t="s">
        <v>1804</v>
      </c>
      <c r="D969">
        <v>24.87</v>
      </c>
      <c r="E969">
        <v>2.7914502247126001E-2</v>
      </c>
      <c r="F969">
        <v>0</v>
      </c>
      <c r="G969">
        <v>4.9414522844583919E-2</v>
      </c>
      <c r="H969">
        <v>0.69423367088602606</v>
      </c>
      <c r="I969">
        <v>895.55706099999998</v>
      </c>
      <c r="J969">
        <v>15.85056744849558</v>
      </c>
      <c r="K969">
        <v>0.44789269089421041</v>
      </c>
      <c r="L969">
        <v>1.035652709134377</v>
      </c>
      <c r="M969">
        <v>50.71</v>
      </c>
      <c r="N969">
        <v>21.26</v>
      </c>
    </row>
    <row r="970" spans="1:14" x14ac:dyDescent="0.35">
      <c r="A970" s="1" t="s">
        <v>982</v>
      </c>
      <c r="B970" t="str">
        <f>HYPERLINK("https://www.suredividend.com/sure-analysis-research-database/","Ramaco Resources Inc")</f>
        <v>Ramaco Resources Inc</v>
      </c>
      <c r="C970" t="s">
        <v>1809</v>
      </c>
      <c r="D970">
        <v>9.92</v>
      </c>
      <c r="E970">
        <v>1.2600806451612E-2</v>
      </c>
      <c r="F970" t="s">
        <v>1798</v>
      </c>
      <c r="G970" t="s">
        <v>1798</v>
      </c>
      <c r="H970">
        <v>0.125</v>
      </c>
      <c r="I970">
        <v>540.82769599999995</v>
      </c>
      <c r="J970">
        <v>7.2982254100993194</v>
      </c>
      <c r="K970">
        <v>9.057971014492755E-2</v>
      </c>
      <c r="L970">
        <v>0.59161062645692009</v>
      </c>
      <c r="M970">
        <v>11.19</v>
      </c>
      <c r="N970">
        <v>7.34</v>
      </c>
    </row>
    <row r="971" spans="1:14" x14ac:dyDescent="0.35">
      <c r="A971" s="1" t="s">
        <v>983</v>
      </c>
      <c r="B971" t="str">
        <f>HYPERLINK("https://www.suredividend.com/sure-analysis-research-database/","MFA Financial Inc")</f>
        <v>MFA Financial Inc</v>
      </c>
      <c r="C971" t="s">
        <v>1800</v>
      </c>
      <c r="D971">
        <v>9.17</v>
      </c>
      <c r="E971">
        <v>0.14513249634064801</v>
      </c>
      <c r="F971" t="s">
        <v>1798</v>
      </c>
      <c r="G971" t="s">
        <v>1798</v>
      </c>
      <c r="H971">
        <v>1.330864991443748</v>
      </c>
      <c r="I971">
        <v>934.567858</v>
      </c>
      <c r="J971" t="s">
        <v>1798</v>
      </c>
      <c r="K971" t="s">
        <v>1798</v>
      </c>
      <c r="L971">
        <v>1.379865776161187</v>
      </c>
      <c r="M971">
        <v>11.43</v>
      </c>
      <c r="N971">
        <v>7.33</v>
      </c>
    </row>
    <row r="972" spans="1:14" x14ac:dyDescent="0.35">
      <c r="A972" s="1" t="s">
        <v>984</v>
      </c>
      <c r="B972" t="str">
        <f>HYPERLINK("https://www.suredividend.com/sure-analysis-MGEE/","MGE Energy, Inc.")</f>
        <v>MGE Energy, Inc.</v>
      </c>
      <c r="C972" t="s">
        <v>1806</v>
      </c>
      <c r="D972">
        <v>71.489999999999995</v>
      </c>
      <c r="E972">
        <v>2.391942929080991E-2</v>
      </c>
      <c r="F972">
        <v>4.9079754601226933E-2</v>
      </c>
      <c r="G972">
        <v>4.8413171284721557E-2</v>
      </c>
      <c r="H972">
        <v>1.6245908132166169</v>
      </c>
      <c r="I972">
        <v>2585.3193209999999</v>
      </c>
      <c r="J972">
        <v>24.03271504810597</v>
      </c>
      <c r="K972">
        <v>0.5470002738103088</v>
      </c>
      <c r="L972">
        <v>0.58113023737188507</v>
      </c>
      <c r="M972">
        <v>82.31</v>
      </c>
      <c r="N972">
        <v>61.21</v>
      </c>
    </row>
    <row r="973" spans="1:14" x14ac:dyDescent="0.35">
      <c r="A973" s="1" t="s">
        <v>985</v>
      </c>
      <c r="B973" t="str">
        <f>HYPERLINK("https://www.suredividend.com/sure-analysis-research-database/","Magnite Inc")</f>
        <v>Magnite Inc</v>
      </c>
      <c r="C973" t="s">
        <v>1798</v>
      </c>
      <c r="D973">
        <v>7</v>
      </c>
      <c r="E973">
        <v>0</v>
      </c>
      <c r="F973" t="s">
        <v>1798</v>
      </c>
      <c r="G973" t="s">
        <v>1798</v>
      </c>
      <c r="H973">
        <v>0</v>
      </c>
      <c r="I973">
        <v>958.71061999999995</v>
      </c>
      <c r="J973" t="s">
        <v>1798</v>
      </c>
      <c r="K973">
        <v>0</v>
      </c>
      <c r="L973">
        <v>3.3718239188451302</v>
      </c>
      <c r="M973">
        <v>15.73</v>
      </c>
      <c r="N973">
        <v>5.59</v>
      </c>
    </row>
    <row r="974" spans="1:14" x14ac:dyDescent="0.35">
      <c r="A974" s="1" t="s">
        <v>986</v>
      </c>
      <c r="B974" t="str">
        <f>HYPERLINK("https://www.suredividend.com/sure-analysis-research-database/","Macrogenics Inc")</f>
        <v>Macrogenics Inc</v>
      </c>
      <c r="C974" t="s">
        <v>1803</v>
      </c>
      <c r="D974">
        <v>5.07</v>
      </c>
      <c r="E974">
        <v>0</v>
      </c>
      <c r="F974" t="s">
        <v>1798</v>
      </c>
      <c r="G974" t="s">
        <v>1798</v>
      </c>
      <c r="H974">
        <v>0</v>
      </c>
      <c r="I974">
        <v>314.08383300000003</v>
      </c>
      <c r="J974">
        <v>0</v>
      </c>
      <c r="K974" t="s">
        <v>1798</v>
      </c>
      <c r="L974">
        <v>1.4227418046713971</v>
      </c>
      <c r="M974">
        <v>7.9</v>
      </c>
      <c r="N974">
        <v>3.39</v>
      </c>
    </row>
    <row r="975" spans="1:14" x14ac:dyDescent="0.35">
      <c r="A975" s="1" t="s">
        <v>987</v>
      </c>
      <c r="B975" t="str">
        <f>HYPERLINK("https://www.suredividend.com/sure-analysis-research-database/","MGP Ingredients, Inc.")</f>
        <v>MGP Ingredients, Inc.</v>
      </c>
      <c r="C975" t="s">
        <v>1805</v>
      </c>
      <c r="D975">
        <v>98.42</v>
      </c>
      <c r="E975">
        <v>4.8690208567210014E-3</v>
      </c>
      <c r="F975">
        <v>0</v>
      </c>
      <c r="G975">
        <v>8.4471771197698553E-2</v>
      </c>
      <c r="H975">
        <v>0.47920903271854398</v>
      </c>
      <c r="I975">
        <v>2160.4038380000002</v>
      </c>
      <c r="J975">
        <v>19.876566026993959</v>
      </c>
      <c r="K975">
        <v>9.7400209902143098E-2</v>
      </c>
      <c r="L975">
        <v>0.79127864293844707</v>
      </c>
      <c r="M975">
        <v>125.31</v>
      </c>
      <c r="N975">
        <v>90.49</v>
      </c>
    </row>
    <row r="976" spans="1:14" x14ac:dyDescent="0.35">
      <c r="A976" s="1" t="s">
        <v>988</v>
      </c>
      <c r="B976" t="str">
        <f>HYPERLINK("https://www.suredividend.com/sure-analysis-MGRC/","McGrath Rentcorp")</f>
        <v>McGrath Rentcorp</v>
      </c>
      <c r="C976" t="s">
        <v>1799</v>
      </c>
      <c r="D976">
        <v>101.9166</v>
      </c>
      <c r="E976">
        <v>1.825021635337129E-2</v>
      </c>
      <c r="F976">
        <v>2.19780219780219E-2</v>
      </c>
      <c r="G976">
        <v>6.4620457378655738E-2</v>
      </c>
      <c r="H976">
        <v>1.361124624655071</v>
      </c>
      <c r="I976">
        <v>2495.4272380000002</v>
      </c>
      <c r="J976">
        <v>14.47069092291429</v>
      </c>
      <c r="K976">
        <v>0.19361658956686639</v>
      </c>
      <c r="L976">
        <v>0.7116092512773331</v>
      </c>
      <c r="M976">
        <v>109.02</v>
      </c>
      <c r="N976">
        <v>81.38</v>
      </c>
    </row>
    <row r="977" spans="1:14" x14ac:dyDescent="0.35">
      <c r="A977" s="1" t="s">
        <v>989</v>
      </c>
      <c r="B977" t="str">
        <f>HYPERLINK("https://www.suredividend.com/sure-analysis-research-database/","MeiraGTx Holdings plc")</f>
        <v>MeiraGTx Holdings plc</v>
      </c>
      <c r="C977" t="s">
        <v>1803</v>
      </c>
      <c r="D977">
        <v>4.32</v>
      </c>
      <c r="E977">
        <v>0</v>
      </c>
      <c r="F977" t="s">
        <v>1798</v>
      </c>
      <c r="G977" t="s">
        <v>1798</v>
      </c>
      <c r="H977">
        <v>0</v>
      </c>
      <c r="I977">
        <v>257.19255600000002</v>
      </c>
      <c r="J977" t="s">
        <v>1798</v>
      </c>
      <c r="K977">
        <v>0</v>
      </c>
      <c r="L977">
        <v>0.78259626225549206</v>
      </c>
      <c r="M977">
        <v>8.94</v>
      </c>
      <c r="N977">
        <v>4.17</v>
      </c>
    </row>
    <row r="978" spans="1:14" x14ac:dyDescent="0.35">
      <c r="A978" s="1" t="s">
        <v>990</v>
      </c>
      <c r="B978" t="str">
        <f>HYPERLINK("https://www.suredividend.com/sure-analysis-research-database/","Magnolia Oil &amp; Gas Corp")</f>
        <v>Magnolia Oil &amp; Gas Corp</v>
      </c>
      <c r="C978" t="s">
        <v>1808</v>
      </c>
      <c r="D978">
        <v>23.51</v>
      </c>
      <c r="E978">
        <v>1.8783062281209E-2</v>
      </c>
      <c r="F978" t="s">
        <v>1798</v>
      </c>
      <c r="G978" t="s">
        <v>1798</v>
      </c>
      <c r="H978">
        <v>0.44158979423124312</v>
      </c>
      <c r="I978">
        <v>4417.6153759999997</v>
      </c>
      <c r="J978">
        <v>6.7255782639554962</v>
      </c>
      <c r="K978">
        <v>0.1279970418061574</v>
      </c>
      <c r="L978">
        <v>1.10910255579038</v>
      </c>
      <c r="M978">
        <v>27.13</v>
      </c>
      <c r="N978">
        <v>18.52</v>
      </c>
    </row>
    <row r="979" spans="1:14" x14ac:dyDescent="0.35">
      <c r="A979" s="1" t="s">
        <v>991</v>
      </c>
      <c r="B979" t="str">
        <f>HYPERLINK("https://www.suredividend.com/sure-analysis-research-database/","MI Homes Inc.")</f>
        <v>MI Homes Inc.</v>
      </c>
      <c r="C979" t="s">
        <v>1802</v>
      </c>
      <c r="D979">
        <v>80.17</v>
      </c>
      <c r="E979">
        <v>0</v>
      </c>
      <c r="F979" t="s">
        <v>1798</v>
      </c>
      <c r="G979" t="s">
        <v>1798</v>
      </c>
      <c r="H979">
        <v>0</v>
      </c>
      <c r="I979">
        <v>2231.0842809999999</v>
      </c>
      <c r="J979">
        <v>4.6187248592698094</v>
      </c>
      <c r="K979">
        <v>0</v>
      </c>
      <c r="L979">
        <v>1.5055487775284011</v>
      </c>
      <c r="M979">
        <v>101.62</v>
      </c>
      <c r="N979">
        <v>37.6</v>
      </c>
    </row>
    <row r="980" spans="1:14" x14ac:dyDescent="0.35">
      <c r="A980" s="1" t="s">
        <v>992</v>
      </c>
      <c r="B980" t="str">
        <f>HYPERLINK("https://www.suredividend.com/sure-analysis-research-database/","Mirion Technologies Inc.")</f>
        <v>Mirion Technologies Inc.</v>
      </c>
      <c r="C980" t="s">
        <v>1798</v>
      </c>
      <c r="D980">
        <v>7.11</v>
      </c>
      <c r="E980">
        <v>0</v>
      </c>
      <c r="F980" t="s">
        <v>1798</v>
      </c>
      <c r="G980" t="s">
        <v>1798</v>
      </c>
      <c r="H980">
        <v>0</v>
      </c>
      <c r="I980">
        <v>1549.5769270000001</v>
      </c>
      <c r="J980" t="s">
        <v>1798</v>
      </c>
      <c r="K980">
        <v>0</v>
      </c>
      <c r="L980">
        <v>1.344369345270138</v>
      </c>
      <c r="M980">
        <v>9.5299999999999994</v>
      </c>
      <c r="N980">
        <v>5.59</v>
      </c>
    </row>
    <row r="981" spans="1:14" x14ac:dyDescent="0.35">
      <c r="A981" s="1" t="s">
        <v>993</v>
      </c>
      <c r="B981" t="str">
        <f>HYPERLINK("https://www.suredividend.com/sure-analysis-research-database/","Mirum Pharmaceuticals Inc")</f>
        <v>Mirum Pharmaceuticals Inc</v>
      </c>
      <c r="C981" t="s">
        <v>1803</v>
      </c>
      <c r="D981">
        <v>28.12</v>
      </c>
      <c r="E981">
        <v>0</v>
      </c>
      <c r="F981" t="s">
        <v>1798</v>
      </c>
      <c r="G981" t="s">
        <v>1798</v>
      </c>
      <c r="H981">
        <v>0</v>
      </c>
      <c r="I981">
        <v>1076.939057</v>
      </c>
      <c r="J981" t="s">
        <v>1798</v>
      </c>
      <c r="K981">
        <v>0</v>
      </c>
      <c r="L981">
        <v>0.8264477506620771</v>
      </c>
      <c r="M981">
        <v>33.39</v>
      </c>
      <c r="N981">
        <v>17.489999999999998</v>
      </c>
    </row>
    <row r="982" spans="1:14" x14ac:dyDescent="0.35">
      <c r="A982" s="1" t="s">
        <v>994</v>
      </c>
      <c r="B982" t="str">
        <f>HYPERLINK("https://www.suredividend.com/sure-analysis-research-database/","Mitek Systems Inc")</f>
        <v>Mitek Systems Inc</v>
      </c>
      <c r="C982" t="s">
        <v>1804</v>
      </c>
      <c r="D982">
        <v>10.46</v>
      </c>
      <c r="E982">
        <v>0</v>
      </c>
      <c r="F982" t="s">
        <v>1798</v>
      </c>
      <c r="G982" t="s">
        <v>1798</v>
      </c>
      <c r="H982">
        <v>0</v>
      </c>
      <c r="I982">
        <v>476.86695500000002</v>
      </c>
      <c r="J982">
        <v>54.226399192631348</v>
      </c>
      <c r="K982">
        <v>0</v>
      </c>
      <c r="L982">
        <v>1.066246503952905</v>
      </c>
      <c r="M982">
        <v>13.98</v>
      </c>
      <c r="N982">
        <v>8.6</v>
      </c>
    </row>
    <row r="983" spans="1:14" x14ac:dyDescent="0.35">
      <c r="A983" s="1" t="s">
        <v>995</v>
      </c>
      <c r="B983" t="str">
        <f>HYPERLINK("https://www.suredividend.com/sure-analysis-research-database/","Markforged Holding Corporation")</f>
        <v>Markforged Holding Corporation</v>
      </c>
      <c r="C983" t="s">
        <v>1798</v>
      </c>
      <c r="D983">
        <v>1.23</v>
      </c>
      <c r="E983">
        <v>0</v>
      </c>
      <c r="F983" t="s">
        <v>1798</v>
      </c>
      <c r="G983" t="s">
        <v>1798</v>
      </c>
      <c r="H983">
        <v>0</v>
      </c>
      <c r="I983">
        <v>242.70488800000001</v>
      </c>
      <c r="J983" t="s">
        <v>1798</v>
      </c>
      <c r="K983">
        <v>0</v>
      </c>
      <c r="L983">
        <v>1.9705049300299471</v>
      </c>
      <c r="M983">
        <v>2.2999999999999998</v>
      </c>
      <c r="N983">
        <v>0.71</v>
      </c>
    </row>
    <row r="984" spans="1:14" x14ac:dyDescent="0.35">
      <c r="A984" s="1" t="s">
        <v>996</v>
      </c>
      <c r="B984" t="str">
        <f>HYPERLINK("https://www.suredividend.com/sure-analysis-research-database/","Marketwise Inc")</f>
        <v>Marketwise Inc</v>
      </c>
      <c r="C984" t="s">
        <v>1798</v>
      </c>
      <c r="D984">
        <v>1.45</v>
      </c>
      <c r="E984">
        <v>1.3742141896073E-2</v>
      </c>
      <c r="F984" t="s">
        <v>1798</v>
      </c>
      <c r="G984" t="s">
        <v>1798</v>
      </c>
      <c r="H984">
        <v>1.9926105749307001E-2</v>
      </c>
      <c r="I984">
        <v>54.346995999999997</v>
      </c>
      <c r="J984">
        <v>30.412420900951311</v>
      </c>
      <c r="K984">
        <v>0.32087126810478261</v>
      </c>
      <c r="L984">
        <v>1.348337190292896</v>
      </c>
      <c r="M984">
        <v>2.83</v>
      </c>
      <c r="N984">
        <v>1.23</v>
      </c>
    </row>
    <row r="985" spans="1:14" x14ac:dyDescent="0.35">
      <c r="A985" s="1" t="s">
        <v>997</v>
      </c>
      <c r="B985" t="str">
        <f>HYPERLINK("https://www.suredividend.com/sure-analysis-research-database/","MoneyLion Inc")</f>
        <v>MoneyLion Inc</v>
      </c>
      <c r="C985" t="s">
        <v>1798</v>
      </c>
      <c r="D985">
        <v>20.07</v>
      </c>
      <c r="E985">
        <v>0</v>
      </c>
      <c r="F985" t="s">
        <v>1798</v>
      </c>
      <c r="G985" t="s">
        <v>1798</v>
      </c>
      <c r="H985">
        <v>0</v>
      </c>
      <c r="I985">
        <v>204.02284900000001</v>
      </c>
      <c r="J985" t="s">
        <v>1798</v>
      </c>
      <c r="K985">
        <v>0</v>
      </c>
      <c r="L985">
        <v>1.236797186616728</v>
      </c>
      <c r="M985">
        <v>37.5</v>
      </c>
      <c r="N985">
        <v>7.5</v>
      </c>
    </row>
    <row r="986" spans="1:14" x14ac:dyDescent="0.35">
      <c r="A986" s="1" t="s">
        <v>998</v>
      </c>
      <c r="B986" t="str">
        <f>HYPERLINK("https://www.suredividend.com/sure-analysis-research-database/","Mesa Laboratories, Inc.")</f>
        <v>Mesa Laboratories, Inc.</v>
      </c>
      <c r="C986" t="s">
        <v>1804</v>
      </c>
      <c r="D986">
        <v>101.45</v>
      </c>
      <c r="E986">
        <v>6.2890557980170014E-3</v>
      </c>
      <c r="F986" t="s">
        <v>1798</v>
      </c>
      <c r="G986" t="s">
        <v>1798</v>
      </c>
      <c r="H986">
        <v>0.63802471070885203</v>
      </c>
      <c r="I986">
        <v>546.23632199999997</v>
      </c>
      <c r="J986">
        <v>300.29484439252337</v>
      </c>
      <c r="K986">
        <v>1.889323987885259</v>
      </c>
      <c r="L986">
        <v>0.96162703382914905</v>
      </c>
      <c r="M986">
        <v>205.23</v>
      </c>
      <c r="N986">
        <v>94.73</v>
      </c>
    </row>
    <row r="987" spans="1:14" x14ac:dyDescent="0.35">
      <c r="A987" s="1" t="s">
        <v>999</v>
      </c>
      <c r="B987" t="str">
        <f>HYPERLINK("https://www.suredividend.com/sure-analysis-MLI/","Mueller Industries, Inc.")</f>
        <v>Mueller Industries, Inc.</v>
      </c>
      <c r="C987" t="s">
        <v>1799</v>
      </c>
      <c r="D987">
        <v>72.569999999999993</v>
      </c>
      <c r="E987">
        <v>1.6535758577924761E-2</v>
      </c>
      <c r="F987">
        <v>0.20000000000000021</v>
      </c>
      <c r="G987">
        <v>0.2457309396155174</v>
      </c>
      <c r="H987">
        <v>1.143454897815452</v>
      </c>
      <c r="I987">
        <v>4119.0775540000004</v>
      </c>
      <c r="J987">
        <v>6.3921327412561793</v>
      </c>
      <c r="K987">
        <v>0.10030306121188171</v>
      </c>
      <c r="L987">
        <v>1.1690342988640769</v>
      </c>
      <c r="M987">
        <v>91.57</v>
      </c>
      <c r="N987">
        <v>57.46</v>
      </c>
    </row>
    <row r="988" spans="1:14" x14ac:dyDescent="0.35">
      <c r="A988" s="1" t="s">
        <v>1000</v>
      </c>
      <c r="B988" t="str">
        <f>HYPERLINK("https://www.suredividend.com/sure-analysis-research-database/","MillerKnoll Inc")</f>
        <v>MillerKnoll Inc</v>
      </c>
      <c r="C988" t="s">
        <v>1798</v>
      </c>
      <c r="D988">
        <v>24.5</v>
      </c>
      <c r="E988">
        <v>2.9697184069973001E-2</v>
      </c>
      <c r="F988" t="s">
        <v>1798</v>
      </c>
      <c r="G988" t="s">
        <v>1798</v>
      </c>
      <c r="H988">
        <v>0.72758100971434903</v>
      </c>
      <c r="I988">
        <v>1800.343472</v>
      </c>
      <c r="J988">
        <v>54.555862772727281</v>
      </c>
      <c r="K988">
        <v>1.6729846164965489</v>
      </c>
      <c r="L988">
        <v>1.2232580612018</v>
      </c>
      <c r="M988">
        <v>25.79</v>
      </c>
      <c r="N988">
        <v>12.78</v>
      </c>
    </row>
    <row r="989" spans="1:14" x14ac:dyDescent="0.35">
      <c r="A989" s="1" t="s">
        <v>1001</v>
      </c>
      <c r="B989" t="str">
        <f>HYPERLINK("https://www.suredividend.com/sure-analysis-research-database/","MeridianLink Inc")</f>
        <v>MeridianLink Inc</v>
      </c>
      <c r="C989" t="s">
        <v>1798</v>
      </c>
      <c r="D989">
        <v>16.82</v>
      </c>
      <c r="E989">
        <v>0</v>
      </c>
      <c r="F989" t="s">
        <v>1798</v>
      </c>
      <c r="G989" t="s">
        <v>1798</v>
      </c>
      <c r="H989">
        <v>0</v>
      </c>
      <c r="I989">
        <v>1369.2878410000001</v>
      </c>
      <c r="J989" t="s">
        <v>1798</v>
      </c>
      <c r="K989">
        <v>0</v>
      </c>
      <c r="L989">
        <v>0.96582293282108511</v>
      </c>
      <c r="M989">
        <v>22.69</v>
      </c>
      <c r="N989">
        <v>12.49</v>
      </c>
    </row>
    <row r="990" spans="1:14" x14ac:dyDescent="0.35">
      <c r="A990" s="1" t="s">
        <v>1002</v>
      </c>
      <c r="B990" t="str">
        <f>HYPERLINK("https://www.suredividend.com/sure-analysis-MLR/","Miller Industries Inc.")</f>
        <v>Miller Industries Inc.</v>
      </c>
      <c r="C990" t="s">
        <v>1802</v>
      </c>
      <c r="D990">
        <v>37.72</v>
      </c>
      <c r="E990">
        <v>1.9088016967126191E-2</v>
      </c>
      <c r="F990">
        <v>0</v>
      </c>
      <c r="G990">
        <v>0</v>
      </c>
      <c r="H990">
        <v>0.714728663850414</v>
      </c>
      <c r="I990">
        <v>431.72954099999998</v>
      </c>
      <c r="J990">
        <v>0</v>
      </c>
      <c r="K990" t="s">
        <v>1798</v>
      </c>
      <c r="L990">
        <v>0.67309848596663902</v>
      </c>
      <c r="M990">
        <v>41.32</v>
      </c>
      <c r="N990">
        <v>22.02</v>
      </c>
    </row>
    <row r="991" spans="1:14" x14ac:dyDescent="0.35">
      <c r="A991" s="1" t="s">
        <v>1003</v>
      </c>
      <c r="B991" t="str">
        <f>HYPERLINK("https://www.suredividend.com/sure-analysis-research-database/","Mineralys Therapeutics Inc")</f>
        <v>Mineralys Therapeutics Inc</v>
      </c>
      <c r="C991" t="s">
        <v>1798</v>
      </c>
      <c r="D991">
        <v>9.06</v>
      </c>
      <c r="E991">
        <v>0</v>
      </c>
      <c r="F991" t="s">
        <v>1798</v>
      </c>
      <c r="G991" t="s">
        <v>1798</v>
      </c>
      <c r="H991">
        <v>0</v>
      </c>
      <c r="I991">
        <v>370.16127599999999</v>
      </c>
      <c r="J991">
        <v>0</v>
      </c>
      <c r="K991" t="s">
        <v>1798</v>
      </c>
      <c r="L991">
        <v>0.50290677586785604</v>
      </c>
      <c r="M991">
        <v>21.98</v>
      </c>
      <c r="N991">
        <v>8.2200000000000006</v>
      </c>
    </row>
    <row r="992" spans="1:14" x14ac:dyDescent="0.35">
      <c r="A992" s="1" t="s">
        <v>1004</v>
      </c>
      <c r="B992" t="str">
        <f>HYPERLINK("https://www.suredividend.com/sure-analysis-research-database/","Marcus &amp; Millichap Inc")</f>
        <v>Marcus &amp; Millichap Inc</v>
      </c>
      <c r="C992" t="s">
        <v>1800</v>
      </c>
      <c r="D992">
        <v>28.97</v>
      </c>
      <c r="E992">
        <v>1.7190252162113E-2</v>
      </c>
      <c r="F992" t="s">
        <v>1798</v>
      </c>
      <c r="G992" t="s">
        <v>1798</v>
      </c>
      <c r="H992">
        <v>0.49800160513643599</v>
      </c>
      <c r="I992">
        <v>1114.2034369999999</v>
      </c>
      <c r="J992">
        <v>75.534095122364576</v>
      </c>
      <c r="K992">
        <v>1.330843412978183</v>
      </c>
      <c r="L992">
        <v>1.2285743477724069</v>
      </c>
      <c r="M992">
        <v>38.83</v>
      </c>
      <c r="N992">
        <v>27.27</v>
      </c>
    </row>
    <row r="993" spans="1:14" x14ac:dyDescent="0.35">
      <c r="A993" s="1" t="s">
        <v>1005</v>
      </c>
      <c r="B993" t="str">
        <f>HYPERLINK("https://www.suredividend.com/sure-analysis-MMS/","Maximus Inc.")</f>
        <v>Maximus Inc.</v>
      </c>
      <c r="C993" t="s">
        <v>1799</v>
      </c>
      <c r="D993">
        <v>76.87</v>
      </c>
      <c r="E993">
        <v>1.5610771432288281E-2</v>
      </c>
      <c r="F993">
        <v>0</v>
      </c>
      <c r="G993">
        <v>2.292455662603032E-2</v>
      </c>
      <c r="H993">
        <v>1.1141610039630321</v>
      </c>
      <c r="I993">
        <v>4672.4369459999998</v>
      </c>
      <c r="J993">
        <v>27.210735042017792</v>
      </c>
      <c r="K993">
        <v>0.3979146442725115</v>
      </c>
      <c r="L993">
        <v>0.88177841369605103</v>
      </c>
      <c r="M993">
        <v>89.38</v>
      </c>
      <c r="N993">
        <v>54.48</v>
      </c>
    </row>
    <row r="994" spans="1:14" x14ac:dyDescent="0.35">
      <c r="A994" s="1" t="s">
        <v>1006</v>
      </c>
      <c r="B994" t="str">
        <f>HYPERLINK("https://www.suredividend.com/sure-analysis-research-database/","Merit Medical Systems, Inc.")</f>
        <v>Merit Medical Systems, Inc.</v>
      </c>
      <c r="C994" t="s">
        <v>1803</v>
      </c>
      <c r="D994">
        <v>64.63</v>
      </c>
      <c r="E994">
        <v>0</v>
      </c>
      <c r="F994" t="s">
        <v>1798</v>
      </c>
      <c r="G994" t="s">
        <v>1798</v>
      </c>
      <c r="H994">
        <v>0</v>
      </c>
      <c r="I994">
        <v>3722.6880000000001</v>
      </c>
      <c r="J994">
        <v>41.538121645596448</v>
      </c>
      <c r="K994">
        <v>0</v>
      </c>
      <c r="L994">
        <v>0.80189220713912901</v>
      </c>
      <c r="M994">
        <v>85.62</v>
      </c>
      <c r="N994">
        <v>55.27</v>
      </c>
    </row>
    <row r="995" spans="1:14" x14ac:dyDescent="0.35">
      <c r="A995" s="1" t="s">
        <v>1007</v>
      </c>
      <c r="B995" t="str">
        <f>HYPERLINK("https://www.suredividend.com/sure-analysis-research-database/","Mannkind Corp")</f>
        <v>Mannkind Corp</v>
      </c>
      <c r="C995" t="s">
        <v>1803</v>
      </c>
      <c r="D995">
        <v>3.99</v>
      </c>
      <c r="E995">
        <v>0</v>
      </c>
      <c r="F995" t="s">
        <v>1798</v>
      </c>
      <c r="G995" t="s">
        <v>1798</v>
      </c>
      <c r="H995">
        <v>0</v>
      </c>
      <c r="I995">
        <v>1070.7371760000001</v>
      </c>
      <c r="J995" t="s">
        <v>1798</v>
      </c>
      <c r="K995">
        <v>0</v>
      </c>
      <c r="L995">
        <v>1.2368414617795529</v>
      </c>
      <c r="M995">
        <v>5.75</v>
      </c>
      <c r="N995">
        <v>3.07</v>
      </c>
    </row>
    <row r="996" spans="1:14" x14ac:dyDescent="0.35">
      <c r="A996" s="1" t="s">
        <v>1008</v>
      </c>
      <c r="B996" t="str">
        <f>HYPERLINK("https://www.suredividend.com/sure-analysis-research-database/","Monro Inc")</f>
        <v>Monro Inc</v>
      </c>
      <c r="C996" t="s">
        <v>1802</v>
      </c>
      <c r="D996">
        <v>25.71</v>
      </c>
      <c r="E996">
        <v>4.2681912382053003E-2</v>
      </c>
      <c r="F996">
        <v>0</v>
      </c>
      <c r="G996">
        <v>6.9610375725068785E-2</v>
      </c>
      <c r="H996">
        <v>1.097351967342594</v>
      </c>
      <c r="I996">
        <v>807.75698599999998</v>
      </c>
      <c r="J996">
        <v>23.159498413899879</v>
      </c>
      <c r="K996">
        <v>1.006744924167517</v>
      </c>
      <c r="L996">
        <v>0.71432349480476998</v>
      </c>
      <c r="M996">
        <v>53.75</v>
      </c>
      <c r="N996">
        <v>25.43</v>
      </c>
    </row>
    <row r="997" spans="1:14" x14ac:dyDescent="0.35">
      <c r="A997" s="1" t="s">
        <v>1009</v>
      </c>
      <c r="B997" t="str">
        <f>HYPERLINK("https://www.suredividend.com/sure-analysis-research-database/","Montauk Renewables Inc")</f>
        <v>Montauk Renewables Inc</v>
      </c>
      <c r="C997" t="s">
        <v>1798</v>
      </c>
      <c r="D997">
        <v>10.119999999999999</v>
      </c>
      <c r="E997">
        <v>0</v>
      </c>
      <c r="F997" t="s">
        <v>1798</v>
      </c>
      <c r="G997" t="s">
        <v>1798</v>
      </c>
      <c r="H997">
        <v>0</v>
      </c>
      <c r="I997">
        <v>1453.8565960000001</v>
      </c>
      <c r="J997">
        <v>101.15896161146669</v>
      </c>
      <c r="K997">
        <v>0</v>
      </c>
      <c r="L997">
        <v>0.89827422787877009</v>
      </c>
      <c r="M997">
        <v>18.149999999999999</v>
      </c>
      <c r="N997">
        <v>5.46</v>
      </c>
    </row>
    <row r="998" spans="1:14" x14ac:dyDescent="0.35">
      <c r="A998" s="1" t="s">
        <v>1010</v>
      </c>
      <c r="B998" t="str">
        <f>HYPERLINK("https://www.suredividend.com/sure-analysis-research-database/","Momentus Inc")</f>
        <v>Momentus Inc</v>
      </c>
      <c r="C998" t="s">
        <v>1798</v>
      </c>
      <c r="D998">
        <v>3.11</v>
      </c>
      <c r="E998">
        <v>0</v>
      </c>
      <c r="F998" t="s">
        <v>1798</v>
      </c>
      <c r="G998" t="s">
        <v>1798</v>
      </c>
      <c r="H998">
        <v>0</v>
      </c>
      <c r="I998">
        <v>7.4763999999999999</v>
      </c>
      <c r="J998">
        <v>0</v>
      </c>
      <c r="K998" t="s">
        <v>1798</v>
      </c>
      <c r="L998">
        <v>1.771838329070073</v>
      </c>
      <c r="M998">
        <v>79.5</v>
      </c>
      <c r="N998">
        <v>1.03</v>
      </c>
    </row>
    <row r="999" spans="1:14" x14ac:dyDescent="0.35">
      <c r="A999" s="1" t="s">
        <v>1011</v>
      </c>
      <c r="B999" t="str">
        <f>HYPERLINK("https://www.suredividend.com/sure-analysis-research-database/","Modine Manufacturing Co.")</f>
        <v>Modine Manufacturing Co.</v>
      </c>
      <c r="C999" t="s">
        <v>1802</v>
      </c>
      <c r="D999">
        <v>44.85</v>
      </c>
      <c r="E999">
        <v>0</v>
      </c>
      <c r="F999" t="s">
        <v>1798</v>
      </c>
      <c r="G999" t="s">
        <v>1798</v>
      </c>
      <c r="H999">
        <v>0</v>
      </c>
      <c r="I999">
        <v>2347.2498660000001</v>
      </c>
      <c r="J999">
        <v>12.78458532679738</v>
      </c>
      <c r="K999">
        <v>0</v>
      </c>
      <c r="L999">
        <v>1.3444200951078309</v>
      </c>
      <c r="M999">
        <v>51.76</v>
      </c>
      <c r="N999">
        <v>14.2</v>
      </c>
    </row>
    <row r="1000" spans="1:14" x14ac:dyDescent="0.35">
      <c r="A1000" s="1" t="s">
        <v>1012</v>
      </c>
      <c r="B1000" t="str">
        <f>HYPERLINK("https://www.suredividend.com/sure-analysis-research-database/","Topgolf Callaway Brands Corp")</f>
        <v>Topgolf Callaway Brands Corp</v>
      </c>
      <c r="C1000" t="s">
        <v>1798</v>
      </c>
      <c r="D1000">
        <v>12.65</v>
      </c>
      <c r="E1000">
        <v>0</v>
      </c>
      <c r="F1000" t="s">
        <v>1798</v>
      </c>
      <c r="G1000" t="s">
        <v>1798</v>
      </c>
      <c r="H1000">
        <v>0</v>
      </c>
      <c r="I1000">
        <v>2346.2655049999998</v>
      </c>
      <c r="J1000">
        <v>21.684524076709799</v>
      </c>
      <c r="K1000">
        <v>0</v>
      </c>
      <c r="L1000">
        <v>1.123929364084133</v>
      </c>
      <c r="M1000">
        <v>25.96</v>
      </c>
      <c r="N1000">
        <v>12.62</v>
      </c>
    </row>
    <row r="1001" spans="1:14" x14ac:dyDescent="0.35">
      <c r="A1001" s="1" t="s">
        <v>1013</v>
      </c>
      <c r="B1001" t="str">
        <f>HYPERLINK("https://www.suredividend.com/sure-analysis-research-database/","Model N Inc")</f>
        <v>Model N Inc</v>
      </c>
      <c r="C1001" t="s">
        <v>1804</v>
      </c>
      <c r="D1001">
        <v>22.95</v>
      </c>
      <c r="E1001">
        <v>0</v>
      </c>
      <c r="F1001" t="s">
        <v>1798</v>
      </c>
      <c r="G1001" t="s">
        <v>1798</v>
      </c>
      <c r="H1001">
        <v>0</v>
      </c>
      <c r="I1001">
        <v>882.15210000000002</v>
      </c>
      <c r="J1001">
        <v>0</v>
      </c>
      <c r="K1001" t="s">
        <v>1798</v>
      </c>
      <c r="L1001">
        <v>0.59584818887895707</v>
      </c>
      <c r="M1001">
        <v>43.18</v>
      </c>
      <c r="N1001">
        <v>22.67</v>
      </c>
    </row>
    <row r="1002" spans="1:14" x14ac:dyDescent="0.35">
      <c r="A1002" s="1" t="s">
        <v>1014</v>
      </c>
      <c r="B1002" t="str">
        <f>HYPERLINK("https://www.suredividend.com/sure-analysis-research-database/","ModivCare Inc")</f>
        <v>ModivCare Inc</v>
      </c>
      <c r="C1002" t="s">
        <v>1798</v>
      </c>
      <c r="D1002">
        <v>35.9</v>
      </c>
      <c r="E1002">
        <v>0</v>
      </c>
      <c r="F1002" t="s">
        <v>1798</v>
      </c>
      <c r="G1002" t="s">
        <v>1798</v>
      </c>
      <c r="H1002">
        <v>0</v>
      </c>
      <c r="I1002">
        <v>509.107055</v>
      </c>
      <c r="J1002" t="s">
        <v>1798</v>
      </c>
      <c r="K1002">
        <v>0</v>
      </c>
      <c r="L1002">
        <v>0.90829705432999308</v>
      </c>
      <c r="M1002">
        <v>113.53</v>
      </c>
      <c r="N1002">
        <v>26.05</v>
      </c>
    </row>
    <row r="1003" spans="1:14" x14ac:dyDescent="0.35">
      <c r="A1003" s="1" t="s">
        <v>1015</v>
      </c>
      <c r="B1003" t="str">
        <f>HYPERLINK("https://www.suredividend.com/sure-analysis-research-database/","MidWestOne Financial Group Inc")</f>
        <v>MidWestOne Financial Group Inc</v>
      </c>
      <c r="C1003" t="s">
        <v>1801</v>
      </c>
      <c r="D1003">
        <v>20.079999999999998</v>
      </c>
      <c r="E1003">
        <v>4.6614020265648003E-2</v>
      </c>
      <c r="F1003">
        <v>2.105263157894743E-2</v>
      </c>
      <c r="G1003">
        <v>4.4564895075664079E-2</v>
      </c>
      <c r="H1003">
        <v>0.93600952693422212</v>
      </c>
      <c r="I1003">
        <v>314.95726999999999</v>
      </c>
      <c r="J1003">
        <v>7.2721604673285611</v>
      </c>
      <c r="K1003">
        <v>0.33913388657037041</v>
      </c>
      <c r="L1003">
        <v>0.91732499672998702</v>
      </c>
      <c r="M1003">
        <v>33.450000000000003</v>
      </c>
      <c r="N1003">
        <v>16.98</v>
      </c>
    </row>
    <row r="1004" spans="1:14" x14ac:dyDescent="0.35">
      <c r="A1004" s="1" t="s">
        <v>1016</v>
      </c>
      <c r="B1004" t="str">
        <f>HYPERLINK("https://www.suredividend.com/sure-analysis-research-database/","Morphic Holding Inc")</f>
        <v>Morphic Holding Inc</v>
      </c>
      <c r="C1004" t="s">
        <v>1803</v>
      </c>
      <c r="D1004">
        <v>21.63</v>
      </c>
      <c r="E1004">
        <v>0</v>
      </c>
      <c r="F1004" t="s">
        <v>1798</v>
      </c>
      <c r="G1004" t="s">
        <v>1798</v>
      </c>
      <c r="H1004">
        <v>0</v>
      </c>
      <c r="I1004">
        <v>1036.564108</v>
      </c>
      <c r="J1004" t="s">
        <v>1798</v>
      </c>
      <c r="K1004">
        <v>0</v>
      </c>
      <c r="L1004">
        <v>1.2888275338054229</v>
      </c>
      <c r="M1004">
        <v>63.08</v>
      </c>
      <c r="N1004">
        <v>19.8</v>
      </c>
    </row>
    <row r="1005" spans="1:14" x14ac:dyDescent="0.35">
      <c r="A1005" s="1" t="s">
        <v>1017</v>
      </c>
      <c r="B1005" t="str">
        <f>HYPERLINK("https://www.suredividend.com/sure-analysis-research-database/","Movado Group, Inc.")</f>
        <v>Movado Group, Inc.</v>
      </c>
      <c r="C1005" t="s">
        <v>1802</v>
      </c>
      <c r="D1005">
        <v>27.76</v>
      </c>
      <c r="E1005">
        <v>4.9471372630296002E-2</v>
      </c>
      <c r="F1005" t="s">
        <v>1798</v>
      </c>
      <c r="G1005" t="s">
        <v>1798</v>
      </c>
      <c r="H1005">
        <v>1.373325304217025</v>
      </c>
      <c r="I1005">
        <v>434.80690600000003</v>
      </c>
      <c r="J1005">
        <v>6.2843357539493274</v>
      </c>
      <c r="K1005">
        <v>0.45027059154656562</v>
      </c>
      <c r="L1005">
        <v>0.9579668417926881</v>
      </c>
      <c r="M1005">
        <v>35.869999999999997</v>
      </c>
      <c r="N1005">
        <v>23.62</v>
      </c>
    </row>
    <row r="1006" spans="1:14" x14ac:dyDescent="0.35">
      <c r="A1006" s="1" t="s">
        <v>1018</v>
      </c>
      <c r="B1006" t="str">
        <f>HYPERLINK("https://www.suredividend.com/sure-analysis-research-database/","Motorcar Parts of America Inc.")</f>
        <v>Motorcar Parts of America Inc.</v>
      </c>
      <c r="C1006" t="s">
        <v>1802</v>
      </c>
      <c r="D1006">
        <v>7.55</v>
      </c>
      <c r="E1006">
        <v>0</v>
      </c>
      <c r="F1006" t="s">
        <v>1798</v>
      </c>
      <c r="G1006" t="s">
        <v>1798</v>
      </c>
      <c r="H1006">
        <v>0</v>
      </c>
      <c r="I1006">
        <v>147.94493</v>
      </c>
      <c r="J1006" t="s">
        <v>1798</v>
      </c>
      <c r="K1006">
        <v>0</v>
      </c>
      <c r="L1006">
        <v>1.3678862652867589</v>
      </c>
      <c r="M1006">
        <v>19.93</v>
      </c>
      <c r="N1006">
        <v>4.26</v>
      </c>
    </row>
    <row r="1007" spans="1:14" x14ac:dyDescent="0.35">
      <c r="A1007" s="1" t="s">
        <v>1019</v>
      </c>
      <c r="B1007" t="str">
        <f>HYPERLINK("https://www.suredividend.com/sure-analysis-research-database/","Mid Penn Bancorp, Inc.")</f>
        <v>Mid Penn Bancorp, Inc.</v>
      </c>
      <c r="C1007" t="s">
        <v>1801</v>
      </c>
      <c r="D1007">
        <v>19.89</v>
      </c>
      <c r="E1007">
        <v>3.9502070214937013E-2</v>
      </c>
      <c r="F1007">
        <v>0</v>
      </c>
      <c r="G1007">
        <v>2.1295687600135119E-2</v>
      </c>
      <c r="H1007">
        <v>0.78569617657510404</v>
      </c>
      <c r="I1007">
        <v>329.64047099999999</v>
      </c>
      <c r="J1007">
        <v>0</v>
      </c>
      <c r="K1007" t="s">
        <v>1798</v>
      </c>
      <c r="L1007">
        <v>0.70536818742901208</v>
      </c>
      <c r="M1007">
        <v>33.58</v>
      </c>
      <c r="N1007">
        <v>17.73</v>
      </c>
    </row>
    <row r="1008" spans="1:14" x14ac:dyDescent="0.35">
      <c r="A1008" s="1" t="s">
        <v>1020</v>
      </c>
      <c r="B1008" t="str">
        <f>HYPERLINK("https://www.suredividend.com/sure-analysis-research-database/","MultiPlan Corp")</f>
        <v>MultiPlan Corp</v>
      </c>
      <c r="C1008" t="s">
        <v>1798</v>
      </c>
      <c r="D1008">
        <v>1.7</v>
      </c>
      <c r="E1008">
        <v>0</v>
      </c>
      <c r="F1008" t="s">
        <v>1798</v>
      </c>
      <c r="G1008" t="s">
        <v>1798</v>
      </c>
      <c r="H1008">
        <v>0</v>
      </c>
      <c r="I1008">
        <v>1104.117352</v>
      </c>
      <c r="J1008" t="s">
        <v>1798</v>
      </c>
      <c r="K1008">
        <v>0</v>
      </c>
      <c r="L1008">
        <v>1.6142752351497129</v>
      </c>
      <c r="M1008">
        <v>2.9</v>
      </c>
      <c r="N1008">
        <v>0.61040000000000005</v>
      </c>
    </row>
    <row r="1009" spans="1:14" x14ac:dyDescent="0.35">
      <c r="A1009" s="1" t="s">
        <v>1021</v>
      </c>
      <c r="B1009" t="str">
        <f>HYPERLINK("https://www.suredividend.com/sure-analysis-research-database/","Marine Products Corp")</f>
        <v>Marine Products Corp</v>
      </c>
      <c r="C1009" t="s">
        <v>1802</v>
      </c>
      <c r="D1009">
        <v>14.1</v>
      </c>
      <c r="E1009">
        <v>3.9171612004248013E-2</v>
      </c>
      <c r="F1009">
        <v>0.16666666666666671</v>
      </c>
      <c r="G1009">
        <v>3.1310306477545069E-2</v>
      </c>
      <c r="H1009">
        <v>0.55231972925990802</v>
      </c>
      <c r="I1009">
        <v>485.98083700000001</v>
      </c>
      <c r="J1009">
        <v>10.10901602945459</v>
      </c>
      <c r="K1009">
        <v>0.38623757290902661</v>
      </c>
      <c r="L1009">
        <v>0.91167562728215812</v>
      </c>
      <c r="M1009">
        <v>17.809999999999999</v>
      </c>
      <c r="N1009">
        <v>7.59</v>
      </c>
    </row>
    <row r="1010" spans="1:14" x14ac:dyDescent="0.35">
      <c r="A1010" s="1" t="s">
        <v>1022</v>
      </c>
      <c r="B1010" t="str">
        <f>HYPERLINK("https://www.suredividend.com/sure-analysis-research-database/","Marqeta Inc")</f>
        <v>Marqeta Inc</v>
      </c>
      <c r="C1010" t="s">
        <v>1798</v>
      </c>
      <c r="D1010">
        <v>5.63</v>
      </c>
      <c r="E1010">
        <v>0</v>
      </c>
      <c r="F1010" t="s">
        <v>1798</v>
      </c>
      <c r="G1010" t="s">
        <v>1798</v>
      </c>
      <c r="H1010">
        <v>0</v>
      </c>
      <c r="I1010">
        <v>2679.4746399999999</v>
      </c>
      <c r="J1010" t="s">
        <v>1798</v>
      </c>
      <c r="K1010">
        <v>0</v>
      </c>
      <c r="L1010">
        <v>1.95782792036111</v>
      </c>
      <c r="M1010">
        <v>8.23</v>
      </c>
      <c r="N1010">
        <v>3.46</v>
      </c>
    </row>
    <row r="1011" spans="1:14" x14ac:dyDescent="0.35">
      <c r="A1011" s="1" t="s">
        <v>1023</v>
      </c>
      <c r="B1011" t="str">
        <f>HYPERLINK("https://www.suredividend.com/sure-analysis-research-database/","MRC Global Inc")</f>
        <v>MRC Global Inc</v>
      </c>
      <c r="C1011" t="s">
        <v>1808</v>
      </c>
      <c r="D1011">
        <v>10.02</v>
      </c>
      <c r="E1011">
        <v>0</v>
      </c>
      <c r="F1011" t="s">
        <v>1798</v>
      </c>
      <c r="G1011" t="s">
        <v>1798</v>
      </c>
      <c r="H1011">
        <v>0</v>
      </c>
      <c r="I1011">
        <v>841.79875700000002</v>
      </c>
      <c r="J1011">
        <v>10.65568046886076</v>
      </c>
      <c r="K1011">
        <v>0</v>
      </c>
      <c r="L1011">
        <v>1.1385588773758659</v>
      </c>
      <c r="M1011">
        <v>13.9</v>
      </c>
      <c r="N1011">
        <v>8.15</v>
      </c>
    </row>
    <row r="1012" spans="1:14" x14ac:dyDescent="0.35">
      <c r="A1012" s="1" t="s">
        <v>1024</v>
      </c>
      <c r="B1012" t="str">
        <f>HYPERLINK("https://www.suredividend.com/sure-analysis-research-database/","Mersana Therapeutics Inc")</f>
        <v>Mersana Therapeutics Inc</v>
      </c>
      <c r="C1012" t="s">
        <v>1803</v>
      </c>
      <c r="D1012">
        <v>1.55</v>
      </c>
      <c r="E1012">
        <v>0</v>
      </c>
      <c r="F1012" t="s">
        <v>1798</v>
      </c>
      <c r="G1012" t="s">
        <v>1798</v>
      </c>
      <c r="H1012">
        <v>0</v>
      </c>
      <c r="I1012">
        <v>186.78630100000001</v>
      </c>
      <c r="J1012" t="s">
        <v>1798</v>
      </c>
      <c r="K1012">
        <v>0</v>
      </c>
      <c r="L1012">
        <v>1.2840142233964389</v>
      </c>
      <c r="M1012">
        <v>9.6199999999999992</v>
      </c>
      <c r="N1012">
        <v>0.8014</v>
      </c>
    </row>
    <row r="1013" spans="1:14" x14ac:dyDescent="0.35">
      <c r="A1013" s="1" t="s">
        <v>1025</v>
      </c>
      <c r="B1013" t="str">
        <f>HYPERLINK("https://www.suredividend.com/sure-analysis-research-database/","Marten Transport, Ltd.")</f>
        <v>Marten Transport, Ltd.</v>
      </c>
      <c r="C1013" t="s">
        <v>1799</v>
      </c>
      <c r="D1013">
        <v>19.32</v>
      </c>
      <c r="E1013">
        <v>1.2325466970103E-2</v>
      </c>
      <c r="F1013">
        <v>0</v>
      </c>
      <c r="G1013">
        <v>-0.37906294328558021</v>
      </c>
      <c r="H1013">
        <v>0.23812802186239601</v>
      </c>
      <c r="I1013">
        <v>1570.7443619999999</v>
      </c>
      <c r="J1013">
        <v>16.441387139507619</v>
      </c>
      <c r="K1013">
        <v>0.2035282238140137</v>
      </c>
      <c r="L1013">
        <v>0.80312337951867308</v>
      </c>
      <c r="M1013">
        <v>23.24</v>
      </c>
      <c r="N1013">
        <v>17.34</v>
      </c>
    </row>
    <row r="1014" spans="1:14" x14ac:dyDescent="0.35">
      <c r="A1014" s="1" t="s">
        <v>1026</v>
      </c>
      <c r="B1014" t="str">
        <f>HYPERLINK("https://www.suredividend.com/sure-analysis-research-database/","Midland States Bancorp Inc")</f>
        <v>Midland States Bancorp Inc</v>
      </c>
      <c r="C1014" t="s">
        <v>1801</v>
      </c>
      <c r="D1014">
        <v>20.48</v>
      </c>
      <c r="E1014">
        <v>5.6271683108415002E-2</v>
      </c>
      <c r="F1014">
        <v>3.4482758620689953E-2</v>
      </c>
      <c r="G1014">
        <v>4.3474648810011729E-2</v>
      </c>
      <c r="H1014">
        <v>1.1524440700603511</v>
      </c>
      <c r="I1014">
        <v>446.38891999999998</v>
      </c>
      <c r="J1014">
        <v>4.8459959867556863</v>
      </c>
      <c r="K1014">
        <v>0.28040001704631412</v>
      </c>
      <c r="L1014">
        <v>0.86474828779982105</v>
      </c>
      <c r="M1014">
        <v>26.77</v>
      </c>
      <c r="N1014">
        <v>17.25</v>
      </c>
    </row>
    <row r="1015" spans="1:14" x14ac:dyDescent="0.35">
      <c r="A1015" s="1" t="s">
        <v>1027</v>
      </c>
      <c r="B1015" t="str">
        <f>HYPERLINK("https://www.suredividend.com/sure-analysis-MSEX/","Middlesex Water Co.")</f>
        <v>Middlesex Water Co.</v>
      </c>
      <c r="C1015" t="s">
        <v>1806</v>
      </c>
      <c r="D1015">
        <v>65.12</v>
      </c>
      <c r="E1015">
        <v>1.9195331695331691E-2</v>
      </c>
      <c r="F1015">
        <v>7.7586206896551824E-2</v>
      </c>
      <c r="G1015">
        <v>5.4211515856875003E-2</v>
      </c>
      <c r="H1015">
        <v>1.239007510648749</v>
      </c>
      <c r="I1015">
        <v>1155.734001</v>
      </c>
      <c r="J1015">
        <v>31.143465399083809</v>
      </c>
      <c r="K1015">
        <v>0.59282656011901869</v>
      </c>
      <c r="L1015">
        <v>0.8161626334417591</v>
      </c>
      <c r="M1015">
        <v>94.33</v>
      </c>
      <c r="N1015">
        <v>62.54</v>
      </c>
    </row>
    <row r="1016" spans="1:14" x14ac:dyDescent="0.35">
      <c r="A1016" s="1" t="s">
        <v>1028</v>
      </c>
      <c r="B1016" t="str">
        <f>HYPERLINK("https://www.suredividend.com/sure-analysis-research-database/","Madison Square Garden Entertainment Corp.")</f>
        <v>Madison Square Garden Entertainment Corp.</v>
      </c>
      <c r="C1016" t="s">
        <v>1798</v>
      </c>
      <c r="D1016">
        <v>31.96</v>
      </c>
      <c r="E1016">
        <v>0</v>
      </c>
      <c r="F1016" t="s">
        <v>1798</v>
      </c>
      <c r="G1016" t="s">
        <v>1798</v>
      </c>
      <c r="H1016">
        <v>0</v>
      </c>
      <c r="I1016">
        <v>1364.8652870000001</v>
      </c>
      <c r="J1016">
        <v>0</v>
      </c>
      <c r="K1016" t="s">
        <v>1798</v>
      </c>
      <c r="L1016">
        <v>0.30600414228967598</v>
      </c>
      <c r="M1016">
        <v>40.81</v>
      </c>
      <c r="N1016">
        <v>28.09</v>
      </c>
    </row>
    <row r="1017" spans="1:14" x14ac:dyDescent="0.35">
      <c r="A1017" s="1" t="s">
        <v>1029</v>
      </c>
      <c r="B1017" t="str">
        <f>HYPERLINK("https://www.suredividend.com/sure-analysis-research-database/","Microstrategy Inc.")</f>
        <v>Microstrategy Inc.</v>
      </c>
      <c r="C1017" t="s">
        <v>1804</v>
      </c>
      <c r="D1017">
        <v>318.22000000000003</v>
      </c>
      <c r="E1017">
        <v>0</v>
      </c>
      <c r="F1017" t="s">
        <v>1798</v>
      </c>
      <c r="G1017" t="s">
        <v>1798</v>
      </c>
      <c r="H1017">
        <v>0</v>
      </c>
      <c r="I1017">
        <v>4482.6518539999997</v>
      </c>
      <c r="J1017">
        <v>21.688012142359501</v>
      </c>
      <c r="K1017">
        <v>0</v>
      </c>
      <c r="L1017">
        <v>2.3779770942722318</v>
      </c>
      <c r="M1017">
        <v>475.09</v>
      </c>
      <c r="N1017">
        <v>132.56</v>
      </c>
    </row>
    <row r="1018" spans="1:14" x14ac:dyDescent="0.35">
      <c r="A1018" s="1" t="s">
        <v>1030</v>
      </c>
      <c r="B1018" t="str">
        <f>HYPERLINK("https://www.suredividend.com/sure-analysis-research-database/","Matador Resources Co")</f>
        <v>Matador Resources Co</v>
      </c>
      <c r="C1018" t="s">
        <v>1808</v>
      </c>
      <c r="D1018">
        <v>63.51</v>
      </c>
      <c r="E1018">
        <v>8.6263554126560001E-3</v>
      </c>
      <c r="F1018" t="s">
        <v>1798</v>
      </c>
      <c r="G1018" t="s">
        <v>1798</v>
      </c>
      <c r="H1018">
        <v>0.5478598322578131</v>
      </c>
      <c r="I1018">
        <v>7567.1053579999998</v>
      </c>
      <c r="J1018">
        <v>8.2326312693111099</v>
      </c>
      <c r="K1018">
        <v>7.1615664347426541E-2</v>
      </c>
      <c r="L1018">
        <v>1.277131462003618</v>
      </c>
      <c r="M1018">
        <v>73.040000000000006</v>
      </c>
      <c r="N1018">
        <v>41.79</v>
      </c>
    </row>
    <row r="1019" spans="1:14" x14ac:dyDescent="0.35">
      <c r="A1019" s="1" t="s">
        <v>1031</v>
      </c>
      <c r="B1019" t="str">
        <f>HYPERLINK("https://www.suredividend.com/sure-analysis-research-database/","Meritage Homes Corp.")</f>
        <v>Meritage Homes Corp.</v>
      </c>
      <c r="C1019" t="s">
        <v>1802</v>
      </c>
      <c r="D1019">
        <v>113.05</v>
      </c>
      <c r="E1019">
        <v>7.1501951178600002E-3</v>
      </c>
      <c r="F1019" t="s">
        <v>1798</v>
      </c>
      <c r="G1019" t="s">
        <v>1798</v>
      </c>
      <c r="H1019">
        <v>0.80832955807408602</v>
      </c>
      <c r="I1019">
        <v>4156.3134339999997</v>
      </c>
      <c r="J1019">
        <v>4.9304363087506271</v>
      </c>
      <c r="K1019">
        <v>3.5530969585674109E-2</v>
      </c>
      <c r="L1019">
        <v>1.359132465574582</v>
      </c>
      <c r="M1019">
        <v>152.22999999999999</v>
      </c>
      <c r="N1019">
        <v>64.97</v>
      </c>
    </row>
    <row r="1020" spans="1:14" x14ac:dyDescent="0.35">
      <c r="A1020" s="1" t="s">
        <v>1032</v>
      </c>
      <c r="B1020" t="str">
        <f>HYPERLINK("https://www.suredividend.com/sure-analysis-research-database/","Materion Corp")</f>
        <v>Materion Corp</v>
      </c>
      <c r="C1020" t="s">
        <v>1809</v>
      </c>
      <c r="D1020">
        <v>96.96</v>
      </c>
      <c r="E1020">
        <v>5.2504930244870003E-3</v>
      </c>
      <c r="F1020">
        <v>4.0000000000000042E-2</v>
      </c>
      <c r="G1020">
        <v>4.3640227150435917E-2</v>
      </c>
      <c r="H1020">
        <v>0.50908780365428208</v>
      </c>
      <c r="I1020">
        <v>2000.9400559999999</v>
      </c>
      <c r="J1020">
        <v>20.337650231537008</v>
      </c>
      <c r="K1020">
        <v>0.107857585519975</v>
      </c>
      <c r="L1020">
        <v>1.237177066675812</v>
      </c>
      <c r="M1020">
        <v>123.26</v>
      </c>
      <c r="N1020">
        <v>64.56</v>
      </c>
    </row>
    <row r="1021" spans="1:14" x14ac:dyDescent="0.35">
      <c r="A1021" s="1" t="s">
        <v>1033</v>
      </c>
      <c r="B1021" t="str">
        <f>HYPERLINK("https://www.suredividend.com/sure-analysis-research-database/","MACOM Technology Solutions Holdings Inc")</f>
        <v>MACOM Technology Solutions Holdings Inc</v>
      </c>
      <c r="C1021" t="s">
        <v>1804</v>
      </c>
      <c r="D1021">
        <v>79.680000000000007</v>
      </c>
      <c r="E1021">
        <v>0</v>
      </c>
      <c r="F1021" t="s">
        <v>1798</v>
      </c>
      <c r="G1021" t="s">
        <v>1798</v>
      </c>
      <c r="H1021">
        <v>0</v>
      </c>
      <c r="I1021">
        <v>5657.28</v>
      </c>
      <c r="J1021">
        <v>18.45991196327126</v>
      </c>
      <c r="K1021">
        <v>0</v>
      </c>
      <c r="L1021">
        <v>1.3349546596163211</v>
      </c>
      <c r="M1021">
        <v>85.42</v>
      </c>
      <c r="N1021">
        <v>48.53</v>
      </c>
    </row>
    <row r="1022" spans="1:14" x14ac:dyDescent="0.35">
      <c r="A1022" s="1" t="s">
        <v>1034</v>
      </c>
      <c r="B1022" t="str">
        <f>HYPERLINK("https://www.suredividend.com/sure-analysis-research-database/","Matterport Inc")</f>
        <v>Matterport Inc</v>
      </c>
      <c r="C1022" t="s">
        <v>1798</v>
      </c>
      <c r="D1022">
        <v>2.09</v>
      </c>
      <c r="E1022">
        <v>0</v>
      </c>
      <c r="F1022" t="s">
        <v>1798</v>
      </c>
      <c r="G1022" t="s">
        <v>1798</v>
      </c>
      <c r="H1022">
        <v>0</v>
      </c>
      <c r="I1022">
        <v>630.861133</v>
      </c>
      <c r="J1022" t="s">
        <v>1798</v>
      </c>
      <c r="K1022">
        <v>0</v>
      </c>
      <c r="L1022">
        <v>2.4595817619319291</v>
      </c>
      <c r="M1022">
        <v>4.07</v>
      </c>
      <c r="N1022">
        <v>2.06</v>
      </c>
    </row>
    <row r="1023" spans="1:14" x14ac:dyDescent="0.35">
      <c r="A1023" s="1" t="s">
        <v>1035</v>
      </c>
      <c r="B1023" t="str">
        <f>HYPERLINK("https://www.suredividend.com/sure-analysis-research-database/","Manitowoc Co., Inc.")</f>
        <v>Manitowoc Co., Inc.</v>
      </c>
      <c r="C1023" t="s">
        <v>1799</v>
      </c>
      <c r="D1023">
        <v>13.92</v>
      </c>
      <c r="E1023">
        <v>0</v>
      </c>
      <c r="F1023" t="s">
        <v>1798</v>
      </c>
      <c r="G1023" t="s">
        <v>1798</v>
      </c>
      <c r="H1023">
        <v>0</v>
      </c>
      <c r="I1023">
        <v>487.83260799999999</v>
      </c>
      <c r="J1023" t="s">
        <v>1798</v>
      </c>
      <c r="K1023">
        <v>0</v>
      </c>
      <c r="L1023">
        <v>1.4197983758150909</v>
      </c>
      <c r="M1023">
        <v>20.2</v>
      </c>
      <c r="N1023">
        <v>7.99</v>
      </c>
    </row>
    <row r="1024" spans="1:14" x14ac:dyDescent="0.35">
      <c r="A1024" s="1" t="s">
        <v>1036</v>
      </c>
      <c r="B1024" t="str">
        <f>HYPERLINK("https://www.suredividend.com/sure-analysis-research-database/","Minerals Technologies, Inc.")</f>
        <v>Minerals Technologies, Inc.</v>
      </c>
      <c r="C1024" t="s">
        <v>1809</v>
      </c>
      <c r="D1024">
        <v>48.71</v>
      </c>
      <c r="E1024">
        <v>4.1005761649739996E-3</v>
      </c>
      <c r="F1024">
        <v>0</v>
      </c>
      <c r="G1024">
        <v>0</v>
      </c>
      <c r="H1024">
        <v>0.19973906499588701</v>
      </c>
      <c r="I1024">
        <v>1585.2062570000001</v>
      </c>
      <c r="J1024">
        <v>16.376097699793391</v>
      </c>
      <c r="K1024">
        <v>6.7252210436325593E-2</v>
      </c>
      <c r="L1024">
        <v>1.161208809445974</v>
      </c>
      <c r="M1024">
        <v>73.38</v>
      </c>
      <c r="N1024">
        <v>48.61</v>
      </c>
    </row>
    <row r="1025" spans="1:14" x14ac:dyDescent="0.35">
      <c r="A1025" s="1" t="s">
        <v>1037</v>
      </c>
      <c r="B1025" t="str">
        <f>HYPERLINK("https://www.suredividend.com/sure-analysis-research-database/","Mullen Automotive Inc")</f>
        <v>Mullen Automotive Inc</v>
      </c>
      <c r="C1025" t="s">
        <v>1798</v>
      </c>
      <c r="D1025">
        <v>0.39250000000000002</v>
      </c>
      <c r="E1025">
        <v>0</v>
      </c>
      <c r="F1025" t="s">
        <v>1798</v>
      </c>
      <c r="G1025" t="s">
        <v>1798</v>
      </c>
      <c r="H1025">
        <v>0</v>
      </c>
      <c r="I1025">
        <v>67.710307999999998</v>
      </c>
      <c r="J1025">
        <v>0</v>
      </c>
      <c r="K1025" t="s">
        <v>1798</v>
      </c>
      <c r="L1025">
        <v>1.556150416065301</v>
      </c>
      <c r="M1025">
        <v>137.25</v>
      </c>
      <c r="N1025">
        <v>0.38700000000000001</v>
      </c>
    </row>
    <row r="1026" spans="1:14" x14ac:dyDescent="0.35">
      <c r="A1026" s="1" t="s">
        <v>1038</v>
      </c>
      <c r="B1026" t="str">
        <f>HYPERLINK("https://www.suredividend.com/sure-analysis-research-database/","Murphy Oil Corp.")</f>
        <v>Murphy Oil Corp.</v>
      </c>
      <c r="C1026" t="s">
        <v>1808</v>
      </c>
      <c r="D1026">
        <v>46.45</v>
      </c>
      <c r="E1026">
        <v>2.2880450752843999E-2</v>
      </c>
      <c r="F1026">
        <v>0.1000000000000001</v>
      </c>
      <c r="G1026">
        <v>1.9244876491456561E-2</v>
      </c>
      <c r="H1026">
        <v>1.06279693746963</v>
      </c>
      <c r="I1026">
        <v>7252.0796410000003</v>
      </c>
      <c r="J1026">
        <v>7.1255582290843789</v>
      </c>
      <c r="K1026">
        <v>0.16503058035242699</v>
      </c>
      <c r="L1026">
        <v>1.1282600041097099</v>
      </c>
      <c r="M1026">
        <v>50.21</v>
      </c>
      <c r="N1026">
        <v>32.450000000000003</v>
      </c>
    </row>
    <row r="1027" spans="1:14" x14ac:dyDescent="0.35">
      <c r="A1027" s="1" t="s">
        <v>1039</v>
      </c>
      <c r="B1027" t="str">
        <f>HYPERLINK("https://www.suredividend.com/sure-analysis-research-database/","Murphy USA Inc")</f>
        <v>Murphy USA Inc</v>
      </c>
      <c r="C1027" t="s">
        <v>1802</v>
      </c>
      <c r="D1027">
        <v>359.88</v>
      </c>
      <c r="E1027">
        <v>4.1324396348520007E-3</v>
      </c>
      <c r="F1027" t="s">
        <v>1798</v>
      </c>
      <c r="G1027" t="s">
        <v>1798</v>
      </c>
      <c r="H1027">
        <v>1.487182375790566</v>
      </c>
      <c r="I1027">
        <v>7720.5106779999996</v>
      </c>
      <c r="J1027">
        <v>13.39668693097345</v>
      </c>
      <c r="K1027">
        <v>5.8435456809059573E-2</v>
      </c>
      <c r="L1027">
        <v>0.21855559919411999</v>
      </c>
      <c r="M1027">
        <v>369.31</v>
      </c>
      <c r="N1027">
        <v>231.05</v>
      </c>
    </row>
    <row r="1028" spans="1:14" x14ac:dyDescent="0.35">
      <c r="A1028" s="1" t="s">
        <v>1040</v>
      </c>
      <c r="B1028" t="str">
        <f>HYPERLINK("https://www.suredividend.com/sure-analysis-research-database/","MVB Financial Corp.")</f>
        <v>MVB Financial Corp.</v>
      </c>
      <c r="C1028" t="s">
        <v>1801</v>
      </c>
      <c r="D1028">
        <v>21.95</v>
      </c>
      <c r="E1028">
        <v>3.0319342075305001E-2</v>
      </c>
      <c r="F1028">
        <v>0</v>
      </c>
      <c r="G1028">
        <v>0.41470384317198228</v>
      </c>
      <c r="H1028">
        <v>0.66550955855295701</v>
      </c>
      <c r="I1028">
        <v>279.20011499999998</v>
      </c>
      <c r="J1028">
        <v>0</v>
      </c>
      <c r="K1028" t="s">
        <v>1798</v>
      </c>
      <c r="L1028">
        <v>0.84737530932578309</v>
      </c>
      <c r="M1028">
        <v>26.84</v>
      </c>
      <c r="N1028">
        <v>15.73</v>
      </c>
    </row>
    <row r="1029" spans="1:14" x14ac:dyDescent="0.35">
      <c r="A1029" s="1" t="s">
        <v>1041</v>
      </c>
      <c r="B1029" t="str">
        <f>HYPERLINK("https://www.suredividend.com/sure-analysis-research-database/","Microvision Inc.")</f>
        <v>Microvision Inc.</v>
      </c>
      <c r="C1029" t="s">
        <v>1804</v>
      </c>
      <c r="D1029">
        <v>2.0699999999999998</v>
      </c>
      <c r="E1029">
        <v>0</v>
      </c>
      <c r="F1029" t="s">
        <v>1798</v>
      </c>
      <c r="G1029" t="s">
        <v>1798</v>
      </c>
      <c r="H1029">
        <v>0</v>
      </c>
      <c r="I1029">
        <v>388.71137700000003</v>
      </c>
      <c r="J1029" t="s">
        <v>1798</v>
      </c>
      <c r="K1029">
        <v>0</v>
      </c>
      <c r="L1029">
        <v>2.2298429359533198</v>
      </c>
      <c r="M1029">
        <v>8.1999999999999993</v>
      </c>
      <c r="N1029">
        <v>1.82</v>
      </c>
    </row>
    <row r="1030" spans="1:14" x14ac:dyDescent="0.35">
      <c r="A1030" s="1" t="s">
        <v>1042</v>
      </c>
      <c r="B1030" t="str">
        <f>HYPERLINK("https://www.suredividend.com/sure-analysis-research-database/","Microvast Holdings Inc")</f>
        <v>Microvast Holdings Inc</v>
      </c>
      <c r="C1030" t="s">
        <v>1798</v>
      </c>
      <c r="D1030">
        <v>1.63</v>
      </c>
      <c r="E1030">
        <v>0</v>
      </c>
      <c r="F1030" t="s">
        <v>1798</v>
      </c>
      <c r="G1030" t="s">
        <v>1798</v>
      </c>
      <c r="H1030">
        <v>0</v>
      </c>
      <c r="I1030">
        <v>504.338551</v>
      </c>
      <c r="J1030" t="s">
        <v>1798</v>
      </c>
      <c r="K1030">
        <v>0</v>
      </c>
      <c r="L1030">
        <v>2.22963727389322</v>
      </c>
      <c r="M1030">
        <v>2.91</v>
      </c>
      <c r="N1030">
        <v>0.88</v>
      </c>
    </row>
    <row r="1031" spans="1:14" x14ac:dyDescent="0.35">
      <c r="A1031" s="1" t="s">
        <v>1043</v>
      </c>
      <c r="B1031" t="str">
        <f>HYPERLINK("https://www.suredividend.com/sure-analysis-MWA/","Mueller Water Products Inc")</f>
        <v>Mueller Water Products Inc</v>
      </c>
      <c r="C1031" t="s">
        <v>1799</v>
      </c>
      <c r="D1031">
        <v>12.74</v>
      </c>
      <c r="E1031">
        <v>1.8838304552590269E-2</v>
      </c>
      <c r="F1031">
        <v>5.1724137931034482E-2</v>
      </c>
      <c r="G1031">
        <v>4.0571593958808272E-2</v>
      </c>
      <c r="H1031">
        <v>0.24241849447960101</v>
      </c>
      <c r="I1031">
        <v>1993.624697</v>
      </c>
      <c r="J1031">
        <v>26.440645844827589</v>
      </c>
      <c r="K1031">
        <v>0.50567061843888395</v>
      </c>
      <c r="L1031">
        <v>1.048352277401092</v>
      </c>
      <c r="M1031">
        <v>16.55</v>
      </c>
      <c r="N1031">
        <v>10.29</v>
      </c>
    </row>
    <row r="1032" spans="1:14" x14ac:dyDescent="0.35">
      <c r="A1032" s="1" t="s">
        <v>1044</v>
      </c>
      <c r="B1032" t="str">
        <f>HYPERLINK("https://www.suredividend.com/sure-analysis-research-database/","MaxCyte Inc")</f>
        <v>MaxCyte Inc</v>
      </c>
      <c r="C1032" t="s">
        <v>1798</v>
      </c>
      <c r="D1032">
        <v>2.91</v>
      </c>
      <c r="E1032">
        <v>0</v>
      </c>
      <c r="F1032" t="s">
        <v>1798</v>
      </c>
      <c r="G1032" t="s">
        <v>1798</v>
      </c>
      <c r="H1032">
        <v>0</v>
      </c>
      <c r="I1032">
        <v>0</v>
      </c>
      <c r="J1032">
        <v>0</v>
      </c>
      <c r="K1032" t="s">
        <v>1798</v>
      </c>
    </row>
    <row r="1033" spans="1:14" x14ac:dyDescent="0.35">
      <c r="A1033" s="1" t="s">
        <v>1045</v>
      </c>
      <c r="B1033" t="str">
        <f>HYPERLINK("https://www.suredividend.com/sure-analysis-research-database/","MaxLinear Inc")</f>
        <v>MaxLinear Inc</v>
      </c>
      <c r="C1033" t="s">
        <v>1804</v>
      </c>
      <c r="D1033">
        <v>21.08</v>
      </c>
      <c r="E1033">
        <v>0</v>
      </c>
      <c r="F1033" t="s">
        <v>1798</v>
      </c>
      <c r="G1033" t="s">
        <v>1798</v>
      </c>
      <c r="H1033">
        <v>0</v>
      </c>
      <c r="I1033">
        <v>1707.8138650000001</v>
      </c>
      <c r="J1033">
        <v>26.40813151445802</v>
      </c>
      <c r="K1033">
        <v>0</v>
      </c>
      <c r="L1033">
        <v>1.760676546117818</v>
      </c>
      <c r="M1033">
        <v>43.66</v>
      </c>
      <c r="N1033">
        <v>21.06</v>
      </c>
    </row>
    <row r="1034" spans="1:14" x14ac:dyDescent="0.35">
      <c r="A1034" s="1" t="s">
        <v>1046</v>
      </c>
      <c r="B1034" t="str">
        <f>HYPERLINK("https://www.suredividend.com/sure-analysis-research-database/","Myers Industries Inc.")</f>
        <v>Myers Industries Inc.</v>
      </c>
      <c r="C1034" t="s">
        <v>1802</v>
      </c>
      <c r="D1034">
        <v>17.14</v>
      </c>
      <c r="E1034">
        <v>3.1165836114099E-2</v>
      </c>
      <c r="F1034">
        <v>0</v>
      </c>
      <c r="G1034">
        <v>0</v>
      </c>
      <c r="H1034">
        <v>0.53418243099565699</v>
      </c>
      <c r="I1034">
        <v>630.91558399999997</v>
      </c>
      <c r="J1034">
        <v>12.449005212312549</v>
      </c>
      <c r="K1034">
        <v>0.38991418320850868</v>
      </c>
      <c r="L1034">
        <v>0.7746610566798241</v>
      </c>
      <c r="M1034">
        <v>25.93</v>
      </c>
      <c r="N1034">
        <v>16.57</v>
      </c>
    </row>
    <row r="1035" spans="1:14" x14ac:dyDescent="0.35">
      <c r="A1035" s="1" t="s">
        <v>1047</v>
      </c>
      <c r="B1035" t="str">
        <f>HYPERLINK("https://www.suredividend.com/sure-analysis-research-database/","First Western Financial Inc")</f>
        <v>First Western Financial Inc</v>
      </c>
      <c r="C1035" t="s">
        <v>1801</v>
      </c>
      <c r="D1035">
        <v>17.399999999999999</v>
      </c>
      <c r="E1035">
        <v>0</v>
      </c>
      <c r="F1035" t="s">
        <v>1798</v>
      </c>
      <c r="G1035" t="s">
        <v>1798</v>
      </c>
      <c r="H1035">
        <v>0</v>
      </c>
      <c r="I1035">
        <v>166.13850600000001</v>
      </c>
      <c r="J1035">
        <v>0</v>
      </c>
      <c r="K1035" t="s">
        <v>1798</v>
      </c>
      <c r="L1035">
        <v>1.2577161847675931</v>
      </c>
      <c r="M1035">
        <v>30.7</v>
      </c>
      <c r="N1035">
        <v>13</v>
      </c>
    </row>
    <row r="1036" spans="1:14" x14ac:dyDescent="0.35">
      <c r="A1036" s="1" t="s">
        <v>1048</v>
      </c>
      <c r="B1036" t="str">
        <f>HYPERLINK("https://www.suredividend.com/sure-analysis-research-database/","Myriad Genetics, Inc.")</f>
        <v>Myriad Genetics, Inc.</v>
      </c>
      <c r="C1036" t="s">
        <v>1803</v>
      </c>
      <c r="D1036">
        <v>14.54</v>
      </c>
      <c r="E1036">
        <v>0</v>
      </c>
      <c r="F1036" t="s">
        <v>1798</v>
      </c>
      <c r="G1036" t="s">
        <v>1798</v>
      </c>
      <c r="H1036">
        <v>0</v>
      </c>
      <c r="I1036">
        <v>1190.585014</v>
      </c>
      <c r="J1036" t="s">
        <v>1798</v>
      </c>
      <c r="K1036">
        <v>0</v>
      </c>
      <c r="L1036">
        <v>1.3251371465595989</v>
      </c>
      <c r="M1036">
        <v>24.21</v>
      </c>
      <c r="N1036">
        <v>13.92</v>
      </c>
    </row>
    <row r="1037" spans="1:14" x14ac:dyDescent="0.35">
      <c r="A1037" s="1" t="s">
        <v>1049</v>
      </c>
      <c r="B1037" t="str">
        <f>HYPERLINK("https://www.suredividend.com/sure-analysis-research-database/","PLAYSTUDIOS Inc")</f>
        <v>PLAYSTUDIOS Inc</v>
      </c>
      <c r="C1037" t="s">
        <v>1798</v>
      </c>
      <c r="D1037">
        <v>2.86</v>
      </c>
      <c r="E1037">
        <v>0</v>
      </c>
      <c r="F1037" t="s">
        <v>1798</v>
      </c>
      <c r="G1037" t="s">
        <v>1798</v>
      </c>
      <c r="H1037">
        <v>0</v>
      </c>
      <c r="I1037">
        <v>333.14174300000002</v>
      </c>
      <c r="J1037" t="s">
        <v>1798</v>
      </c>
      <c r="K1037">
        <v>0</v>
      </c>
      <c r="L1037">
        <v>1.153233068220221</v>
      </c>
      <c r="M1037">
        <v>5.01</v>
      </c>
      <c r="N1037">
        <v>2.84</v>
      </c>
    </row>
    <row r="1038" spans="1:14" x14ac:dyDescent="0.35">
      <c r="A1038" s="1" t="s">
        <v>1050</v>
      </c>
      <c r="B1038" t="str">
        <f>HYPERLINK("https://www.suredividend.com/sure-analysis-research-database/","MYR Group Inc")</f>
        <v>MYR Group Inc</v>
      </c>
      <c r="C1038" t="s">
        <v>1799</v>
      </c>
      <c r="D1038">
        <v>129.97999999999999</v>
      </c>
      <c r="E1038">
        <v>0</v>
      </c>
      <c r="F1038" t="s">
        <v>1798</v>
      </c>
      <c r="G1038" t="s">
        <v>1798</v>
      </c>
      <c r="H1038">
        <v>0</v>
      </c>
      <c r="I1038">
        <v>2171.905229</v>
      </c>
      <c r="J1038">
        <v>24.55656316716604</v>
      </c>
      <c r="K1038">
        <v>0</v>
      </c>
      <c r="L1038">
        <v>1.026978753447642</v>
      </c>
      <c r="M1038">
        <v>156.63</v>
      </c>
      <c r="N1038">
        <v>76.97</v>
      </c>
    </row>
    <row r="1039" spans="1:14" x14ac:dyDescent="0.35">
      <c r="A1039" s="1" t="s">
        <v>1051</v>
      </c>
      <c r="B1039" t="str">
        <f>HYPERLINK("https://www.suredividend.com/sure-analysis-research-database/","N-able Inc")</f>
        <v>N-able Inc</v>
      </c>
      <c r="C1039" t="s">
        <v>1798</v>
      </c>
      <c r="D1039">
        <v>12.76</v>
      </c>
      <c r="E1039">
        <v>0</v>
      </c>
      <c r="F1039" t="s">
        <v>1798</v>
      </c>
      <c r="G1039" t="s">
        <v>1798</v>
      </c>
      <c r="H1039">
        <v>0</v>
      </c>
      <c r="I1039">
        <v>2328.6999999999998</v>
      </c>
      <c r="J1039">
        <v>151.93449468258629</v>
      </c>
      <c r="K1039">
        <v>0</v>
      </c>
      <c r="L1039">
        <v>1.208349933411075</v>
      </c>
      <c r="M1039">
        <v>15.44</v>
      </c>
      <c r="N1039">
        <v>9.26</v>
      </c>
    </row>
    <row r="1040" spans="1:14" x14ac:dyDescent="0.35">
      <c r="A1040" s="1" t="s">
        <v>1052</v>
      </c>
      <c r="B1040" t="str">
        <f>HYPERLINK("https://www.suredividend.com/sure-analysis-research-database/","Duckhorn Portfolio Inc (The)")</f>
        <v>Duckhorn Portfolio Inc (The)</v>
      </c>
      <c r="C1040" t="s">
        <v>1798</v>
      </c>
      <c r="D1040">
        <v>9.91</v>
      </c>
      <c r="E1040">
        <v>0</v>
      </c>
      <c r="F1040" t="s">
        <v>1798</v>
      </c>
      <c r="G1040" t="s">
        <v>1798</v>
      </c>
      <c r="H1040">
        <v>0</v>
      </c>
      <c r="I1040">
        <v>1142.7846119999999</v>
      </c>
      <c r="J1040">
        <v>16.490874372709168</v>
      </c>
      <c r="K1040">
        <v>0</v>
      </c>
      <c r="L1040">
        <v>0.82612130975283504</v>
      </c>
      <c r="M1040">
        <v>17.920000000000002</v>
      </c>
      <c r="N1040">
        <v>9.32</v>
      </c>
    </row>
    <row r="1041" spans="1:14" x14ac:dyDescent="0.35">
      <c r="A1041" s="1" t="s">
        <v>1053</v>
      </c>
      <c r="B1041" t="str">
        <f>HYPERLINK("https://www.suredividend.com/sure-analysis-research-database/","Inari Medical Inc")</f>
        <v>Inari Medical Inc</v>
      </c>
      <c r="C1041" t="s">
        <v>1798</v>
      </c>
      <c r="D1041">
        <v>55.22</v>
      </c>
      <c r="E1041">
        <v>0</v>
      </c>
      <c r="F1041" t="s">
        <v>1798</v>
      </c>
      <c r="G1041" t="s">
        <v>1798</v>
      </c>
      <c r="H1041">
        <v>0</v>
      </c>
      <c r="I1041">
        <v>3166.9979269999999</v>
      </c>
      <c r="J1041" t="s">
        <v>1798</v>
      </c>
      <c r="K1041">
        <v>0</v>
      </c>
      <c r="L1041">
        <v>0.96502525040628706</v>
      </c>
      <c r="M1041">
        <v>83.84</v>
      </c>
      <c r="N1041">
        <v>52.59</v>
      </c>
    </row>
    <row r="1042" spans="1:14" x14ac:dyDescent="0.35">
      <c r="A1042" s="1" t="s">
        <v>1054</v>
      </c>
      <c r="B1042" t="str">
        <f>HYPERLINK("https://www.suredividend.com/sure-analysis-research-database/","Nordic American Tankers Ltd")</f>
        <v>Nordic American Tankers Ltd</v>
      </c>
      <c r="C1042" t="s">
        <v>1799</v>
      </c>
      <c r="D1042">
        <v>4.17</v>
      </c>
      <c r="E1042">
        <v>0.10996301033389499</v>
      </c>
      <c r="F1042">
        <v>3.3333333333333339</v>
      </c>
      <c r="G1042">
        <v>5.387395206178347E-2</v>
      </c>
      <c r="H1042">
        <v>0.45854575309234302</v>
      </c>
      <c r="I1042">
        <v>870.68117099999995</v>
      </c>
      <c r="J1042">
        <v>7.2701561566787181</v>
      </c>
      <c r="K1042">
        <v>0.79005126308122497</v>
      </c>
      <c r="L1042">
        <v>0.6772051705219021</v>
      </c>
      <c r="M1042">
        <v>4.33</v>
      </c>
      <c r="N1042">
        <v>2.52</v>
      </c>
    </row>
    <row r="1043" spans="1:14" x14ac:dyDescent="0.35">
      <c r="A1043" s="1" t="s">
        <v>1055</v>
      </c>
      <c r="B1043" t="str">
        <f>HYPERLINK("https://www.suredividend.com/sure-analysis-research-database/","Nature`s Sunshine Products, Inc.")</f>
        <v>Nature`s Sunshine Products, Inc.</v>
      </c>
      <c r="C1043" t="s">
        <v>1805</v>
      </c>
      <c r="D1043">
        <v>16.3</v>
      </c>
      <c r="E1043">
        <v>0</v>
      </c>
      <c r="F1043" t="s">
        <v>1798</v>
      </c>
      <c r="G1043" t="s">
        <v>1798</v>
      </c>
      <c r="H1043">
        <v>0</v>
      </c>
      <c r="I1043">
        <v>311.30211100000002</v>
      </c>
      <c r="J1043">
        <v>58.449513837776948</v>
      </c>
      <c r="K1043">
        <v>0</v>
      </c>
      <c r="L1043">
        <v>0.88088429197925711</v>
      </c>
      <c r="M1043">
        <v>17.25</v>
      </c>
      <c r="N1043">
        <v>7.93</v>
      </c>
    </row>
    <row r="1044" spans="1:14" x14ac:dyDescent="0.35">
      <c r="A1044" s="1" t="s">
        <v>1056</v>
      </c>
      <c r="B1044" t="str">
        <f>HYPERLINK("https://www.suredividend.com/sure-analysis-research-database/","Nautilus Biotechnology Inc")</f>
        <v>Nautilus Biotechnology Inc</v>
      </c>
      <c r="C1044" t="s">
        <v>1798</v>
      </c>
      <c r="D1044">
        <v>2.86</v>
      </c>
      <c r="E1044">
        <v>0</v>
      </c>
      <c r="F1044" t="s">
        <v>1798</v>
      </c>
      <c r="G1044" t="s">
        <v>1798</v>
      </c>
      <c r="H1044">
        <v>0</v>
      </c>
      <c r="I1044">
        <v>357.30237099999999</v>
      </c>
      <c r="J1044">
        <v>0</v>
      </c>
      <c r="K1044" t="s">
        <v>1798</v>
      </c>
      <c r="L1044">
        <v>1.5529331210503201</v>
      </c>
      <c r="M1044">
        <v>4.6500000000000004</v>
      </c>
      <c r="N1044">
        <v>1.5</v>
      </c>
    </row>
    <row r="1045" spans="1:14" x14ac:dyDescent="0.35">
      <c r="A1045" s="1" t="s">
        <v>1057</v>
      </c>
      <c r="B1045" t="str">
        <f>HYPERLINK("https://www.suredividend.com/sure-analysis-NAVI/","Navient Corp")</f>
        <v>Navient Corp</v>
      </c>
      <c r="C1045" t="s">
        <v>1801</v>
      </c>
      <c r="D1045">
        <v>17.3</v>
      </c>
      <c r="E1045">
        <v>3.6994219653179193E-2</v>
      </c>
      <c r="F1045">
        <v>0</v>
      </c>
      <c r="G1045">
        <v>0</v>
      </c>
      <c r="H1045">
        <v>0.62761128771101304</v>
      </c>
      <c r="I1045">
        <v>2103.7122469999999</v>
      </c>
      <c r="J1045">
        <v>5.4359489591731274</v>
      </c>
      <c r="K1045">
        <v>0.21493537250377159</v>
      </c>
      <c r="L1045">
        <v>1.0664493253430609</v>
      </c>
      <c r="M1045">
        <v>19.510000000000002</v>
      </c>
      <c r="N1045">
        <v>13.53</v>
      </c>
    </row>
    <row r="1046" spans="1:14" x14ac:dyDescent="0.35">
      <c r="A1046" s="1" t="s">
        <v>1058</v>
      </c>
      <c r="B1046" t="str">
        <f>HYPERLINK("https://www.suredividend.com/sure-analysis-research-database/","National Bank Holdings Corp")</f>
        <v>National Bank Holdings Corp</v>
      </c>
      <c r="C1046" t="s">
        <v>1801</v>
      </c>
      <c r="D1046">
        <v>29.84</v>
      </c>
      <c r="E1046">
        <v>3.3784445315902002E-2</v>
      </c>
      <c r="F1046">
        <v>0.13043478260869559</v>
      </c>
      <c r="G1046">
        <v>8.8691633250776114E-2</v>
      </c>
      <c r="H1046">
        <v>1.0081278482265219</v>
      </c>
      <c r="I1046">
        <v>1125.5658149999999</v>
      </c>
      <c r="J1046">
        <v>10.698582932314389</v>
      </c>
      <c r="K1046">
        <v>0.35004439174532009</v>
      </c>
      <c r="L1046">
        <v>1.1922326679078199</v>
      </c>
      <c r="M1046">
        <v>48.63</v>
      </c>
      <c r="N1046">
        <v>26.04</v>
      </c>
    </row>
    <row r="1047" spans="1:14" x14ac:dyDescent="0.35">
      <c r="A1047" s="1" t="s">
        <v>1059</v>
      </c>
      <c r="B1047" t="str">
        <f>HYPERLINK("https://www.suredividend.com/sure-analysis-research-database/","Northeast Bank")</f>
        <v>Northeast Bank</v>
      </c>
      <c r="C1047" t="s">
        <v>1801</v>
      </c>
      <c r="D1047">
        <v>43.24</v>
      </c>
      <c r="E1047">
        <v>9.2442120298400008E-4</v>
      </c>
      <c r="F1047" t="s">
        <v>1798</v>
      </c>
      <c r="G1047" t="s">
        <v>1798</v>
      </c>
      <c r="H1047">
        <v>3.9971972817044003E-2</v>
      </c>
      <c r="I1047">
        <v>389.03028</v>
      </c>
      <c r="J1047">
        <v>0</v>
      </c>
      <c r="K1047" t="s">
        <v>1798</v>
      </c>
      <c r="L1047">
        <v>0.63344490883668203</v>
      </c>
      <c r="M1047">
        <v>49.16</v>
      </c>
      <c r="N1047">
        <v>33.119999999999997</v>
      </c>
    </row>
    <row r="1048" spans="1:14" x14ac:dyDescent="0.35">
      <c r="A1048" s="1" t="s">
        <v>1060</v>
      </c>
      <c r="B1048" t="str">
        <f>HYPERLINK("https://www.suredividend.com/sure-analysis-research-database/","Nabors Industries Ltd")</f>
        <v>Nabors Industries Ltd</v>
      </c>
      <c r="C1048" t="s">
        <v>1808</v>
      </c>
      <c r="D1048">
        <v>118.35</v>
      </c>
      <c r="E1048">
        <v>0</v>
      </c>
      <c r="F1048" t="s">
        <v>1798</v>
      </c>
      <c r="G1048" t="s">
        <v>1798</v>
      </c>
      <c r="H1048">
        <v>0</v>
      </c>
      <c r="I1048">
        <v>1129.641519</v>
      </c>
      <c r="J1048" t="s">
        <v>1798</v>
      </c>
      <c r="K1048">
        <v>0</v>
      </c>
      <c r="L1048">
        <v>1.301905595611812</v>
      </c>
      <c r="M1048">
        <v>190.9</v>
      </c>
      <c r="N1048">
        <v>83.05</v>
      </c>
    </row>
    <row r="1049" spans="1:14" x14ac:dyDescent="0.35">
      <c r="A1049" s="1" t="s">
        <v>1061</v>
      </c>
      <c r="B1049" t="str">
        <f>HYPERLINK("https://www.suredividend.com/sure-analysis-research-database/","NBT Bancorp. Inc.")</f>
        <v>NBT Bancorp. Inc.</v>
      </c>
      <c r="C1049" t="s">
        <v>1801</v>
      </c>
      <c r="D1049">
        <v>32.549999999999997</v>
      </c>
      <c r="E1049">
        <v>3.6742481159290012E-2</v>
      </c>
      <c r="F1049">
        <v>6.666666666666643E-2</v>
      </c>
      <c r="G1049">
        <v>4.2402216277297899E-2</v>
      </c>
      <c r="H1049">
        <v>1.1959677617348989</v>
      </c>
      <c r="I1049">
        <v>1391.893791</v>
      </c>
      <c r="J1049">
        <v>10.026319589552241</v>
      </c>
      <c r="K1049">
        <v>0.37141855954499958</v>
      </c>
      <c r="L1049">
        <v>0.85084591431677103</v>
      </c>
      <c r="M1049">
        <v>46.71</v>
      </c>
      <c r="N1049">
        <v>26.78</v>
      </c>
    </row>
    <row r="1050" spans="1:14" x14ac:dyDescent="0.35">
      <c r="A1050" s="1" t="s">
        <v>1062</v>
      </c>
      <c r="B1050" t="str">
        <f>HYPERLINK("https://www.suredividend.com/sure-analysis-NC/","Nacco Industries Inc.")</f>
        <v>Nacco Industries Inc.</v>
      </c>
      <c r="C1050" t="s">
        <v>1808</v>
      </c>
      <c r="D1050">
        <v>36.03</v>
      </c>
      <c r="E1050">
        <v>2.4146544546211492E-2</v>
      </c>
      <c r="F1050">
        <v>4.8192771084337283E-2</v>
      </c>
      <c r="G1050">
        <v>5.6805496536407318E-2</v>
      </c>
      <c r="H1050">
        <v>0.8419425619435601</v>
      </c>
      <c r="I1050">
        <v>214.54560699999999</v>
      </c>
      <c r="J1050">
        <v>6.5795389824582928</v>
      </c>
      <c r="K1050">
        <v>0.19266420181774829</v>
      </c>
      <c r="L1050">
        <v>0.79105965171798309</v>
      </c>
      <c r="M1050">
        <v>60.09</v>
      </c>
      <c r="N1050">
        <v>29.17</v>
      </c>
    </row>
    <row r="1051" spans="1:14" x14ac:dyDescent="0.35">
      <c r="A1051" s="1" t="s">
        <v>1063</v>
      </c>
      <c r="B1051" t="str">
        <f>HYPERLINK("https://www.suredividend.com/sure-analysis-research-database/","Noodles &amp; Company")</f>
        <v>Noodles &amp; Company</v>
      </c>
      <c r="C1051" t="s">
        <v>1802</v>
      </c>
      <c r="D1051">
        <v>2.2200000000000002</v>
      </c>
      <c r="E1051">
        <v>0</v>
      </c>
      <c r="F1051" t="s">
        <v>1798</v>
      </c>
      <c r="G1051" t="s">
        <v>1798</v>
      </c>
      <c r="H1051">
        <v>0</v>
      </c>
      <c r="I1051">
        <v>103.072766</v>
      </c>
      <c r="J1051">
        <v>0</v>
      </c>
      <c r="K1051" t="s">
        <v>1798</v>
      </c>
      <c r="L1051">
        <v>1.198102912605489</v>
      </c>
      <c r="M1051">
        <v>6.55</v>
      </c>
      <c r="N1051">
        <v>2.17</v>
      </c>
    </row>
    <row r="1052" spans="1:14" x14ac:dyDescent="0.35">
      <c r="A1052" s="1" t="s">
        <v>1064</v>
      </c>
      <c r="B1052" t="str">
        <f>HYPERLINK("https://www.suredividend.com/sure-analysis-research-database/","Noble Corp Plc")</f>
        <v>Noble Corp Plc</v>
      </c>
      <c r="C1052" t="s">
        <v>1808</v>
      </c>
      <c r="D1052">
        <v>48.73</v>
      </c>
      <c r="E1052">
        <v>6.1563720894910008E-3</v>
      </c>
      <c r="F1052" t="s">
        <v>1798</v>
      </c>
      <c r="G1052" t="s">
        <v>1798</v>
      </c>
      <c r="H1052">
        <v>0.30000001192092801</v>
      </c>
      <c r="I1052">
        <v>6680.0941590000002</v>
      </c>
      <c r="J1052">
        <v>0</v>
      </c>
      <c r="K1052" t="s">
        <v>1798</v>
      </c>
      <c r="L1052">
        <v>0.93911472226495507</v>
      </c>
      <c r="M1052">
        <v>55.34</v>
      </c>
      <c r="N1052">
        <v>31.32</v>
      </c>
    </row>
    <row r="1053" spans="1:14" x14ac:dyDescent="0.35">
      <c r="A1053" s="1" t="s">
        <v>1065</v>
      </c>
      <c r="B1053" t="str">
        <f>HYPERLINK("https://www.suredividend.com/sure-analysis-research-database/","Neogenomics Inc.")</f>
        <v>Neogenomics Inc.</v>
      </c>
      <c r="C1053" t="s">
        <v>1803</v>
      </c>
      <c r="D1053">
        <v>12.5</v>
      </c>
      <c r="E1053">
        <v>0</v>
      </c>
      <c r="F1053" t="s">
        <v>1798</v>
      </c>
      <c r="G1053" t="s">
        <v>1798</v>
      </c>
      <c r="H1053">
        <v>0</v>
      </c>
      <c r="I1053">
        <v>1594.3967749999999</v>
      </c>
      <c r="J1053" t="s">
        <v>1798</v>
      </c>
      <c r="K1053">
        <v>0</v>
      </c>
      <c r="L1053">
        <v>1.864924803157719</v>
      </c>
      <c r="M1053">
        <v>20.54</v>
      </c>
      <c r="N1053">
        <v>6</v>
      </c>
    </row>
    <row r="1054" spans="1:14" x14ac:dyDescent="0.35">
      <c r="A1054" s="1" t="s">
        <v>1066</v>
      </c>
      <c r="B1054" t="str">
        <f>HYPERLINK("https://www.suredividend.com/sure-analysis-research-database/","Neogen Corp.")</f>
        <v>Neogen Corp.</v>
      </c>
      <c r="C1054" t="s">
        <v>1803</v>
      </c>
      <c r="D1054">
        <v>15.47</v>
      </c>
      <c r="E1054">
        <v>0</v>
      </c>
      <c r="F1054" t="s">
        <v>1798</v>
      </c>
      <c r="G1054" t="s">
        <v>1798</v>
      </c>
      <c r="H1054">
        <v>0</v>
      </c>
      <c r="I1054">
        <v>3346.3247040000001</v>
      </c>
      <c r="J1054" t="s">
        <v>1798</v>
      </c>
      <c r="K1054">
        <v>0</v>
      </c>
      <c r="L1054">
        <v>1.26688448650029</v>
      </c>
      <c r="M1054">
        <v>24.1</v>
      </c>
      <c r="N1054">
        <v>10.49</v>
      </c>
    </row>
    <row r="1055" spans="1:14" x14ac:dyDescent="0.35">
      <c r="A1055" s="1" t="s">
        <v>1067</v>
      </c>
      <c r="B1055" t="str">
        <f>HYPERLINK("https://www.suredividend.com/sure-analysis-research-database/","Eneti Inc")</f>
        <v>Eneti Inc</v>
      </c>
      <c r="C1055" t="s">
        <v>1798</v>
      </c>
      <c r="D1055">
        <v>10.06</v>
      </c>
      <c r="E1055">
        <v>3.9698837203940001E-3</v>
      </c>
      <c r="F1055">
        <v>0</v>
      </c>
      <c r="G1055">
        <v>-0.1294494367038759</v>
      </c>
      <c r="H1055">
        <v>3.9937030227173001E-2</v>
      </c>
      <c r="I1055">
        <v>388.79001699999998</v>
      </c>
      <c r="J1055" t="s">
        <v>1798</v>
      </c>
      <c r="K1055" t="s">
        <v>1798</v>
      </c>
      <c r="L1055">
        <v>0.72599457297188508</v>
      </c>
      <c r="M1055">
        <v>13.53</v>
      </c>
      <c r="N1055">
        <v>7.72</v>
      </c>
    </row>
    <row r="1056" spans="1:14" x14ac:dyDescent="0.35">
      <c r="A1056" s="1" t="s">
        <v>1068</v>
      </c>
      <c r="B1056" t="str">
        <f>HYPERLINK("https://www.suredividend.com/sure-analysis-research-database/","NexTier Oilfield Solutions Inc")</f>
        <v>NexTier Oilfield Solutions Inc</v>
      </c>
      <c r="C1056" t="s">
        <v>1808</v>
      </c>
      <c r="D1056">
        <v>10.61</v>
      </c>
      <c r="E1056">
        <v>0</v>
      </c>
      <c r="F1056" t="s">
        <v>1798</v>
      </c>
      <c r="G1056" t="s">
        <v>1798</v>
      </c>
      <c r="H1056">
        <v>0</v>
      </c>
      <c r="I1056">
        <v>2424.944837</v>
      </c>
      <c r="J1056">
        <v>3.7784909947551788</v>
      </c>
      <c r="K1056">
        <v>0</v>
      </c>
      <c r="L1056">
        <v>1.4307804897192959</v>
      </c>
      <c r="M1056">
        <v>11.99</v>
      </c>
      <c r="N1056">
        <v>6.66</v>
      </c>
    </row>
    <row r="1057" spans="1:14" x14ac:dyDescent="0.35">
      <c r="A1057" s="1" t="s">
        <v>1069</v>
      </c>
      <c r="B1057" t="str">
        <f>HYPERLINK("https://www.suredividend.com/sure-analysis-research-database/","NextDecade Corporation")</f>
        <v>NextDecade Corporation</v>
      </c>
      <c r="C1057" t="s">
        <v>1808</v>
      </c>
      <c r="D1057">
        <v>4.5599999999999996</v>
      </c>
      <c r="E1057">
        <v>0</v>
      </c>
      <c r="F1057" t="s">
        <v>1798</v>
      </c>
      <c r="G1057" t="s">
        <v>1798</v>
      </c>
      <c r="H1057">
        <v>0</v>
      </c>
      <c r="I1057">
        <v>1100.912638</v>
      </c>
      <c r="J1057">
        <v>0</v>
      </c>
      <c r="K1057" t="s">
        <v>1798</v>
      </c>
      <c r="L1057">
        <v>1.1266373897521349</v>
      </c>
      <c r="M1057">
        <v>8.74</v>
      </c>
      <c r="N1057">
        <v>3.93</v>
      </c>
    </row>
    <row r="1058" spans="1:14" x14ac:dyDescent="0.35">
      <c r="A1058" s="1" t="s">
        <v>1070</v>
      </c>
      <c r="B1058" t="str">
        <f>HYPERLINK("https://www.suredividend.com/sure-analysis-research-database/","Northfield Bancorp Inc")</f>
        <v>Northfield Bancorp Inc</v>
      </c>
      <c r="C1058" t="s">
        <v>1801</v>
      </c>
      <c r="D1058">
        <v>9.0299999999999994</v>
      </c>
      <c r="E1058">
        <v>5.5782591573909003E-2</v>
      </c>
      <c r="F1058">
        <v>0</v>
      </c>
      <c r="G1058">
        <v>5.387395206178347E-2</v>
      </c>
      <c r="H1058">
        <v>0.50371680191240409</v>
      </c>
      <c r="I1058">
        <v>406.23959000000002</v>
      </c>
      <c r="J1058">
        <v>7.7550318835904086</v>
      </c>
      <c r="K1058">
        <v>0.43423862233827942</v>
      </c>
      <c r="L1058">
        <v>0.65989106337787706</v>
      </c>
      <c r="M1058">
        <v>15.2</v>
      </c>
      <c r="N1058">
        <v>8.69</v>
      </c>
    </row>
    <row r="1059" spans="1:14" x14ac:dyDescent="0.35">
      <c r="A1059" s="1" t="s">
        <v>1071</v>
      </c>
      <c r="B1059" t="str">
        <f>HYPERLINK("https://www.suredividend.com/sure-analysis-research-database/","Novagold Resources Inc.")</f>
        <v>Novagold Resources Inc.</v>
      </c>
      <c r="C1059" t="s">
        <v>1809</v>
      </c>
      <c r="D1059">
        <v>3.78</v>
      </c>
      <c r="E1059">
        <v>0</v>
      </c>
      <c r="F1059" t="s">
        <v>1798</v>
      </c>
      <c r="G1059" t="s">
        <v>1798</v>
      </c>
      <c r="H1059">
        <v>0</v>
      </c>
      <c r="I1059">
        <v>1263.204743</v>
      </c>
      <c r="J1059">
        <v>0</v>
      </c>
      <c r="K1059" t="s">
        <v>1798</v>
      </c>
      <c r="L1059">
        <v>0.88054311465525303</v>
      </c>
      <c r="M1059">
        <v>6.98</v>
      </c>
      <c r="N1059">
        <v>3.29</v>
      </c>
    </row>
    <row r="1060" spans="1:14" x14ac:dyDescent="0.35">
      <c r="A1060" s="1" t="s">
        <v>1072</v>
      </c>
      <c r="B1060" t="str">
        <f>HYPERLINK("https://www.suredividend.com/sure-analysis-research-database/","Ngm Biopharmaceuticals Inc")</f>
        <v>Ngm Biopharmaceuticals Inc</v>
      </c>
      <c r="C1060" t="s">
        <v>1803</v>
      </c>
      <c r="D1060">
        <v>1.1399999999999999</v>
      </c>
      <c r="E1060">
        <v>0</v>
      </c>
      <c r="F1060" t="s">
        <v>1798</v>
      </c>
      <c r="G1060" t="s">
        <v>1798</v>
      </c>
      <c r="H1060">
        <v>0</v>
      </c>
      <c r="I1060">
        <v>94.295677999999995</v>
      </c>
      <c r="J1060" t="s">
        <v>1798</v>
      </c>
      <c r="K1060">
        <v>0</v>
      </c>
      <c r="L1060">
        <v>1.5339406587745521</v>
      </c>
      <c r="M1060">
        <v>6.14</v>
      </c>
      <c r="N1060">
        <v>0.997</v>
      </c>
    </row>
    <row r="1061" spans="1:14" x14ac:dyDescent="0.35">
      <c r="A1061" s="1" t="s">
        <v>1073</v>
      </c>
      <c r="B1061" t="str">
        <f>HYPERLINK("https://www.suredividend.com/sure-analysis-research-database/","NeoGames SA")</f>
        <v>NeoGames SA</v>
      </c>
      <c r="C1061" t="s">
        <v>1798</v>
      </c>
      <c r="D1061">
        <v>25.835000000000001</v>
      </c>
      <c r="E1061">
        <v>0</v>
      </c>
      <c r="F1061" t="s">
        <v>1798</v>
      </c>
      <c r="G1061" t="s">
        <v>1798</v>
      </c>
      <c r="H1061">
        <v>0</v>
      </c>
      <c r="I1061">
        <v>865.01901799999996</v>
      </c>
      <c r="J1061">
        <v>0</v>
      </c>
      <c r="K1061" t="s">
        <v>1798</v>
      </c>
      <c r="L1061">
        <v>1.28928392358504</v>
      </c>
      <c r="M1061">
        <v>27.77</v>
      </c>
      <c r="N1061">
        <v>10.85</v>
      </c>
    </row>
    <row r="1062" spans="1:14" x14ac:dyDescent="0.35">
      <c r="A1062" s="1" t="s">
        <v>1074</v>
      </c>
      <c r="B1062" t="str">
        <f>HYPERLINK("https://www.suredividend.com/sure-analysis-research-database/","Natural Grocers by Vitamin Cottage Inc")</f>
        <v>Natural Grocers by Vitamin Cottage Inc</v>
      </c>
      <c r="C1062" t="s">
        <v>1805</v>
      </c>
      <c r="D1062">
        <v>12.95</v>
      </c>
      <c r="E1062">
        <v>3.0507672497226E-2</v>
      </c>
      <c r="F1062" t="s">
        <v>1798</v>
      </c>
      <c r="G1062" t="s">
        <v>1798</v>
      </c>
      <c r="H1062">
        <v>0.39507435883907899</v>
      </c>
      <c r="I1062">
        <v>294.45530000000002</v>
      </c>
      <c r="J1062">
        <v>15.082482197920401</v>
      </c>
      <c r="K1062">
        <v>0.46218338656888053</v>
      </c>
      <c r="L1062">
        <v>0.86744387897319208</v>
      </c>
      <c r="M1062">
        <v>13.69</v>
      </c>
      <c r="N1062">
        <v>7.8</v>
      </c>
    </row>
    <row r="1063" spans="1:14" x14ac:dyDescent="0.35">
      <c r="A1063" s="1" t="s">
        <v>1075</v>
      </c>
      <c r="B1063" t="str">
        <f>HYPERLINK("https://www.suredividend.com/sure-analysis-research-database/","Ingevity Corp")</f>
        <v>Ingevity Corp</v>
      </c>
      <c r="C1063" t="s">
        <v>1809</v>
      </c>
      <c r="D1063">
        <v>40.39</v>
      </c>
      <c r="E1063">
        <v>0</v>
      </c>
      <c r="F1063" t="s">
        <v>1798</v>
      </c>
      <c r="G1063" t="s">
        <v>1798</v>
      </c>
      <c r="H1063">
        <v>0</v>
      </c>
      <c r="I1063">
        <v>1463.1049700000001</v>
      </c>
      <c r="J1063">
        <v>8.2568000566591415</v>
      </c>
      <c r="K1063">
        <v>0</v>
      </c>
      <c r="L1063">
        <v>1.162344666003202</v>
      </c>
      <c r="M1063">
        <v>90.81</v>
      </c>
      <c r="N1063">
        <v>40.19</v>
      </c>
    </row>
    <row r="1064" spans="1:14" x14ac:dyDescent="0.35">
      <c r="A1064" s="1" t="s">
        <v>1076</v>
      </c>
      <c r="B1064" t="str">
        <f>HYPERLINK("https://www.suredividend.com/sure-analysis-NHC/","National Healthcare Corp.")</f>
        <v>National Healthcare Corp.</v>
      </c>
      <c r="C1064" t="s">
        <v>1803</v>
      </c>
      <c r="D1064">
        <v>64.2</v>
      </c>
      <c r="E1064">
        <v>3.6760124610591888E-2</v>
      </c>
      <c r="F1064">
        <v>3.5087719298245501E-2</v>
      </c>
      <c r="G1064">
        <v>3.3656884345193427E-2</v>
      </c>
      <c r="H1064">
        <v>2.2771528218751591</v>
      </c>
      <c r="I1064">
        <v>983.57886099999996</v>
      </c>
      <c r="J1064">
        <v>30.806153238536709</v>
      </c>
      <c r="K1064">
        <v>1.094785010516903</v>
      </c>
      <c r="L1064">
        <v>0.50361261933564605</v>
      </c>
      <c r="M1064">
        <v>68.959999999999994</v>
      </c>
      <c r="N1064">
        <v>49.61</v>
      </c>
    </row>
    <row r="1065" spans="1:14" x14ac:dyDescent="0.35">
      <c r="A1065" s="1" t="s">
        <v>1077</v>
      </c>
      <c r="B1065" t="str">
        <f>HYPERLINK("https://www.suredividend.com/sure-analysis-NHI/","National Health Investors, Inc.")</f>
        <v>National Health Investors, Inc.</v>
      </c>
      <c r="C1065" t="s">
        <v>1800</v>
      </c>
      <c r="D1065">
        <v>49.68</v>
      </c>
      <c r="E1065">
        <v>7.2463768115942032E-2</v>
      </c>
      <c r="F1065">
        <v>0</v>
      </c>
      <c r="G1065">
        <v>-2.0851637639023202E-2</v>
      </c>
      <c r="H1065">
        <v>3.5065454237785998</v>
      </c>
      <c r="I1065">
        <v>2156.6009009999998</v>
      </c>
      <c r="J1065">
        <v>19.500161861222129</v>
      </c>
      <c r="K1065">
        <v>1.380529694401023</v>
      </c>
      <c r="L1065">
        <v>0.714783819344041</v>
      </c>
      <c r="M1065">
        <v>57.06</v>
      </c>
      <c r="N1065">
        <v>45.56</v>
      </c>
    </row>
    <row r="1066" spans="1:14" x14ac:dyDescent="0.35">
      <c r="A1066" s="1" t="s">
        <v>1078</v>
      </c>
      <c r="B1066" t="str">
        <f>HYPERLINK("https://www.suredividend.com/sure-analysis-research-database/","Nicolet Bankshares Inc.")</f>
        <v>Nicolet Bankshares Inc.</v>
      </c>
      <c r="C1066" t="s">
        <v>1798</v>
      </c>
      <c r="D1066">
        <v>69.16</v>
      </c>
      <c r="E1066">
        <v>7.217685437522001E-3</v>
      </c>
      <c r="F1066" t="s">
        <v>1798</v>
      </c>
      <c r="G1066" t="s">
        <v>1798</v>
      </c>
      <c r="H1066">
        <v>0.49917512485902998</v>
      </c>
      <c r="I1066">
        <v>1019.450559</v>
      </c>
      <c r="J1066">
        <v>17.045387897940071</v>
      </c>
      <c r="K1066">
        <v>0.1232531172491432</v>
      </c>
      <c r="L1066">
        <v>1.040587233661999</v>
      </c>
      <c r="M1066">
        <v>84.92</v>
      </c>
      <c r="N1066">
        <v>51.39</v>
      </c>
    </row>
    <row r="1067" spans="1:14" x14ac:dyDescent="0.35">
      <c r="A1067" s="1" t="s">
        <v>1079</v>
      </c>
      <c r="B1067" t="str">
        <f>HYPERLINK("https://www.suredividend.com/sure-analysis-NJR/","New Jersey Resources Corporation")</f>
        <v>New Jersey Resources Corporation</v>
      </c>
      <c r="C1067" t="s">
        <v>1806</v>
      </c>
      <c r="D1067">
        <v>42.05</v>
      </c>
      <c r="E1067">
        <v>3.9952437574316289E-2</v>
      </c>
      <c r="F1067">
        <v>7.6923076923076872E-2</v>
      </c>
      <c r="G1067">
        <v>7.5040149141812229E-2</v>
      </c>
      <c r="H1067">
        <v>1.5694666017554031</v>
      </c>
      <c r="I1067">
        <v>4102.4789879999998</v>
      </c>
      <c r="J1067">
        <v>14.53635431787742</v>
      </c>
      <c r="K1067">
        <v>0.54119537991565625</v>
      </c>
      <c r="L1067">
        <v>0.62148066251600409</v>
      </c>
      <c r="M1067">
        <v>54.85</v>
      </c>
      <c r="N1067">
        <v>38.369999999999997</v>
      </c>
    </row>
    <row r="1068" spans="1:14" x14ac:dyDescent="0.35">
      <c r="A1068" s="1" t="s">
        <v>1080</v>
      </c>
      <c r="B1068" t="str">
        <f>HYPERLINK("https://www.suredividend.com/sure-analysis-research-database/","Nikola Corp")</f>
        <v>Nikola Corp</v>
      </c>
      <c r="C1068" t="s">
        <v>1798</v>
      </c>
      <c r="D1068">
        <v>1.29</v>
      </c>
      <c r="E1068">
        <v>0</v>
      </c>
      <c r="F1068" t="s">
        <v>1798</v>
      </c>
      <c r="G1068" t="s">
        <v>1798</v>
      </c>
      <c r="H1068">
        <v>0</v>
      </c>
      <c r="I1068">
        <v>1005.499965</v>
      </c>
      <c r="J1068" t="s">
        <v>1798</v>
      </c>
      <c r="K1068">
        <v>0</v>
      </c>
      <c r="L1068">
        <v>2.2009471871982988</v>
      </c>
      <c r="M1068">
        <v>3.97</v>
      </c>
      <c r="N1068">
        <v>0.52100000000000002</v>
      </c>
    </row>
    <row r="1069" spans="1:14" x14ac:dyDescent="0.35">
      <c r="A1069" s="1" t="s">
        <v>1081</v>
      </c>
      <c r="B1069" t="str">
        <f>HYPERLINK("https://www.suredividend.com/sure-analysis-research-database/","Nektar Therapeutics")</f>
        <v>Nektar Therapeutics</v>
      </c>
      <c r="C1069" t="s">
        <v>1803</v>
      </c>
      <c r="D1069">
        <v>0.53800000000000003</v>
      </c>
      <c r="E1069">
        <v>0</v>
      </c>
      <c r="F1069" t="s">
        <v>1798</v>
      </c>
      <c r="G1069" t="s">
        <v>1798</v>
      </c>
      <c r="H1069">
        <v>0</v>
      </c>
      <c r="I1069">
        <v>102.283846</v>
      </c>
      <c r="J1069" t="s">
        <v>1798</v>
      </c>
      <c r="K1069">
        <v>0</v>
      </c>
      <c r="L1069">
        <v>2.0740575611195888</v>
      </c>
      <c r="M1069">
        <v>4.37</v>
      </c>
      <c r="N1069">
        <v>0.49</v>
      </c>
    </row>
    <row r="1070" spans="1:14" x14ac:dyDescent="0.35">
      <c r="A1070" s="1" t="s">
        <v>1082</v>
      </c>
      <c r="B1070" t="str">
        <f>HYPERLINK("https://www.suredividend.com/sure-analysis-research-database/","Nkarta Inc")</f>
        <v>Nkarta Inc</v>
      </c>
      <c r="C1070" t="s">
        <v>1798</v>
      </c>
      <c r="D1070">
        <v>1.54</v>
      </c>
      <c r="E1070">
        <v>0</v>
      </c>
      <c r="F1070" t="s">
        <v>1798</v>
      </c>
      <c r="G1070" t="s">
        <v>1798</v>
      </c>
      <c r="H1070">
        <v>0</v>
      </c>
      <c r="I1070">
        <v>75.549679999999995</v>
      </c>
      <c r="J1070">
        <v>0</v>
      </c>
      <c r="K1070" t="s">
        <v>1798</v>
      </c>
      <c r="L1070">
        <v>1.0499581425337059</v>
      </c>
      <c r="M1070">
        <v>13.82</v>
      </c>
      <c r="N1070">
        <v>1.28</v>
      </c>
    </row>
    <row r="1071" spans="1:14" x14ac:dyDescent="0.35">
      <c r="A1071" s="1" t="s">
        <v>1083</v>
      </c>
      <c r="B1071" t="str">
        <f>HYPERLINK("https://www.suredividend.com/sure-analysis-research-database/","NL Industries, Inc.")</f>
        <v>NL Industries, Inc.</v>
      </c>
      <c r="C1071" t="s">
        <v>1799</v>
      </c>
      <c r="D1071">
        <v>4.5999999999999996</v>
      </c>
      <c r="E1071">
        <v>5.9759045991084003E-2</v>
      </c>
      <c r="F1071" t="s">
        <v>1798</v>
      </c>
      <c r="G1071" t="s">
        <v>1798</v>
      </c>
      <c r="H1071">
        <v>0.27489161155899</v>
      </c>
      <c r="I1071">
        <v>224.63402600000001</v>
      </c>
      <c r="J1071" t="s">
        <v>1798</v>
      </c>
      <c r="K1071" t="s">
        <v>1798</v>
      </c>
      <c r="L1071">
        <v>0.97213993047728409</v>
      </c>
      <c r="M1071">
        <v>8.5500000000000007</v>
      </c>
      <c r="N1071">
        <v>4.51</v>
      </c>
    </row>
    <row r="1072" spans="1:14" x14ac:dyDescent="0.35">
      <c r="A1072" s="1" t="s">
        <v>1084</v>
      </c>
      <c r="B1072" t="str">
        <f>HYPERLINK("https://www.suredividend.com/sure-analysis-research-database/","NMI Holdings Inc")</f>
        <v>NMI Holdings Inc</v>
      </c>
      <c r="C1072" t="s">
        <v>1801</v>
      </c>
      <c r="D1072">
        <v>26.81</v>
      </c>
      <c r="E1072">
        <v>0</v>
      </c>
      <c r="F1072" t="s">
        <v>1798</v>
      </c>
      <c r="G1072" t="s">
        <v>1798</v>
      </c>
      <c r="H1072">
        <v>0</v>
      </c>
      <c r="I1072">
        <v>2205.9469079999999</v>
      </c>
      <c r="J1072">
        <v>7.2440132257322993</v>
      </c>
      <c r="K1072">
        <v>0</v>
      </c>
      <c r="L1072">
        <v>0.83487805561075301</v>
      </c>
      <c r="M1072">
        <v>30.14</v>
      </c>
      <c r="N1072">
        <v>19.02</v>
      </c>
    </row>
    <row r="1073" spans="1:14" x14ac:dyDescent="0.35">
      <c r="A1073" s="1" t="s">
        <v>1085</v>
      </c>
      <c r="B1073" t="str">
        <f>HYPERLINK("https://www.suredividend.com/sure-analysis-research-database/","Newmark Group Inc")</f>
        <v>Newmark Group Inc</v>
      </c>
      <c r="C1073" t="s">
        <v>1800</v>
      </c>
      <c r="D1073">
        <v>5.83</v>
      </c>
      <c r="E1073">
        <v>2.0427239561525999E-2</v>
      </c>
      <c r="F1073">
        <v>0</v>
      </c>
      <c r="G1073">
        <v>-0.1972584382397693</v>
      </c>
      <c r="H1073">
        <v>0.119090806643702</v>
      </c>
      <c r="I1073">
        <v>888.44751099999996</v>
      </c>
      <c r="J1073">
        <v>29.155236152331572</v>
      </c>
      <c r="K1073">
        <v>0.87695733905524309</v>
      </c>
      <c r="L1073">
        <v>1.375055957407856</v>
      </c>
      <c r="M1073">
        <v>9.3000000000000007</v>
      </c>
      <c r="N1073">
        <v>5.0199999999999996</v>
      </c>
    </row>
    <row r="1074" spans="1:14" x14ac:dyDescent="0.35">
      <c r="A1074" s="1" t="s">
        <v>1086</v>
      </c>
      <c r="B1074" t="str">
        <f>HYPERLINK("https://www.suredividend.com/sure-analysis-research-database/","NextNav Inc")</f>
        <v>NextNav Inc</v>
      </c>
      <c r="C1074" t="s">
        <v>1798</v>
      </c>
      <c r="D1074">
        <v>4.6100000000000003</v>
      </c>
      <c r="E1074">
        <v>0</v>
      </c>
      <c r="F1074" t="s">
        <v>1798</v>
      </c>
      <c r="G1074" t="s">
        <v>1798</v>
      </c>
      <c r="H1074">
        <v>0</v>
      </c>
      <c r="I1074">
        <v>498.88305800000001</v>
      </c>
      <c r="J1074">
        <v>0</v>
      </c>
      <c r="K1074" t="s">
        <v>1798</v>
      </c>
      <c r="L1074">
        <v>1.1960649780595911</v>
      </c>
      <c r="M1074">
        <v>6.07</v>
      </c>
      <c r="N1074">
        <v>1.59</v>
      </c>
    </row>
    <row r="1075" spans="1:14" x14ac:dyDescent="0.35">
      <c r="A1075" s="1" t="s">
        <v>1087</v>
      </c>
      <c r="B1075" t="str">
        <f>HYPERLINK("https://www.suredividend.com/sure-analysis-research-database/","Nelnet Inc")</f>
        <v>Nelnet Inc</v>
      </c>
      <c r="C1075" t="s">
        <v>1801</v>
      </c>
      <c r="D1075">
        <v>87.88</v>
      </c>
      <c r="E1075">
        <v>1.1784609502642001E-2</v>
      </c>
      <c r="F1075">
        <v>8.3333333333333481E-2</v>
      </c>
      <c r="G1075">
        <v>7.6316922514810814E-2</v>
      </c>
      <c r="H1075">
        <v>1.0356314830922579</v>
      </c>
      <c r="I1075">
        <v>2342.0890890000001</v>
      </c>
      <c r="J1075">
        <v>12.234894184623901</v>
      </c>
      <c r="K1075">
        <v>0.2022717740414566</v>
      </c>
      <c r="L1075">
        <v>0.60025416118145203</v>
      </c>
      <c r="M1075">
        <v>101.31</v>
      </c>
      <c r="N1075">
        <v>81.44</v>
      </c>
    </row>
    <row r="1076" spans="1:14" x14ac:dyDescent="0.35">
      <c r="A1076" s="1" t="s">
        <v>1088</v>
      </c>
      <c r="B1076" t="str">
        <f>HYPERLINK("https://www.suredividend.com/sure-analysis-research-database/","Nano X Imaging Ltd")</f>
        <v>Nano X Imaging Ltd</v>
      </c>
      <c r="C1076" t="s">
        <v>1798</v>
      </c>
      <c r="D1076">
        <v>6.44</v>
      </c>
      <c r="E1076">
        <v>0</v>
      </c>
      <c r="F1076" t="s">
        <v>1798</v>
      </c>
      <c r="G1076" t="s">
        <v>1798</v>
      </c>
      <c r="H1076">
        <v>0</v>
      </c>
      <c r="I1076">
        <v>355.16822200000001</v>
      </c>
      <c r="J1076">
        <v>0</v>
      </c>
      <c r="K1076" t="s">
        <v>1798</v>
      </c>
      <c r="L1076">
        <v>1.6613868620501271</v>
      </c>
      <c r="M1076">
        <v>22.69</v>
      </c>
      <c r="N1076">
        <v>5.31</v>
      </c>
    </row>
    <row r="1077" spans="1:14" x14ac:dyDescent="0.35">
      <c r="A1077" s="1" t="s">
        <v>1089</v>
      </c>
      <c r="B1077" t="str">
        <f>HYPERLINK("https://www.suredividend.com/sure-analysis-research-database/","NI Holdings Inc")</f>
        <v>NI Holdings Inc</v>
      </c>
      <c r="C1077" t="s">
        <v>1801</v>
      </c>
      <c r="D1077">
        <v>12.26</v>
      </c>
      <c r="E1077">
        <v>0</v>
      </c>
      <c r="F1077" t="s">
        <v>1798</v>
      </c>
      <c r="G1077" t="s">
        <v>1798</v>
      </c>
      <c r="H1077">
        <v>0</v>
      </c>
      <c r="I1077">
        <v>255.77786699999999</v>
      </c>
      <c r="J1077">
        <v>0</v>
      </c>
      <c r="K1077" t="s">
        <v>1798</v>
      </c>
      <c r="L1077">
        <v>0.57520312372709204</v>
      </c>
      <c r="M1077">
        <v>15.28</v>
      </c>
      <c r="N1077">
        <v>12.06</v>
      </c>
    </row>
    <row r="1078" spans="1:14" x14ac:dyDescent="0.35">
      <c r="A1078" s="1" t="s">
        <v>1090</v>
      </c>
      <c r="B1078" t="str">
        <f>HYPERLINK("https://www.suredividend.com/sure-analysis-research-database/","Northern Oil and Gas Inc.")</f>
        <v>Northern Oil and Gas Inc.</v>
      </c>
      <c r="C1078" t="s">
        <v>1808</v>
      </c>
      <c r="D1078">
        <v>40.53</v>
      </c>
      <c r="E1078">
        <v>3.3799233405107001E-2</v>
      </c>
      <c r="F1078" t="s">
        <v>1798</v>
      </c>
      <c r="G1078" t="s">
        <v>1798</v>
      </c>
      <c r="H1078">
        <v>1.3698829299090129</v>
      </c>
      <c r="I1078">
        <v>3770.2123820000002</v>
      </c>
      <c r="J1078">
        <v>3.084896462747678</v>
      </c>
      <c r="K1078">
        <v>0.1002108946531831</v>
      </c>
      <c r="L1078">
        <v>1.107342687949318</v>
      </c>
      <c r="M1078">
        <v>43.22</v>
      </c>
      <c r="N1078">
        <v>24.75</v>
      </c>
    </row>
    <row r="1079" spans="1:14" x14ac:dyDescent="0.35">
      <c r="A1079" s="1" t="s">
        <v>1091</v>
      </c>
      <c r="B1079" t="str">
        <f>HYPERLINK("https://www.suredividend.com/sure-analysis-research-database/","Inotiv Inc")</f>
        <v>Inotiv Inc</v>
      </c>
      <c r="C1079" t="s">
        <v>1798</v>
      </c>
      <c r="D1079">
        <v>2.0499999999999998</v>
      </c>
      <c r="E1079">
        <v>0</v>
      </c>
      <c r="F1079" t="s">
        <v>1798</v>
      </c>
      <c r="G1079" t="s">
        <v>1798</v>
      </c>
      <c r="H1079">
        <v>0</v>
      </c>
      <c r="I1079">
        <v>52.854621000000002</v>
      </c>
      <c r="J1079">
        <v>0</v>
      </c>
      <c r="K1079" t="s">
        <v>1798</v>
      </c>
      <c r="L1079">
        <v>2.0779884319245041</v>
      </c>
      <c r="M1079">
        <v>23.37</v>
      </c>
      <c r="N1079">
        <v>2</v>
      </c>
    </row>
    <row r="1080" spans="1:14" x14ac:dyDescent="0.35">
      <c r="A1080" s="1" t="s">
        <v>1092</v>
      </c>
      <c r="B1080" t="str">
        <f>HYPERLINK("https://www.suredividend.com/sure-analysis-research-database/","Sunnova Energy International Inc")</f>
        <v>Sunnova Energy International Inc</v>
      </c>
      <c r="C1080" t="s">
        <v>1804</v>
      </c>
      <c r="D1080">
        <v>10.220000000000001</v>
      </c>
      <c r="E1080">
        <v>0</v>
      </c>
      <c r="F1080" t="s">
        <v>1798</v>
      </c>
      <c r="G1080" t="s">
        <v>1798</v>
      </c>
      <c r="H1080">
        <v>0</v>
      </c>
      <c r="I1080">
        <v>1189.6079999999999</v>
      </c>
      <c r="J1080" t="s">
        <v>1798</v>
      </c>
      <c r="K1080">
        <v>0</v>
      </c>
      <c r="L1080">
        <v>2.4295426395562938</v>
      </c>
      <c r="M1080">
        <v>24.82</v>
      </c>
      <c r="N1080">
        <v>8.35</v>
      </c>
    </row>
    <row r="1081" spans="1:14" x14ac:dyDescent="0.35">
      <c r="A1081" s="1" t="s">
        <v>1093</v>
      </c>
      <c r="B1081" t="str">
        <f>HYPERLINK("https://www.suredividend.com/sure-analysis-research-database/","Novanta Inc")</f>
        <v>Novanta Inc</v>
      </c>
      <c r="C1081" t="s">
        <v>1804</v>
      </c>
      <c r="D1081">
        <v>147.63</v>
      </c>
      <c r="E1081">
        <v>0</v>
      </c>
      <c r="F1081" t="s">
        <v>1798</v>
      </c>
      <c r="G1081" t="s">
        <v>1798</v>
      </c>
      <c r="H1081">
        <v>0</v>
      </c>
      <c r="I1081">
        <v>5286.3836099999999</v>
      </c>
      <c r="J1081">
        <v>68.74718594296192</v>
      </c>
      <c r="K1081">
        <v>0</v>
      </c>
      <c r="L1081">
        <v>1.584880788495667</v>
      </c>
      <c r="M1081">
        <v>187.61</v>
      </c>
      <c r="N1081">
        <v>117.06</v>
      </c>
    </row>
    <row r="1082" spans="1:14" x14ac:dyDescent="0.35">
      <c r="A1082" s="1" t="s">
        <v>1094</v>
      </c>
      <c r="B1082" t="str">
        <f>HYPERLINK("https://www.suredividend.com/sure-analysis-research-database/","National Presto Industries, Inc.")</f>
        <v>National Presto Industries, Inc.</v>
      </c>
      <c r="C1082" t="s">
        <v>1799</v>
      </c>
      <c r="D1082">
        <v>74.040000000000006</v>
      </c>
      <c r="E1082">
        <v>1.3506212857914E-2</v>
      </c>
      <c r="F1082" t="s">
        <v>1798</v>
      </c>
      <c r="G1082" t="s">
        <v>1798</v>
      </c>
      <c r="H1082">
        <v>1</v>
      </c>
      <c r="I1082">
        <v>524.15810999999997</v>
      </c>
      <c r="J1082">
        <v>20.570547060162479</v>
      </c>
      <c r="K1082">
        <v>0.2785515320334262</v>
      </c>
      <c r="L1082">
        <v>0.6680679244431621</v>
      </c>
      <c r="M1082">
        <v>82.59</v>
      </c>
      <c r="N1082">
        <v>62.15</v>
      </c>
    </row>
    <row r="1083" spans="1:14" x14ac:dyDescent="0.35">
      <c r="A1083" s="1" t="s">
        <v>1095</v>
      </c>
      <c r="B1083" t="str">
        <f>HYPERLINK("https://www.suredividend.com/sure-analysis-research-database/","EnPro Industries Inc")</f>
        <v>EnPro Industries Inc</v>
      </c>
      <c r="C1083" t="s">
        <v>1799</v>
      </c>
      <c r="D1083">
        <v>122.61</v>
      </c>
      <c r="E1083">
        <v>9.3453162883680007E-3</v>
      </c>
      <c r="F1083">
        <v>3.5714285714285587E-2</v>
      </c>
      <c r="G1083">
        <v>3.8573773084258578E-2</v>
      </c>
      <c r="H1083">
        <v>1.145829230116914</v>
      </c>
      <c r="I1083">
        <v>2563.037233</v>
      </c>
      <c r="J1083">
        <v>14.679480143298971</v>
      </c>
      <c r="K1083">
        <v>0.13738959593727981</v>
      </c>
      <c r="L1083">
        <v>1.013670753236424</v>
      </c>
      <c r="M1083">
        <v>144.54</v>
      </c>
      <c r="N1083">
        <v>89.25</v>
      </c>
    </row>
    <row r="1084" spans="1:14" x14ac:dyDescent="0.35">
      <c r="A1084" s="1" t="s">
        <v>1096</v>
      </c>
      <c r="B1084" t="str">
        <f>HYPERLINK("https://www.suredividend.com/sure-analysis-research-database/","Newpark Resources, Inc.")</f>
        <v>Newpark Resources, Inc.</v>
      </c>
      <c r="C1084" t="s">
        <v>1808</v>
      </c>
      <c r="D1084">
        <v>7.02</v>
      </c>
      <c r="E1084">
        <v>0</v>
      </c>
      <c r="F1084" t="s">
        <v>1798</v>
      </c>
      <c r="G1084" t="s">
        <v>1798</v>
      </c>
      <c r="H1084">
        <v>0</v>
      </c>
      <c r="I1084">
        <v>609.42657199999996</v>
      </c>
      <c r="J1084" t="s">
        <v>1798</v>
      </c>
      <c r="K1084">
        <v>0</v>
      </c>
      <c r="L1084">
        <v>0.73278379534763705</v>
      </c>
      <c r="M1084">
        <v>7.33</v>
      </c>
      <c r="N1084">
        <v>2.99</v>
      </c>
    </row>
    <row r="1085" spans="1:14" x14ac:dyDescent="0.35">
      <c r="A1085" s="1" t="s">
        <v>1097</v>
      </c>
      <c r="B1085" t="str">
        <f>HYPERLINK("https://www.suredividend.com/sure-analysis-research-database/","National Research Corp")</f>
        <v>National Research Corp</v>
      </c>
      <c r="C1085" t="s">
        <v>1803</v>
      </c>
      <c r="D1085">
        <v>42.11</v>
      </c>
      <c r="E1085">
        <v>1.0948990471889001E-2</v>
      </c>
      <c r="F1085" t="s">
        <v>1798</v>
      </c>
      <c r="G1085" t="s">
        <v>1798</v>
      </c>
      <c r="H1085">
        <v>0.46106198877128302</v>
      </c>
      <c r="I1085">
        <v>1034.548121</v>
      </c>
      <c r="J1085">
        <v>35.477113985802951</v>
      </c>
      <c r="K1085">
        <v>0.39073049895871442</v>
      </c>
      <c r="L1085">
        <v>0.68383135588610711</v>
      </c>
      <c r="M1085">
        <v>47</v>
      </c>
      <c r="N1085">
        <v>32.64</v>
      </c>
    </row>
    <row r="1086" spans="1:14" x14ac:dyDescent="0.35">
      <c r="A1086" s="1" t="s">
        <v>1098</v>
      </c>
      <c r="B1086" t="str">
        <f>HYPERLINK("https://www.suredividend.com/sure-analysis-research-database/","Nerdwallet Inc")</f>
        <v>Nerdwallet Inc</v>
      </c>
      <c r="C1086" t="s">
        <v>1798</v>
      </c>
      <c r="D1086">
        <v>8.25</v>
      </c>
      <c r="E1086">
        <v>0</v>
      </c>
      <c r="F1086" t="s">
        <v>1798</v>
      </c>
      <c r="G1086" t="s">
        <v>1798</v>
      </c>
      <c r="H1086">
        <v>0</v>
      </c>
      <c r="I1086">
        <v>608.184662</v>
      </c>
      <c r="J1086">
        <v>630.46186499999999</v>
      </c>
      <c r="K1086">
        <v>0</v>
      </c>
      <c r="L1086">
        <v>1.0037997537684999</v>
      </c>
      <c r="M1086">
        <v>21.74</v>
      </c>
      <c r="N1086">
        <v>7.62</v>
      </c>
    </row>
    <row r="1087" spans="1:14" x14ac:dyDescent="0.35">
      <c r="A1087" s="1" t="s">
        <v>1099</v>
      </c>
      <c r="B1087" t="str">
        <f>HYPERLINK("https://www.suredividend.com/sure-analysis-research-database/","Nerdy Inc")</f>
        <v>Nerdy Inc</v>
      </c>
      <c r="C1087" t="s">
        <v>1798</v>
      </c>
      <c r="D1087">
        <v>3.37</v>
      </c>
      <c r="E1087">
        <v>0</v>
      </c>
      <c r="F1087" t="s">
        <v>1798</v>
      </c>
      <c r="G1087" t="s">
        <v>1798</v>
      </c>
      <c r="H1087">
        <v>0</v>
      </c>
      <c r="I1087">
        <v>339.41179099999999</v>
      </c>
      <c r="J1087" t="s">
        <v>1798</v>
      </c>
      <c r="K1087">
        <v>0</v>
      </c>
      <c r="L1087">
        <v>1.6123036232794321</v>
      </c>
      <c r="M1087">
        <v>5.37</v>
      </c>
      <c r="N1087">
        <v>1.8</v>
      </c>
    </row>
    <row r="1088" spans="1:14" x14ac:dyDescent="0.35">
      <c r="A1088" s="1" t="s">
        <v>1100</v>
      </c>
      <c r="B1088" t="str">
        <f>HYPERLINK("https://www.suredividend.com/sure-analysis-research-database/","NexPoint Real Estate Finance Inc")</f>
        <v>NexPoint Real Estate Finance Inc</v>
      </c>
      <c r="C1088" t="s">
        <v>1800</v>
      </c>
      <c r="D1088">
        <v>15.18</v>
      </c>
      <c r="E1088">
        <v>0.15198830621779499</v>
      </c>
      <c r="F1088" t="s">
        <v>1798</v>
      </c>
      <c r="G1088" t="s">
        <v>1798</v>
      </c>
      <c r="H1088">
        <v>2.3071824883861312</v>
      </c>
      <c r="I1088">
        <v>261.58043900000001</v>
      </c>
      <c r="J1088" t="s">
        <v>1798</v>
      </c>
      <c r="K1088" t="s">
        <v>1798</v>
      </c>
      <c r="L1088">
        <v>1.0919444373748799</v>
      </c>
      <c r="M1088">
        <v>18.559999999999999</v>
      </c>
      <c r="N1088">
        <v>12.02</v>
      </c>
    </row>
    <row r="1089" spans="1:14" x14ac:dyDescent="0.35">
      <c r="A1089" s="1" t="s">
        <v>1101</v>
      </c>
      <c r="B1089" t="str">
        <f>HYPERLINK("https://www.suredividend.com/sure-analysis-research-database/","Energy Vault Holdings Inc")</f>
        <v>Energy Vault Holdings Inc</v>
      </c>
      <c r="C1089" t="s">
        <v>1798</v>
      </c>
      <c r="D1089">
        <v>2.4700000000000002</v>
      </c>
      <c r="E1089">
        <v>0</v>
      </c>
      <c r="F1089" t="s">
        <v>1798</v>
      </c>
      <c r="G1089" t="s">
        <v>1798</v>
      </c>
      <c r="H1089">
        <v>0</v>
      </c>
      <c r="I1089">
        <v>352.85589599999997</v>
      </c>
      <c r="J1089" t="s">
        <v>1798</v>
      </c>
      <c r="K1089">
        <v>0</v>
      </c>
      <c r="L1089">
        <v>2.190468529402259</v>
      </c>
      <c r="M1089">
        <v>5.51</v>
      </c>
      <c r="N1089">
        <v>1.35</v>
      </c>
    </row>
    <row r="1090" spans="1:14" x14ac:dyDescent="0.35">
      <c r="A1090" s="1" t="s">
        <v>1102</v>
      </c>
      <c r="B1090" t="str">
        <f>HYPERLINK("https://www.suredividend.com/sure-analysis-research-database/","Nurix Therapeutics Inc")</f>
        <v>Nurix Therapeutics Inc</v>
      </c>
      <c r="C1090" t="s">
        <v>1798</v>
      </c>
      <c r="D1090">
        <v>6.37</v>
      </c>
      <c r="E1090">
        <v>0</v>
      </c>
      <c r="F1090" t="s">
        <v>1798</v>
      </c>
      <c r="G1090" t="s">
        <v>1798</v>
      </c>
      <c r="H1090">
        <v>0</v>
      </c>
      <c r="I1090">
        <v>308.96900199999999</v>
      </c>
      <c r="J1090" t="s">
        <v>1798</v>
      </c>
      <c r="K1090">
        <v>0</v>
      </c>
      <c r="L1090">
        <v>1.5989033545875919</v>
      </c>
      <c r="M1090">
        <v>15.09</v>
      </c>
      <c r="N1090">
        <v>5.92</v>
      </c>
    </row>
    <row r="1091" spans="1:14" x14ac:dyDescent="0.35">
      <c r="A1091" s="1" t="s">
        <v>1103</v>
      </c>
      <c r="B1091" t="str">
        <f>HYPERLINK("https://www.suredividend.com/sure-analysis-research-database/","Insight Enterprises Inc.")</f>
        <v>Insight Enterprises Inc.</v>
      </c>
      <c r="C1091" t="s">
        <v>1804</v>
      </c>
      <c r="D1091">
        <v>147.5</v>
      </c>
      <c r="E1091">
        <v>0</v>
      </c>
      <c r="F1091" t="s">
        <v>1798</v>
      </c>
      <c r="G1091" t="s">
        <v>1798</v>
      </c>
      <c r="H1091">
        <v>0</v>
      </c>
      <c r="I1091">
        <v>5247.0126330000003</v>
      </c>
      <c r="J1091">
        <v>19.781609716603771</v>
      </c>
      <c r="K1091">
        <v>0</v>
      </c>
      <c r="L1091">
        <v>0.62299444062684506</v>
      </c>
      <c r="M1091">
        <v>162.05000000000001</v>
      </c>
      <c r="N1091">
        <v>84.88</v>
      </c>
    </row>
    <row r="1092" spans="1:14" x14ac:dyDescent="0.35">
      <c r="A1092" s="1" t="s">
        <v>1104</v>
      </c>
      <c r="B1092" t="str">
        <f>HYPERLINK("https://www.suredividend.com/sure-analysis-NSP/","Insperity Inc")</f>
        <v>Insperity Inc</v>
      </c>
      <c r="C1092" t="s">
        <v>1799</v>
      </c>
      <c r="D1092">
        <v>98.86</v>
      </c>
      <c r="E1092">
        <v>2.306291725672668E-2</v>
      </c>
      <c r="F1092">
        <v>9.6153846153846256E-2</v>
      </c>
      <c r="G1092">
        <v>0.1369744888101381</v>
      </c>
      <c r="H1092">
        <v>2.1637240680834782</v>
      </c>
      <c r="I1092">
        <v>3770.722569</v>
      </c>
      <c r="J1092">
        <v>20.55965283581601</v>
      </c>
      <c r="K1092">
        <v>0.455520856438627</v>
      </c>
      <c r="L1092">
        <v>0.81911386399120001</v>
      </c>
      <c r="M1092">
        <v>129.72</v>
      </c>
      <c r="N1092">
        <v>93.34</v>
      </c>
    </row>
    <row r="1093" spans="1:14" x14ac:dyDescent="0.35">
      <c r="A1093" s="1" t="s">
        <v>1105</v>
      </c>
      <c r="B1093" t="str">
        <f>HYPERLINK("https://www.suredividend.com/sure-analysis-research-database/","NAPCO Security Technologies Inc")</f>
        <v>NAPCO Security Technologies Inc</v>
      </c>
      <c r="C1093" t="s">
        <v>1799</v>
      </c>
      <c r="D1093">
        <v>20.37</v>
      </c>
      <c r="E1093">
        <v>3.927344045746E-3</v>
      </c>
      <c r="F1093" t="s">
        <v>1798</v>
      </c>
      <c r="G1093" t="s">
        <v>1798</v>
      </c>
      <c r="H1093">
        <v>7.9999998211860004E-2</v>
      </c>
      <c r="I1093">
        <v>749.00687600000003</v>
      </c>
      <c r="J1093">
        <v>27.611120871825118</v>
      </c>
      <c r="K1093">
        <v>0.1091256284434047</v>
      </c>
      <c r="L1093">
        <v>1.0326765368505839</v>
      </c>
      <c r="M1093">
        <v>40.98</v>
      </c>
      <c r="N1093">
        <v>19.89</v>
      </c>
    </row>
    <row r="1094" spans="1:14" x14ac:dyDescent="0.35">
      <c r="A1094" s="1" t="s">
        <v>1106</v>
      </c>
      <c r="B1094" t="str">
        <f>HYPERLINK("https://www.suredividend.com/sure-analysis-research-database/","Nanostring Technologies Inc")</f>
        <v>Nanostring Technologies Inc</v>
      </c>
      <c r="C1094" t="s">
        <v>1803</v>
      </c>
      <c r="D1094">
        <v>1.71</v>
      </c>
      <c r="E1094">
        <v>0</v>
      </c>
      <c r="F1094" t="s">
        <v>1798</v>
      </c>
      <c r="G1094" t="s">
        <v>1798</v>
      </c>
      <c r="H1094">
        <v>0</v>
      </c>
      <c r="I1094">
        <v>81.302891000000002</v>
      </c>
      <c r="J1094">
        <v>0</v>
      </c>
      <c r="K1094" t="s">
        <v>1798</v>
      </c>
      <c r="L1094">
        <v>2.4168650047859228</v>
      </c>
      <c r="M1094">
        <v>13.2</v>
      </c>
      <c r="N1094">
        <v>1.19</v>
      </c>
    </row>
    <row r="1095" spans="1:14" x14ac:dyDescent="0.35">
      <c r="A1095" s="1" t="s">
        <v>1107</v>
      </c>
      <c r="B1095" t="str">
        <f>HYPERLINK("https://www.suredividend.com/sure-analysis-research-database/","Bank of N T Butterfield &amp; Son Ltd.")</f>
        <v>Bank of N T Butterfield &amp; Son Ltd.</v>
      </c>
      <c r="C1095" t="s">
        <v>1801</v>
      </c>
      <c r="D1095">
        <v>26.81</v>
      </c>
      <c r="E1095">
        <v>6.3906922082441003E-2</v>
      </c>
      <c r="F1095">
        <v>0</v>
      </c>
      <c r="G1095">
        <v>0</v>
      </c>
      <c r="H1095">
        <v>1.713344581030261</v>
      </c>
      <c r="I1095">
        <v>1316.724115</v>
      </c>
      <c r="J1095">
        <v>0</v>
      </c>
      <c r="K1095" t="s">
        <v>1798</v>
      </c>
      <c r="L1095">
        <v>1.18560844387516</v>
      </c>
      <c r="M1095">
        <v>36.590000000000003</v>
      </c>
      <c r="N1095">
        <v>22.17</v>
      </c>
    </row>
    <row r="1096" spans="1:14" x14ac:dyDescent="0.35">
      <c r="A1096" s="1" t="s">
        <v>1108</v>
      </c>
      <c r="B1096" t="str">
        <f>HYPERLINK("https://www.suredividend.com/sure-analysis-research-database/","Netscout Systems Inc")</f>
        <v>Netscout Systems Inc</v>
      </c>
      <c r="C1096" t="s">
        <v>1804</v>
      </c>
      <c r="D1096">
        <v>26.67</v>
      </c>
      <c r="E1096">
        <v>0</v>
      </c>
      <c r="F1096" t="s">
        <v>1798</v>
      </c>
      <c r="G1096" t="s">
        <v>1798</v>
      </c>
      <c r="H1096">
        <v>0</v>
      </c>
      <c r="I1096">
        <v>1924.197535</v>
      </c>
      <c r="J1096">
        <v>30.747803365771819</v>
      </c>
      <c r="K1096">
        <v>0</v>
      </c>
      <c r="L1096">
        <v>0.73175267938460908</v>
      </c>
      <c r="M1096">
        <v>38.020000000000003</v>
      </c>
      <c r="N1096">
        <v>25.63</v>
      </c>
    </row>
    <row r="1097" spans="1:14" x14ac:dyDescent="0.35">
      <c r="A1097" s="1" t="s">
        <v>1109</v>
      </c>
      <c r="B1097" t="str">
        <f>HYPERLINK("https://www.suredividend.com/sure-analysis-research-database/","Netgear Inc")</f>
        <v>Netgear Inc</v>
      </c>
      <c r="C1097" t="s">
        <v>1804</v>
      </c>
      <c r="D1097">
        <v>10.95</v>
      </c>
      <c r="E1097">
        <v>0</v>
      </c>
      <c r="F1097" t="s">
        <v>1798</v>
      </c>
      <c r="G1097" t="s">
        <v>1798</v>
      </c>
      <c r="H1097">
        <v>0</v>
      </c>
      <c r="I1097">
        <v>321.931062</v>
      </c>
      <c r="J1097" t="s">
        <v>1798</v>
      </c>
      <c r="K1097">
        <v>0</v>
      </c>
      <c r="L1097">
        <v>0.85666164991524607</v>
      </c>
      <c r="M1097">
        <v>21.83</v>
      </c>
      <c r="N1097">
        <v>10.85</v>
      </c>
    </row>
    <row r="1098" spans="1:14" x14ac:dyDescent="0.35">
      <c r="A1098" s="1" t="s">
        <v>1110</v>
      </c>
      <c r="B1098" t="str">
        <f>HYPERLINK("https://www.suredividend.com/sure-analysis-research-database/","Intellia Therapeutics Inc")</f>
        <v>Intellia Therapeutics Inc</v>
      </c>
      <c r="C1098" t="s">
        <v>1803</v>
      </c>
      <c r="D1098">
        <v>29.83</v>
      </c>
      <c r="E1098">
        <v>0</v>
      </c>
      <c r="F1098" t="s">
        <v>1798</v>
      </c>
      <c r="G1098" t="s">
        <v>1798</v>
      </c>
      <c r="H1098">
        <v>0</v>
      </c>
      <c r="I1098">
        <v>2639.685039</v>
      </c>
      <c r="J1098" t="s">
        <v>1798</v>
      </c>
      <c r="K1098">
        <v>0</v>
      </c>
      <c r="L1098">
        <v>1.6710797219337059</v>
      </c>
      <c r="M1098">
        <v>57.78</v>
      </c>
      <c r="N1098">
        <v>28.29</v>
      </c>
    </row>
    <row r="1099" spans="1:14" x14ac:dyDescent="0.35">
      <c r="A1099" s="1" t="s">
        <v>1111</v>
      </c>
      <c r="B1099" t="str">
        <f>HYPERLINK("https://www.suredividend.com/sure-analysis-NTST/","Netstreit Corp")</f>
        <v>Netstreit Corp</v>
      </c>
      <c r="C1099" t="s">
        <v>1798</v>
      </c>
      <c r="D1099">
        <v>14.92</v>
      </c>
      <c r="E1099">
        <v>5.4959785522788199E-2</v>
      </c>
      <c r="F1099" t="s">
        <v>1798</v>
      </c>
      <c r="G1099" t="s">
        <v>1798</v>
      </c>
      <c r="H1099">
        <v>0.79123577180426607</v>
      </c>
      <c r="I1099">
        <v>999.53585799999996</v>
      </c>
      <c r="J1099">
        <v>205.285655863627</v>
      </c>
      <c r="K1099">
        <v>9.2218621422408624</v>
      </c>
      <c r="L1099">
        <v>0.6040475114294801</v>
      </c>
      <c r="M1099">
        <v>19.95</v>
      </c>
      <c r="N1099">
        <v>14.49</v>
      </c>
    </row>
    <row r="1100" spans="1:14" x14ac:dyDescent="0.35">
      <c r="A1100" s="1" t="s">
        <v>1112</v>
      </c>
      <c r="B1100" t="str">
        <f>HYPERLINK("https://www.suredividend.com/sure-analysis-NUS/","Nu Skin Enterprises, Inc.")</f>
        <v>Nu Skin Enterprises, Inc.</v>
      </c>
      <c r="C1100" t="s">
        <v>1805</v>
      </c>
      <c r="D1100">
        <v>18.350000000000001</v>
      </c>
      <c r="E1100">
        <v>8.5013623978201627E-2</v>
      </c>
      <c r="F1100">
        <v>1.2987012987013101E-2</v>
      </c>
      <c r="G1100">
        <v>1.333804570728625E-2</v>
      </c>
      <c r="H1100">
        <v>1.523682368151178</v>
      </c>
      <c r="I1100">
        <v>916.74737500000003</v>
      </c>
      <c r="J1100">
        <v>13.079014662662461</v>
      </c>
      <c r="K1100">
        <v>1.088344548679413</v>
      </c>
      <c r="L1100">
        <v>1.073162845743002</v>
      </c>
      <c r="M1100">
        <v>43.88</v>
      </c>
      <c r="N1100">
        <v>18.100000000000001</v>
      </c>
    </row>
    <row r="1101" spans="1:14" x14ac:dyDescent="0.35">
      <c r="A1101" s="1" t="s">
        <v>1113</v>
      </c>
      <c r="B1101" t="str">
        <f>HYPERLINK("https://www.suredividend.com/sure-analysis-research-database/","Nutex Health Inc")</f>
        <v>Nutex Health Inc</v>
      </c>
      <c r="C1101" t="s">
        <v>1798</v>
      </c>
      <c r="D1101">
        <v>0.193</v>
      </c>
      <c r="E1101">
        <v>0</v>
      </c>
      <c r="F1101" t="s">
        <v>1798</v>
      </c>
      <c r="G1101" t="s">
        <v>1798</v>
      </c>
      <c r="H1101">
        <v>0</v>
      </c>
      <c r="I1101">
        <v>127.74629400000001</v>
      </c>
      <c r="J1101">
        <v>0</v>
      </c>
      <c r="K1101" t="s">
        <v>1798</v>
      </c>
      <c r="L1101">
        <v>0.93620489182352307</v>
      </c>
      <c r="M1101">
        <v>2.46</v>
      </c>
      <c r="N1101">
        <v>0.18</v>
      </c>
    </row>
    <row r="1102" spans="1:14" x14ac:dyDescent="0.35">
      <c r="A1102" s="1" t="s">
        <v>1114</v>
      </c>
      <c r="B1102" t="str">
        <f>HYPERLINK("https://www.suredividend.com/sure-analysis-research-database/","Nuvasive Inc")</f>
        <v>Nuvasive Inc</v>
      </c>
      <c r="C1102" t="s">
        <v>1803</v>
      </c>
      <c r="D1102">
        <v>39.75</v>
      </c>
      <c r="E1102">
        <v>0</v>
      </c>
      <c r="F1102" t="s">
        <v>1798</v>
      </c>
      <c r="G1102" t="s">
        <v>1798</v>
      </c>
      <c r="H1102">
        <v>0</v>
      </c>
      <c r="I1102">
        <v>0</v>
      </c>
      <c r="J1102">
        <v>0</v>
      </c>
      <c r="K1102">
        <v>0</v>
      </c>
    </row>
    <row r="1103" spans="1:14" x14ac:dyDescent="0.35">
      <c r="A1103" s="1" t="s">
        <v>1115</v>
      </c>
      <c r="B1103" t="str">
        <f>HYPERLINK("https://www.suredividend.com/sure-analysis-research-database/","Nuvation Bio Inc")</f>
        <v>Nuvation Bio Inc</v>
      </c>
      <c r="C1103" t="s">
        <v>1798</v>
      </c>
      <c r="D1103">
        <v>1.17</v>
      </c>
      <c r="E1103">
        <v>0</v>
      </c>
      <c r="F1103" t="s">
        <v>1798</v>
      </c>
      <c r="G1103" t="s">
        <v>1798</v>
      </c>
      <c r="H1103">
        <v>0</v>
      </c>
      <c r="I1103">
        <v>256.16454199999998</v>
      </c>
      <c r="J1103">
        <v>0</v>
      </c>
      <c r="K1103" t="s">
        <v>1798</v>
      </c>
      <c r="L1103">
        <v>1.0884110066483721</v>
      </c>
      <c r="M1103">
        <v>2.5499999999999998</v>
      </c>
      <c r="N1103">
        <v>1.1399999999999999</v>
      </c>
    </row>
    <row r="1104" spans="1:14" x14ac:dyDescent="0.35">
      <c r="A1104" s="1" t="s">
        <v>1116</v>
      </c>
      <c r="B1104" t="str">
        <f>HYPERLINK("https://www.suredividend.com/sure-analysis-research-database/","Nuvalent Inc")</f>
        <v>Nuvalent Inc</v>
      </c>
      <c r="C1104" t="s">
        <v>1798</v>
      </c>
      <c r="D1104">
        <v>57.99</v>
      </c>
      <c r="E1104">
        <v>0</v>
      </c>
      <c r="F1104" t="s">
        <v>1798</v>
      </c>
      <c r="G1104" t="s">
        <v>1798</v>
      </c>
      <c r="H1104">
        <v>0</v>
      </c>
      <c r="I1104">
        <v>2991.6774249999999</v>
      </c>
      <c r="J1104">
        <v>0</v>
      </c>
      <c r="K1104" t="s">
        <v>1798</v>
      </c>
      <c r="L1104">
        <v>1.8747968596981219</v>
      </c>
      <c r="M1104">
        <v>65.5</v>
      </c>
      <c r="N1104">
        <v>18.190000000000001</v>
      </c>
    </row>
    <row r="1105" spans="1:14" x14ac:dyDescent="0.35">
      <c r="A1105" s="1" t="s">
        <v>1117</v>
      </c>
      <c r="B1105" t="str">
        <f>HYPERLINK("https://www.suredividend.com/sure-analysis-research-database/","NV5 Global Inc")</f>
        <v>NV5 Global Inc</v>
      </c>
      <c r="C1105" t="s">
        <v>1799</v>
      </c>
      <c r="D1105">
        <v>105.59</v>
      </c>
      <c r="E1105">
        <v>0</v>
      </c>
      <c r="F1105" t="s">
        <v>1798</v>
      </c>
      <c r="G1105" t="s">
        <v>1798</v>
      </c>
      <c r="H1105">
        <v>0</v>
      </c>
      <c r="I1105">
        <v>1677.8519200000001</v>
      </c>
      <c r="J1105">
        <v>36.938377470884802</v>
      </c>
      <c r="K1105">
        <v>0</v>
      </c>
      <c r="L1105">
        <v>1.071523395229864</v>
      </c>
      <c r="M1105">
        <v>154.97</v>
      </c>
      <c r="N1105">
        <v>89.3</v>
      </c>
    </row>
    <row r="1106" spans="1:14" x14ac:dyDescent="0.35">
      <c r="A1106" s="1" t="s">
        <v>1118</v>
      </c>
      <c r="B1106" t="str">
        <f>HYPERLINK("https://www.suredividend.com/sure-analysis-research-database/","Nevro Corp")</f>
        <v>Nevro Corp</v>
      </c>
      <c r="C1106" t="s">
        <v>1803</v>
      </c>
      <c r="D1106">
        <v>16.91</v>
      </c>
      <c r="E1106">
        <v>0</v>
      </c>
      <c r="F1106" t="s">
        <v>1798</v>
      </c>
      <c r="G1106" t="s">
        <v>1798</v>
      </c>
      <c r="H1106">
        <v>0</v>
      </c>
      <c r="I1106">
        <v>610.79126299999996</v>
      </c>
      <c r="J1106">
        <v>238.31106633632459</v>
      </c>
      <c r="K1106">
        <v>0</v>
      </c>
      <c r="L1106">
        <v>1.1475628353119489</v>
      </c>
      <c r="M1106">
        <v>48.1</v>
      </c>
      <c r="N1106">
        <v>15.91</v>
      </c>
    </row>
    <row r="1107" spans="1:14" x14ac:dyDescent="0.35">
      <c r="A1107" s="1" t="s">
        <v>1119</v>
      </c>
      <c r="B1107" t="str">
        <f>HYPERLINK("https://www.suredividend.com/sure-analysis-research-database/","Invitae Corp")</f>
        <v>Invitae Corp</v>
      </c>
      <c r="C1107" t="s">
        <v>1803</v>
      </c>
      <c r="D1107">
        <v>0.61360000000000003</v>
      </c>
      <c r="E1107">
        <v>0</v>
      </c>
      <c r="F1107" t="s">
        <v>1798</v>
      </c>
      <c r="G1107" t="s">
        <v>1798</v>
      </c>
      <c r="H1107">
        <v>0</v>
      </c>
      <c r="I1107">
        <v>163.83983000000001</v>
      </c>
      <c r="J1107" t="s">
        <v>1798</v>
      </c>
      <c r="K1107">
        <v>0</v>
      </c>
      <c r="L1107">
        <v>2.9795178927728578</v>
      </c>
      <c r="M1107">
        <v>3.78</v>
      </c>
      <c r="N1107">
        <v>0.60000000000000009</v>
      </c>
    </row>
    <row r="1108" spans="1:14" x14ac:dyDescent="0.35">
      <c r="A1108" s="1" t="s">
        <v>1120</v>
      </c>
      <c r="B1108" t="str">
        <f>HYPERLINK("https://www.suredividend.com/sure-analysis-NWBI/","Northwest Bancshares Inc")</f>
        <v>Northwest Bancshares Inc</v>
      </c>
      <c r="C1108" t="s">
        <v>1801</v>
      </c>
      <c r="D1108">
        <v>10.16</v>
      </c>
      <c r="E1108">
        <v>7.874015748031496E-2</v>
      </c>
      <c r="F1108">
        <v>0</v>
      </c>
      <c r="G1108">
        <v>3.3037804113932312E-2</v>
      </c>
      <c r="H1108">
        <v>0.76370714412634</v>
      </c>
      <c r="I1108">
        <v>1291.291367</v>
      </c>
      <c r="J1108">
        <v>9.3381691419645492</v>
      </c>
      <c r="K1108">
        <v>0.70064875607921095</v>
      </c>
      <c r="L1108">
        <v>0.93692635482528908</v>
      </c>
      <c r="M1108">
        <v>14.11</v>
      </c>
      <c r="N1108">
        <v>9.59</v>
      </c>
    </row>
    <row r="1109" spans="1:14" x14ac:dyDescent="0.35">
      <c r="A1109" s="1" t="s">
        <v>1121</v>
      </c>
      <c r="B1109" t="str">
        <f>HYPERLINK("https://www.suredividend.com/sure-analysis-NWE/","NorthWestern Energy Group Inc")</f>
        <v>NorthWestern Energy Group Inc</v>
      </c>
      <c r="C1109" t="s">
        <v>1806</v>
      </c>
      <c r="D1109">
        <v>48.41</v>
      </c>
      <c r="E1109">
        <v>5.2881636025614548E-2</v>
      </c>
      <c r="F1109">
        <v>1.587301587301582E-2</v>
      </c>
      <c r="G1109">
        <v>3.077400337593272E-2</v>
      </c>
      <c r="H1109">
        <v>0</v>
      </c>
      <c r="I1109">
        <v>2964.7145209999999</v>
      </c>
      <c r="J1109">
        <v>0</v>
      </c>
      <c r="K1109" t="s">
        <v>1798</v>
      </c>
      <c r="L1109">
        <v>0.397212552707841</v>
      </c>
      <c r="M1109">
        <v>49.66</v>
      </c>
      <c r="N1109">
        <v>45.97</v>
      </c>
    </row>
    <row r="1110" spans="1:14" x14ac:dyDescent="0.35">
      <c r="A1110" s="1" t="s">
        <v>1122</v>
      </c>
      <c r="B1110" t="str">
        <f>HYPERLINK("https://www.suredividend.com/sure-analysis-research-database/","National Western Life Group Inc")</f>
        <v>National Western Life Group Inc</v>
      </c>
      <c r="C1110" t="s">
        <v>1801</v>
      </c>
      <c r="D1110">
        <v>480.34</v>
      </c>
      <c r="E1110">
        <v>7.4946915581600008E-4</v>
      </c>
      <c r="F1110" t="s">
        <v>1798</v>
      </c>
      <c r="G1110" t="s">
        <v>1798</v>
      </c>
      <c r="H1110">
        <v>0.36000001430511402</v>
      </c>
      <c r="I1110">
        <v>1650.4578469999999</v>
      </c>
      <c r="J1110">
        <v>22.047259508415699</v>
      </c>
      <c r="K1110">
        <v>1.6885554141890899E-2</v>
      </c>
      <c r="L1110">
        <v>1.0158930384512519</v>
      </c>
      <c r="M1110">
        <v>488.9</v>
      </c>
      <c r="N1110">
        <v>180.67</v>
      </c>
    </row>
    <row r="1111" spans="1:14" x14ac:dyDescent="0.35">
      <c r="A1111" s="1" t="s">
        <v>1123</v>
      </c>
      <c r="B1111" t="str">
        <f>HYPERLINK("https://www.suredividend.com/sure-analysis-NWN/","Northwest Natural Holding Co")</f>
        <v>Northwest Natural Holding Co</v>
      </c>
      <c r="C1111" t="s">
        <v>1806</v>
      </c>
      <c r="D1111">
        <v>39.17</v>
      </c>
      <c r="E1111">
        <v>4.9782997191728358E-2</v>
      </c>
      <c r="F1111">
        <v>5.1813471502588637E-3</v>
      </c>
      <c r="G1111">
        <v>4.1755106343164261E-3</v>
      </c>
      <c r="H1111">
        <v>1.909324226137169</v>
      </c>
      <c r="I1111">
        <v>1412.6747459999999</v>
      </c>
      <c r="J1111">
        <v>13.950414221638489</v>
      </c>
      <c r="K1111">
        <v>0.66993832496041028</v>
      </c>
      <c r="L1111">
        <v>0.53181103463258006</v>
      </c>
      <c r="M1111">
        <v>51.27</v>
      </c>
      <c r="N1111">
        <v>36.57</v>
      </c>
    </row>
    <row r="1112" spans="1:14" x14ac:dyDescent="0.35">
      <c r="A1112" s="1" t="s">
        <v>1124</v>
      </c>
      <c r="B1112" t="str">
        <f>HYPERLINK("https://www.suredividend.com/sure-analysis-research-database/","Northwest Pipe Co.")</f>
        <v>Northwest Pipe Co.</v>
      </c>
      <c r="C1112" t="s">
        <v>1799</v>
      </c>
      <c r="D1112">
        <v>29.2</v>
      </c>
      <c r="E1112">
        <v>0</v>
      </c>
      <c r="F1112" t="s">
        <v>1798</v>
      </c>
      <c r="G1112" t="s">
        <v>1798</v>
      </c>
      <c r="H1112">
        <v>0</v>
      </c>
      <c r="I1112">
        <v>292.41452299999997</v>
      </c>
      <c r="J1112">
        <v>10.546201291160241</v>
      </c>
      <c r="K1112">
        <v>0</v>
      </c>
      <c r="L1112">
        <v>0.89855110053081511</v>
      </c>
      <c r="M1112">
        <v>40.6</v>
      </c>
      <c r="N1112">
        <v>25.58</v>
      </c>
    </row>
    <row r="1113" spans="1:14" x14ac:dyDescent="0.35">
      <c r="A1113" s="1" t="s">
        <v>1125</v>
      </c>
      <c r="B1113" t="str">
        <f>HYPERLINK("https://www.suredividend.com/sure-analysis-research-database/","Quanex Building Products Corp")</f>
        <v>Quanex Building Products Corp</v>
      </c>
      <c r="C1113" t="s">
        <v>1799</v>
      </c>
      <c r="D1113">
        <v>27.47</v>
      </c>
      <c r="E1113">
        <v>1.1594928936295001E-2</v>
      </c>
      <c r="F1113">
        <v>0</v>
      </c>
      <c r="G1113">
        <v>0</v>
      </c>
      <c r="H1113">
        <v>0.31851269788002801</v>
      </c>
      <c r="I1113">
        <v>906.13454000000002</v>
      </c>
      <c r="J1113">
        <v>11.35706189105858</v>
      </c>
      <c r="K1113">
        <v>0.13161681730579669</v>
      </c>
      <c r="L1113">
        <v>1.353422571287356</v>
      </c>
      <c r="M1113">
        <v>29.54</v>
      </c>
      <c r="N1113">
        <v>18.600000000000001</v>
      </c>
    </row>
    <row r="1114" spans="1:14" x14ac:dyDescent="0.35">
      <c r="A1114" s="1" t="s">
        <v>1126</v>
      </c>
      <c r="B1114" t="str">
        <f>HYPERLINK("https://www.suredividend.com/sure-analysis-research-database/","NextGen Healthcare Inc")</f>
        <v>NextGen Healthcare Inc</v>
      </c>
      <c r="C1114" t="s">
        <v>1803</v>
      </c>
      <c r="D1114">
        <v>23.82</v>
      </c>
      <c r="E1114">
        <v>0</v>
      </c>
      <c r="F1114" t="s">
        <v>1798</v>
      </c>
      <c r="G1114" t="s">
        <v>1798</v>
      </c>
      <c r="H1114">
        <v>0</v>
      </c>
      <c r="I1114">
        <v>1598.2480149999999</v>
      </c>
      <c r="J1114">
        <v>678.9498789634664</v>
      </c>
      <c r="K1114">
        <v>0</v>
      </c>
      <c r="L1114">
        <v>0.5184676286012101</v>
      </c>
      <c r="M1114">
        <v>23.85</v>
      </c>
      <c r="N1114">
        <v>15.23</v>
      </c>
    </row>
    <row r="1115" spans="1:14" x14ac:dyDescent="0.35">
      <c r="A1115" s="1" t="s">
        <v>1127</v>
      </c>
      <c r="B1115" t="str">
        <f>HYPERLINK("https://www.suredividend.com/sure-analysis-NXRT/","NexPoint Residential Trust Inc")</f>
        <v>NexPoint Residential Trust Inc</v>
      </c>
      <c r="C1115" t="s">
        <v>1800</v>
      </c>
      <c r="D1115">
        <v>30</v>
      </c>
      <c r="E1115">
        <v>5.6000000000000001E-2</v>
      </c>
      <c r="F1115">
        <v>0.1052631578947367</v>
      </c>
      <c r="G1115">
        <v>8.8386933613543883E-2</v>
      </c>
      <c r="H1115">
        <v>1.6533754904262321</v>
      </c>
      <c r="I1115">
        <v>770.22938999999997</v>
      </c>
      <c r="J1115" t="s">
        <v>1798</v>
      </c>
      <c r="K1115" t="s">
        <v>1798</v>
      </c>
      <c r="L1115">
        <v>1.120402277759275</v>
      </c>
      <c r="M1115">
        <v>51.22</v>
      </c>
      <c r="N1115">
        <v>29.99</v>
      </c>
    </row>
    <row r="1116" spans="1:14" x14ac:dyDescent="0.35">
      <c r="A1116" s="1" t="s">
        <v>1128</v>
      </c>
      <c r="B1116" t="str">
        <f>HYPERLINK("https://www.suredividend.com/sure-analysis-research-database/","Nextracker Inc")</f>
        <v>Nextracker Inc</v>
      </c>
      <c r="C1116" t="s">
        <v>1798</v>
      </c>
      <c r="D1116">
        <v>35.11</v>
      </c>
      <c r="E1116">
        <v>0</v>
      </c>
      <c r="F1116" t="s">
        <v>1798</v>
      </c>
      <c r="G1116" t="s">
        <v>1798</v>
      </c>
      <c r="H1116">
        <v>0</v>
      </c>
      <c r="I1116">
        <v>2176.317787</v>
      </c>
      <c r="J1116">
        <v>0</v>
      </c>
      <c r="K1116" t="s">
        <v>1798</v>
      </c>
      <c r="L1116">
        <v>0.88540608078492811</v>
      </c>
      <c r="M1116">
        <v>46.55</v>
      </c>
      <c r="N1116">
        <v>28.24</v>
      </c>
    </row>
    <row r="1117" spans="1:14" x14ac:dyDescent="0.35">
      <c r="A1117" s="1" t="s">
        <v>1129</v>
      </c>
      <c r="B1117" t="str">
        <f>HYPERLINK("https://www.suredividend.com/sure-analysis-NYMT/","New York Mortgage Trust Inc")</f>
        <v>New York Mortgage Trust Inc</v>
      </c>
      <c r="C1117" t="s">
        <v>1800</v>
      </c>
      <c r="D1117">
        <v>8.43</v>
      </c>
      <c r="E1117">
        <v>0.14234875444839859</v>
      </c>
      <c r="F1117" t="s">
        <v>1798</v>
      </c>
      <c r="G1117" t="s">
        <v>1798</v>
      </c>
      <c r="H1117">
        <v>1.3053611521971971</v>
      </c>
      <c r="I1117">
        <v>769.24086399999999</v>
      </c>
      <c r="J1117" t="s">
        <v>1798</v>
      </c>
      <c r="K1117" t="s">
        <v>1798</v>
      </c>
      <c r="L1117">
        <v>1.2750818691298931</v>
      </c>
      <c r="M1117">
        <v>11.34</v>
      </c>
      <c r="N1117">
        <v>7.39</v>
      </c>
    </row>
    <row r="1118" spans="1:14" x14ac:dyDescent="0.35">
      <c r="A1118" s="1" t="s">
        <v>1130</v>
      </c>
      <c r="B1118" t="str">
        <f>HYPERLINK("https://www.suredividend.com/sure-analysis-research-database/","OmniAb Inc")</f>
        <v>OmniAb Inc</v>
      </c>
      <c r="C1118" t="s">
        <v>1798</v>
      </c>
      <c r="D1118">
        <v>4.8499999999999996</v>
      </c>
      <c r="E1118">
        <v>0</v>
      </c>
      <c r="F1118" t="s">
        <v>1798</v>
      </c>
      <c r="G1118" t="s">
        <v>1798</v>
      </c>
      <c r="H1118">
        <v>0</v>
      </c>
      <c r="I1118">
        <v>563.41590599999995</v>
      </c>
      <c r="J1118" t="s">
        <v>1798</v>
      </c>
      <c r="K1118">
        <v>0</v>
      </c>
      <c r="L1118">
        <v>1.035314288737369</v>
      </c>
      <c r="M1118">
        <v>5.98</v>
      </c>
      <c r="N1118">
        <v>1.91</v>
      </c>
    </row>
    <row r="1119" spans="1:14" x14ac:dyDescent="0.35">
      <c r="A1119" s="1" t="s">
        <v>1131</v>
      </c>
      <c r="B1119" t="str">
        <f>HYPERLINK("https://www.suredividend.com/sure-analysis-research-database/","Outbrain Inc")</f>
        <v>Outbrain Inc</v>
      </c>
      <c r="C1119" t="s">
        <v>1798</v>
      </c>
      <c r="D1119">
        <v>4.68</v>
      </c>
      <c r="E1119">
        <v>0</v>
      </c>
      <c r="F1119" t="s">
        <v>1798</v>
      </c>
      <c r="G1119" t="s">
        <v>1798</v>
      </c>
      <c r="H1119">
        <v>0</v>
      </c>
      <c r="I1119">
        <v>238.552671</v>
      </c>
      <c r="J1119" t="s">
        <v>1798</v>
      </c>
      <c r="K1119">
        <v>0</v>
      </c>
      <c r="L1119">
        <v>1.6072478948478119</v>
      </c>
      <c r="M1119">
        <v>5.95</v>
      </c>
      <c r="N1119">
        <v>3.33</v>
      </c>
    </row>
    <row r="1120" spans="1:14" x14ac:dyDescent="0.35">
      <c r="A1120" s="1" t="s">
        <v>1132</v>
      </c>
      <c r="B1120" t="str">
        <f>HYPERLINK("https://www.suredividend.com/sure-analysis-research-database/","Origin Bancorp Inc")</f>
        <v>Origin Bancorp Inc</v>
      </c>
      <c r="C1120" t="s">
        <v>1798</v>
      </c>
      <c r="D1120">
        <v>28.2</v>
      </c>
      <c r="E1120">
        <v>5.3191491475340002E-3</v>
      </c>
      <c r="F1120" t="s">
        <v>1798</v>
      </c>
      <c r="G1120" t="s">
        <v>1798</v>
      </c>
      <c r="H1120">
        <v>0.15000000596046401</v>
      </c>
      <c r="I1120">
        <v>870.43631500000004</v>
      </c>
      <c r="J1120">
        <v>9.4836333002843674</v>
      </c>
      <c r="K1120">
        <v>4.9504952462199353E-2</v>
      </c>
      <c r="L1120">
        <v>0.89796913301736803</v>
      </c>
      <c r="M1120">
        <v>42.59</v>
      </c>
      <c r="N1120">
        <v>25.51</v>
      </c>
    </row>
    <row r="1121" spans="1:14" x14ac:dyDescent="0.35">
      <c r="A1121" s="1" t="s">
        <v>1133</v>
      </c>
      <c r="B1121" t="str">
        <f>HYPERLINK("https://www.suredividend.com/sure-analysis-research-database/","OceanFirst Financial Corp.")</f>
        <v>OceanFirst Financial Corp.</v>
      </c>
      <c r="C1121" t="s">
        <v>1801</v>
      </c>
      <c r="D1121">
        <v>13.77</v>
      </c>
      <c r="E1121">
        <v>5.6638039272871997E-2</v>
      </c>
      <c r="F1121">
        <v>0</v>
      </c>
      <c r="G1121">
        <v>3.3037804113932312E-2</v>
      </c>
      <c r="H1121">
        <v>0.77990580078745608</v>
      </c>
      <c r="I1121">
        <v>818.23402699999997</v>
      </c>
      <c r="J1121">
        <v>5.700112349683379</v>
      </c>
      <c r="K1121">
        <v>0.31963352491289182</v>
      </c>
      <c r="L1121">
        <v>1.191362590504079</v>
      </c>
      <c r="M1121">
        <v>24.04</v>
      </c>
      <c r="N1121">
        <v>12.53</v>
      </c>
    </row>
    <row r="1122" spans="1:14" x14ac:dyDescent="0.35">
      <c r="A1122" s="1" t="s">
        <v>1134</v>
      </c>
      <c r="B1122" t="str">
        <f>HYPERLINK("https://www.suredividend.com/sure-analysis-research-database/","Ocugen Inc")</f>
        <v>Ocugen Inc</v>
      </c>
      <c r="C1122" t="s">
        <v>1803</v>
      </c>
      <c r="D1122">
        <v>0.41849999999999998</v>
      </c>
      <c r="E1122">
        <v>0</v>
      </c>
      <c r="F1122" t="s">
        <v>1798</v>
      </c>
      <c r="G1122" t="s">
        <v>1798</v>
      </c>
      <c r="H1122">
        <v>0</v>
      </c>
      <c r="I1122">
        <v>107.340611</v>
      </c>
      <c r="J1122">
        <v>0</v>
      </c>
      <c r="K1122" t="s">
        <v>1798</v>
      </c>
      <c r="L1122">
        <v>2.2793016711612961</v>
      </c>
      <c r="M1122">
        <v>1.87</v>
      </c>
      <c r="N1122">
        <v>0.39</v>
      </c>
    </row>
    <row r="1123" spans="1:14" x14ac:dyDescent="0.35">
      <c r="A1123" s="1" t="s">
        <v>1135</v>
      </c>
      <c r="B1123" t="str">
        <f>HYPERLINK("https://www.suredividend.com/sure-analysis-research-database/","Eightco Holdings Inc")</f>
        <v>Eightco Holdings Inc</v>
      </c>
      <c r="C1123" t="s">
        <v>1798</v>
      </c>
      <c r="D1123">
        <v>0.61990000000000001</v>
      </c>
      <c r="E1123">
        <v>0</v>
      </c>
      <c r="F1123" t="s">
        <v>1798</v>
      </c>
      <c r="G1123" t="s">
        <v>1798</v>
      </c>
      <c r="H1123">
        <v>0</v>
      </c>
      <c r="I1123">
        <v>1.811148</v>
      </c>
      <c r="J1123">
        <v>0</v>
      </c>
      <c r="K1123" t="s">
        <v>1798</v>
      </c>
      <c r="L1123">
        <v>-8.457112330788183</v>
      </c>
      <c r="M1123">
        <v>4.46</v>
      </c>
      <c r="N1123">
        <v>5.5100000000000003E-2</v>
      </c>
    </row>
    <row r="1124" spans="1:14" x14ac:dyDescent="0.35">
      <c r="A1124" s="1" t="s">
        <v>1136</v>
      </c>
      <c r="B1124" t="str">
        <f>HYPERLINK("https://www.suredividend.com/sure-analysis-research-database/","Ocular Therapeutix Inc")</f>
        <v>Ocular Therapeutix Inc</v>
      </c>
      <c r="C1124" t="s">
        <v>1803</v>
      </c>
      <c r="D1124">
        <v>2.4900000000000002</v>
      </c>
      <c r="E1124">
        <v>0</v>
      </c>
      <c r="F1124" t="s">
        <v>1798</v>
      </c>
      <c r="G1124" t="s">
        <v>1798</v>
      </c>
      <c r="H1124">
        <v>0</v>
      </c>
      <c r="I1124">
        <v>197.66863499999999</v>
      </c>
      <c r="J1124">
        <v>0</v>
      </c>
      <c r="K1124" t="s">
        <v>1798</v>
      </c>
      <c r="L1124">
        <v>1.5424175220492351</v>
      </c>
      <c r="M1124">
        <v>7.96</v>
      </c>
      <c r="N1124">
        <v>2.4500000000000002</v>
      </c>
    </row>
    <row r="1125" spans="1:14" x14ac:dyDescent="0.35">
      <c r="A1125" s="1" t="s">
        <v>1137</v>
      </c>
      <c r="B1125" t="str">
        <f>HYPERLINK("https://www.suredividend.com/sure-analysis-research-database/","ODP Corporation (The)")</f>
        <v>ODP Corporation (The)</v>
      </c>
      <c r="C1125" t="s">
        <v>1802</v>
      </c>
      <c r="D1125">
        <v>43.45</v>
      </c>
      <c r="E1125">
        <v>0</v>
      </c>
      <c r="F1125" t="s">
        <v>1798</v>
      </c>
      <c r="G1125" t="s">
        <v>1798</v>
      </c>
      <c r="H1125">
        <v>0</v>
      </c>
      <c r="I1125">
        <v>1653.248081</v>
      </c>
      <c r="J1125">
        <v>8.7013056899999999</v>
      </c>
      <c r="K1125">
        <v>0</v>
      </c>
      <c r="L1125">
        <v>1.0046925262810389</v>
      </c>
      <c r="M1125">
        <v>53.59</v>
      </c>
      <c r="N1125">
        <v>37.35</v>
      </c>
    </row>
    <row r="1126" spans="1:14" x14ac:dyDescent="0.35">
      <c r="A1126" s="1" t="s">
        <v>1138</v>
      </c>
      <c r="B1126" t="str">
        <f>HYPERLINK("https://www.suredividend.com/sure-analysis-research-database/","Orion S.A")</f>
        <v>Orion S.A</v>
      </c>
      <c r="C1126" t="s">
        <v>1809</v>
      </c>
      <c r="D1126">
        <v>20.61</v>
      </c>
      <c r="E1126">
        <v>4.0120384045770003E-3</v>
      </c>
      <c r="F1126" t="s">
        <v>1798</v>
      </c>
      <c r="G1126" t="s">
        <v>1798</v>
      </c>
      <c r="H1126">
        <v>8.2688111518341004E-2</v>
      </c>
      <c r="I1126">
        <v>1205.188402</v>
      </c>
      <c r="J1126">
        <v>0</v>
      </c>
      <c r="K1126" t="s">
        <v>1798</v>
      </c>
      <c r="L1126">
        <v>1.410852013508652</v>
      </c>
      <c r="M1126">
        <v>26.83</v>
      </c>
      <c r="N1126">
        <v>13.86</v>
      </c>
    </row>
    <row r="1127" spans="1:14" x14ac:dyDescent="0.35">
      <c r="A1127" s="1" t="s">
        <v>1139</v>
      </c>
      <c r="B1127" t="str">
        <f>HYPERLINK("https://www.suredividend.com/sure-analysis-research-database/","OFG Bancorp")</f>
        <v>OFG Bancorp</v>
      </c>
      <c r="C1127" t="s">
        <v>1801</v>
      </c>
      <c r="D1127">
        <v>30.2</v>
      </c>
      <c r="E1127">
        <v>2.8144221375693002E-2</v>
      </c>
      <c r="F1127">
        <v>9.9999999999999867E-2</v>
      </c>
      <c r="G1127">
        <v>0.25737530980244538</v>
      </c>
      <c r="H1127">
        <v>0.84995548554592903</v>
      </c>
      <c r="I1127">
        <v>1423.362421</v>
      </c>
      <c r="J1127">
        <v>7.9656295957199141</v>
      </c>
      <c r="K1127">
        <v>0.22726082501228051</v>
      </c>
      <c r="L1127">
        <v>0.88445958295758109</v>
      </c>
      <c r="M1127">
        <v>34.04</v>
      </c>
      <c r="N1127">
        <v>21.98</v>
      </c>
    </row>
    <row r="1128" spans="1:14" x14ac:dyDescent="0.35">
      <c r="A1128" s="1" t="s">
        <v>1140</v>
      </c>
      <c r="B1128" t="str">
        <f>HYPERLINK("https://www.suredividend.com/sure-analysis-research-database/","Orthofix Medical Inc")</f>
        <v>Orthofix Medical Inc</v>
      </c>
      <c r="C1128" t="s">
        <v>1803</v>
      </c>
      <c r="D1128">
        <v>12.43</v>
      </c>
      <c r="E1128">
        <v>0</v>
      </c>
      <c r="F1128" t="s">
        <v>1798</v>
      </c>
      <c r="G1128" t="s">
        <v>1798</v>
      </c>
      <c r="H1128">
        <v>0</v>
      </c>
      <c r="I1128">
        <v>456.66180500000002</v>
      </c>
      <c r="J1128" t="s">
        <v>1798</v>
      </c>
      <c r="K1128">
        <v>0</v>
      </c>
      <c r="L1128">
        <v>1.1272699816933389</v>
      </c>
      <c r="M1128">
        <v>23.19</v>
      </c>
      <c r="N1128">
        <v>10.54</v>
      </c>
    </row>
    <row r="1129" spans="1:14" x14ac:dyDescent="0.35">
      <c r="A1129" s="1" t="s">
        <v>1141</v>
      </c>
      <c r="B1129" t="str">
        <f>HYPERLINK("https://www.suredividend.com/sure-analysis-research-database/","Omega Flex Inc")</f>
        <v>Omega Flex Inc</v>
      </c>
      <c r="C1129" t="s">
        <v>1799</v>
      </c>
      <c r="D1129">
        <v>76.5</v>
      </c>
      <c r="E1129">
        <v>1.6814353065793E-2</v>
      </c>
      <c r="F1129">
        <v>3.125E-2</v>
      </c>
      <c r="G1129">
        <v>6.5762756635474373E-2</v>
      </c>
      <c r="H1129">
        <v>1.286298009533192</v>
      </c>
      <c r="I1129">
        <v>772.21563300000003</v>
      </c>
      <c r="J1129">
        <v>33.546880099048607</v>
      </c>
      <c r="K1129">
        <v>0.56416579365490871</v>
      </c>
      <c r="L1129">
        <v>1.0044345174588989</v>
      </c>
      <c r="M1129">
        <v>125.91</v>
      </c>
      <c r="N1129">
        <v>75.489999999999995</v>
      </c>
    </row>
    <row r="1130" spans="1:14" x14ac:dyDescent="0.35">
      <c r="A1130" s="1" t="s">
        <v>1142</v>
      </c>
      <c r="B1130" t="str">
        <f>HYPERLINK("https://www.suredividend.com/sure-analysis-OGS/","ONE Gas Inc")</f>
        <v>ONE Gas Inc</v>
      </c>
      <c r="C1130" t="s">
        <v>1806</v>
      </c>
      <c r="D1130">
        <v>69.11</v>
      </c>
      <c r="E1130">
        <v>3.762118362031544E-2</v>
      </c>
      <c r="F1130">
        <v>4.8387096774193512E-2</v>
      </c>
      <c r="G1130">
        <v>7.1596052225361806E-2</v>
      </c>
      <c r="H1130">
        <v>2.5381744755569939</v>
      </c>
      <c r="I1130">
        <v>3832.1748630000002</v>
      </c>
      <c r="J1130">
        <v>16.95330031617878</v>
      </c>
      <c r="K1130">
        <v>0.61906694525780348</v>
      </c>
      <c r="L1130">
        <v>0.55943647512795303</v>
      </c>
      <c r="M1130">
        <v>86.81</v>
      </c>
      <c r="N1130">
        <v>64.48</v>
      </c>
    </row>
    <row r="1131" spans="1:14" x14ac:dyDescent="0.35">
      <c r="A1131" s="1" t="s">
        <v>1143</v>
      </c>
      <c r="B1131" t="str">
        <f>HYPERLINK("https://www.suredividend.com/sure-analysis-research-database/","O-I Glass Inc")</f>
        <v>O-I Glass Inc</v>
      </c>
      <c r="C1131" t="s">
        <v>1802</v>
      </c>
      <c r="D1131">
        <v>15.47</v>
      </c>
      <c r="E1131">
        <v>0</v>
      </c>
      <c r="F1131" t="s">
        <v>1798</v>
      </c>
      <c r="G1131" t="s">
        <v>1798</v>
      </c>
      <c r="H1131">
        <v>0</v>
      </c>
      <c r="I1131">
        <v>2398.7771939999998</v>
      </c>
      <c r="J1131">
        <v>0</v>
      </c>
      <c r="K1131" t="s">
        <v>1798</v>
      </c>
      <c r="L1131">
        <v>1.058406039053708</v>
      </c>
      <c r="M1131">
        <v>23.57</v>
      </c>
      <c r="N1131">
        <v>14.55</v>
      </c>
    </row>
    <row r="1132" spans="1:14" x14ac:dyDescent="0.35">
      <c r="A1132" s="1" t="s">
        <v>1144</v>
      </c>
      <c r="B1132" t="str">
        <f>HYPERLINK("https://www.suredividend.com/sure-analysis-research-database/","Oceaneering International, Inc.")</f>
        <v>Oceaneering International, Inc.</v>
      </c>
      <c r="C1132" t="s">
        <v>1808</v>
      </c>
      <c r="D1132">
        <v>25.06</v>
      </c>
      <c r="E1132">
        <v>0</v>
      </c>
      <c r="F1132" t="s">
        <v>1798</v>
      </c>
      <c r="G1132" t="s">
        <v>1798</v>
      </c>
      <c r="H1132">
        <v>0</v>
      </c>
      <c r="I1132">
        <v>2525.5356230000002</v>
      </c>
      <c r="J1132">
        <v>39.159840963205298</v>
      </c>
      <c r="K1132">
        <v>0</v>
      </c>
      <c r="L1132">
        <v>1.1291820047841521</v>
      </c>
      <c r="M1132">
        <v>27.46</v>
      </c>
      <c r="N1132">
        <v>8.9</v>
      </c>
    </row>
    <row r="1133" spans="1:14" x14ac:dyDescent="0.35">
      <c r="A1133" s="1" t="s">
        <v>1145</v>
      </c>
      <c r="B1133" t="str">
        <f>HYPERLINK("https://www.suredividend.com/sure-analysis-research-database/","Oil States International, Inc.")</f>
        <v>Oil States International, Inc.</v>
      </c>
      <c r="C1133" t="s">
        <v>1808</v>
      </c>
      <c r="D1133">
        <v>7.71</v>
      </c>
      <c r="E1133">
        <v>0</v>
      </c>
      <c r="F1133" t="s">
        <v>1798</v>
      </c>
      <c r="G1133" t="s">
        <v>1798</v>
      </c>
      <c r="H1133">
        <v>0</v>
      </c>
      <c r="I1133">
        <v>492.69109700000001</v>
      </c>
      <c r="J1133">
        <v>63.622300730888433</v>
      </c>
      <c r="K1133">
        <v>0</v>
      </c>
      <c r="L1133">
        <v>1.1831705687367291</v>
      </c>
      <c r="M1133">
        <v>10.47</v>
      </c>
      <c r="N1133">
        <v>4.43</v>
      </c>
    </row>
    <row r="1134" spans="1:14" x14ac:dyDescent="0.35">
      <c r="A1134" s="1" t="s">
        <v>1146</v>
      </c>
      <c r="B1134" t="str">
        <f>HYPERLINK("https://www.suredividend.com/sure-analysis-research-database/","Olo Inc")</f>
        <v>Olo Inc</v>
      </c>
      <c r="D1134">
        <v>5.54</v>
      </c>
      <c r="E1134">
        <v>0</v>
      </c>
      <c r="F1134" t="s">
        <v>1798</v>
      </c>
      <c r="G1134" t="s">
        <v>1798</v>
      </c>
      <c r="H1134">
        <v>0</v>
      </c>
      <c r="I1134">
        <v>600.36986100000001</v>
      </c>
      <c r="J1134" t="s">
        <v>1798</v>
      </c>
      <c r="K1134">
        <v>0</v>
      </c>
      <c r="L1134">
        <v>1.751427750931785</v>
      </c>
      <c r="M1134">
        <v>9.5500000000000007</v>
      </c>
      <c r="N1134">
        <v>5.51</v>
      </c>
    </row>
    <row r="1135" spans="1:14" x14ac:dyDescent="0.35">
      <c r="A1135" s="1" t="s">
        <v>1147</v>
      </c>
      <c r="B1135" t="str">
        <f>HYPERLINK("https://www.suredividend.com/sure-analysis-OLP/","One Liberty Properties, Inc.")</f>
        <v>One Liberty Properties, Inc.</v>
      </c>
      <c r="C1135" t="s">
        <v>1800</v>
      </c>
      <c r="D1135">
        <v>18.57</v>
      </c>
      <c r="E1135">
        <v>9.6930533117932149E-2</v>
      </c>
      <c r="F1135">
        <v>0</v>
      </c>
      <c r="G1135">
        <v>0</v>
      </c>
      <c r="H1135">
        <v>1.7398528115378029</v>
      </c>
      <c r="I1135">
        <v>395.70864999999998</v>
      </c>
      <c r="J1135">
        <v>14.76139254523072</v>
      </c>
      <c r="K1135">
        <v>1.3281319172044299</v>
      </c>
      <c r="L1135">
        <v>0.90551374336129609</v>
      </c>
      <c r="M1135">
        <v>23.13</v>
      </c>
      <c r="N1135">
        <v>17.55</v>
      </c>
    </row>
    <row r="1136" spans="1:14" x14ac:dyDescent="0.35">
      <c r="A1136" s="1" t="s">
        <v>1148</v>
      </c>
      <c r="B1136" t="str">
        <f>HYPERLINK("https://www.suredividend.com/sure-analysis-research-database/","Outset Medical Inc")</f>
        <v>Outset Medical Inc</v>
      </c>
      <c r="C1136" t="s">
        <v>1798</v>
      </c>
      <c r="D1136">
        <v>3.39</v>
      </c>
      <c r="E1136">
        <v>0</v>
      </c>
      <c r="F1136" t="s">
        <v>1798</v>
      </c>
      <c r="G1136" t="s">
        <v>1798</v>
      </c>
      <c r="H1136">
        <v>0</v>
      </c>
      <c r="I1136">
        <v>168.78881899999999</v>
      </c>
      <c r="J1136" t="s">
        <v>1798</v>
      </c>
      <c r="K1136">
        <v>0</v>
      </c>
      <c r="L1136">
        <v>1.4622386227835109</v>
      </c>
      <c r="M1136">
        <v>30.55</v>
      </c>
      <c r="N1136">
        <v>3.18</v>
      </c>
    </row>
    <row r="1137" spans="1:14" x14ac:dyDescent="0.35">
      <c r="A1137" s="1" t="s">
        <v>1149</v>
      </c>
      <c r="B1137" t="str">
        <f>HYPERLINK("https://www.suredividend.com/sure-analysis-research-database/","Omnicell, Inc.")</f>
        <v>Omnicell, Inc.</v>
      </c>
      <c r="C1137" t="s">
        <v>1803</v>
      </c>
      <c r="D1137">
        <v>42.14</v>
      </c>
      <c r="E1137">
        <v>0</v>
      </c>
      <c r="F1137" t="s">
        <v>1798</v>
      </c>
      <c r="G1137" t="s">
        <v>1798</v>
      </c>
      <c r="H1137">
        <v>0</v>
      </c>
      <c r="I1137">
        <v>1905.2354499999999</v>
      </c>
      <c r="J1137" t="s">
        <v>1798</v>
      </c>
      <c r="K1137">
        <v>0</v>
      </c>
      <c r="L1137">
        <v>1.72706930635557</v>
      </c>
      <c r="M1137">
        <v>81.760000000000005</v>
      </c>
      <c r="N1137">
        <v>42.07</v>
      </c>
    </row>
    <row r="1138" spans="1:14" x14ac:dyDescent="0.35">
      <c r="A1138" s="1" t="s">
        <v>1150</v>
      </c>
      <c r="B1138" t="str">
        <f>HYPERLINK("https://www.suredividend.com/sure-analysis-research-database/","Owens &amp; Minor, Inc.")</f>
        <v>Owens &amp; Minor, Inc.</v>
      </c>
      <c r="C1138" t="s">
        <v>1803</v>
      </c>
      <c r="D1138">
        <v>14.82</v>
      </c>
      <c r="E1138">
        <v>0</v>
      </c>
      <c r="F1138" t="s">
        <v>1798</v>
      </c>
      <c r="G1138" t="s">
        <v>1798</v>
      </c>
      <c r="H1138">
        <v>0</v>
      </c>
      <c r="I1138">
        <v>1134.18533</v>
      </c>
      <c r="J1138" t="s">
        <v>1798</v>
      </c>
      <c r="K1138">
        <v>0</v>
      </c>
      <c r="L1138">
        <v>1.9197254910836039</v>
      </c>
      <c r="M1138">
        <v>22.86</v>
      </c>
      <c r="N1138">
        <v>11.79</v>
      </c>
    </row>
    <row r="1139" spans="1:14" x14ac:dyDescent="0.35">
      <c r="A1139" s="1" t="s">
        <v>1151</v>
      </c>
      <c r="B1139" t="str">
        <f>HYPERLINK("https://www.suredividend.com/sure-analysis-research-database/","Singular Genomics Systems Inc")</f>
        <v>Singular Genomics Systems Inc</v>
      </c>
      <c r="C1139" t="s">
        <v>1798</v>
      </c>
      <c r="D1139">
        <v>0.3755</v>
      </c>
      <c r="E1139">
        <v>0</v>
      </c>
      <c r="F1139" t="s">
        <v>1798</v>
      </c>
      <c r="G1139" t="s">
        <v>1798</v>
      </c>
      <c r="H1139">
        <v>0</v>
      </c>
      <c r="I1139">
        <v>27.458618000000001</v>
      </c>
      <c r="J1139">
        <v>0</v>
      </c>
      <c r="K1139" t="s">
        <v>1798</v>
      </c>
      <c r="L1139">
        <v>1.670255547619659</v>
      </c>
      <c r="M1139">
        <v>3</v>
      </c>
      <c r="N1139">
        <v>0.32100000000000001</v>
      </c>
    </row>
    <row r="1140" spans="1:14" x14ac:dyDescent="0.35">
      <c r="A1140" s="1" t="s">
        <v>1152</v>
      </c>
      <c r="B1140" t="str">
        <f>HYPERLINK("https://www.suredividend.com/sure-analysis-research-database/","Old National Bancorp")</f>
        <v>Old National Bancorp</v>
      </c>
      <c r="C1140" t="s">
        <v>1801</v>
      </c>
      <c r="D1140">
        <v>13.97</v>
      </c>
      <c r="E1140">
        <v>3.9305409290300013E-2</v>
      </c>
      <c r="F1140">
        <v>0</v>
      </c>
      <c r="G1140">
        <v>1.493197894539389E-2</v>
      </c>
      <c r="H1140">
        <v>0.54909656778550009</v>
      </c>
      <c r="I1140">
        <v>4087.5800899999999</v>
      </c>
      <c r="J1140">
        <v>6.5256255936806049</v>
      </c>
      <c r="K1140">
        <v>0.25658718120817758</v>
      </c>
      <c r="L1140">
        <v>0.93956952478859013</v>
      </c>
      <c r="M1140">
        <v>19.27</v>
      </c>
      <c r="N1140">
        <v>11.3</v>
      </c>
    </row>
    <row r="1141" spans="1:14" x14ac:dyDescent="0.35">
      <c r="A1141" s="1" t="s">
        <v>1153</v>
      </c>
      <c r="B1141" t="str">
        <f>HYPERLINK("https://www.suredividend.com/sure-analysis-research-database/","Ondas Holdings Inc")</f>
        <v>Ondas Holdings Inc</v>
      </c>
      <c r="C1141" t="s">
        <v>1804</v>
      </c>
      <c r="D1141">
        <v>0.38900000000000001</v>
      </c>
      <c r="E1141">
        <v>0</v>
      </c>
      <c r="F1141" t="s">
        <v>1798</v>
      </c>
      <c r="G1141" t="s">
        <v>1798</v>
      </c>
      <c r="H1141">
        <v>0</v>
      </c>
      <c r="I1141">
        <v>21.466818</v>
      </c>
      <c r="J1141" t="s">
        <v>1798</v>
      </c>
      <c r="K1141">
        <v>0</v>
      </c>
      <c r="L1141">
        <v>2.1640432940290122</v>
      </c>
      <c r="M1141">
        <v>4.6100000000000003</v>
      </c>
      <c r="N1141">
        <v>0.37109999999999999</v>
      </c>
    </row>
    <row r="1142" spans="1:14" x14ac:dyDescent="0.35">
      <c r="A1142" s="1" t="s">
        <v>1154</v>
      </c>
      <c r="B1142" t="str">
        <f>HYPERLINK("https://www.suredividend.com/sure-analysis-research-database/","Onewater Marine Inc")</f>
        <v>Onewater Marine Inc</v>
      </c>
      <c r="C1142" t="s">
        <v>1802</v>
      </c>
      <c r="D1142">
        <v>23.15</v>
      </c>
      <c r="E1142">
        <v>0</v>
      </c>
      <c r="F1142" t="s">
        <v>1798</v>
      </c>
      <c r="G1142" t="s">
        <v>1798</v>
      </c>
      <c r="H1142">
        <v>0</v>
      </c>
      <c r="I1142">
        <v>332.36832299999998</v>
      </c>
      <c r="J1142">
        <v>4.2111919347481779</v>
      </c>
      <c r="K1142">
        <v>0</v>
      </c>
      <c r="L1142">
        <v>1.048850673254605</v>
      </c>
      <c r="M1142">
        <v>39.15</v>
      </c>
      <c r="N1142">
        <v>22.82</v>
      </c>
    </row>
    <row r="1143" spans="1:14" x14ac:dyDescent="0.35">
      <c r="A1143" s="1" t="s">
        <v>1155</v>
      </c>
      <c r="B1143" t="str">
        <f>HYPERLINK("https://www.suredividend.com/sure-analysis-research-database/","Orion Office REIT Inc")</f>
        <v>Orion Office REIT Inc</v>
      </c>
      <c r="C1143" t="s">
        <v>1798</v>
      </c>
      <c r="D1143">
        <v>4.8499999999999996</v>
      </c>
      <c r="E1143">
        <v>8.0377233668121009E-2</v>
      </c>
      <c r="F1143" t="s">
        <v>1798</v>
      </c>
      <c r="G1143" t="s">
        <v>1798</v>
      </c>
      <c r="H1143">
        <v>0.38982958329038903</v>
      </c>
      <c r="I1143">
        <v>274.97410100000002</v>
      </c>
      <c r="J1143" t="s">
        <v>1798</v>
      </c>
      <c r="K1143" t="s">
        <v>1798</v>
      </c>
      <c r="L1143">
        <v>1.099839423203983</v>
      </c>
      <c r="M1143">
        <v>9.35</v>
      </c>
      <c r="N1143">
        <v>4.41</v>
      </c>
    </row>
    <row r="1144" spans="1:14" x14ac:dyDescent="0.35">
      <c r="A1144" s="1" t="s">
        <v>1156</v>
      </c>
      <c r="B1144" t="str">
        <f>HYPERLINK("https://www.suredividend.com/sure-analysis-research-database/","ON24 Inc")</f>
        <v>ON24 Inc</v>
      </c>
      <c r="C1144" t="s">
        <v>1798</v>
      </c>
      <c r="D1144">
        <v>6.19</v>
      </c>
      <c r="E1144">
        <v>0</v>
      </c>
      <c r="F1144" t="s">
        <v>1798</v>
      </c>
      <c r="G1144" t="s">
        <v>1798</v>
      </c>
      <c r="H1144">
        <v>0</v>
      </c>
      <c r="I1144">
        <v>271.76952399999999</v>
      </c>
      <c r="J1144" t="s">
        <v>1798</v>
      </c>
      <c r="K1144">
        <v>0</v>
      </c>
      <c r="L1144">
        <v>1.0347153369941431</v>
      </c>
      <c r="M1144">
        <v>9.67</v>
      </c>
      <c r="N1144">
        <v>5.91</v>
      </c>
    </row>
    <row r="1145" spans="1:14" x14ac:dyDescent="0.35">
      <c r="A1145" s="1" t="s">
        <v>1157</v>
      </c>
      <c r="B1145" t="str">
        <f>HYPERLINK("https://www.suredividend.com/sure-analysis-research-database/","Onto Innovation Inc.")</f>
        <v>Onto Innovation Inc.</v>
      </c>
      <c r="C1145" t="s">
        <v>1804</v>
      </c>
      <c r="D1145">
        <v>138.1</v>
      </c>
      <c r="E1145">
        <v>0</v>
      </c>
      <c r="F1145" t="s">
        <v>1798</v>
      </c>
      <c r="G1145" t="s">
        <v>1798</v>
      </c>
      <c r="H1145">
        <v>0</v>
      </c>
      <c r="I1145">
        <v>6780.71</v>
      </c>
      <c r="J1145">
        <v>39.106019274134482</v>
      </c>
      <c r="K1145">
        <v>0</v>
      </c>
      <c r="L1145">
        <v>1.7585232440408549</v>
      </c>
      <c r="M1145">
        <v>147.72</v>
      </c>
      <c r="N1145">
        <v>58.92</v>
      </c>
    </row>
    <row r="1146" spans="1:14" x14ac:dyDescent="0.35">
      <c r="A1146" s="1" t="s">
        <v>1158</v>
      </c>
      <c r="B1146" t="str">
        <f>HYPERLINK("https://www.suredividend.com/sure-analysis-research-database/","Ooma Inc")</f>
        <v>Ooma Inc</v>
      </c>
      <c r="C1146" t="s">
        <v>1807</v>
      </c>
      <c r="D1146">
        <v>12.07</v>
      </c>
      <c r="E1146">
        <v>0</v>
      </c>
      <c r="F1146" t="s">
        <v>1798</v>
      </c>
      <c r="G1146" t="s">
        <v>1798</v>
      </c>
      <c r="H1146">
        <v>0</v>
      </c>
      <c r="I1146">
        <v>308.99200000000002</v>
      </c>
      <c r="J1146" t="s">
        <v>1798</v>
      </c>
      <c r="K1146">
        <v>0</v>
      </c>
      <c r="L1146">
        <v>0.83412356112057007</v>
      </c>
      <c r="M1146">
        <v>16.77</v>
      </c>
      <c r="N1146">
        <v>11.29</v>
      </c>
    </row>
    <row r="1147" spans="1:14" x14ac:dyDescent="0.35">
      <c r="A1147" s="1" t="s">
        <v>1159</v>
      </c>
      <c r="B1147" t="str">
        <f>HYPERLINK("https://www.suredividend.com/sure-analysis-research-database/","Offerpad Solutions Inc")</f>
        <v>Offerpad Solutions Inc</v>
      </c>
      <c r="C1147" t="s">
        <v>1798</v>
      </c>
      <c r="D1147">
        <v>8.73</v>
      </c>
      <c r="E1147">
        <v>0</v>
      </c>
      <c r="F1147" t="s">
        <v>1798</v>
      </c>
      <c r="G1147" t="s">
        <v>1798</v>
      </c>
      <c r="H1147">
        <v>0</v>
      </c>
      <c r="I1147">
        <v>237.67871099999999</v>
      </c>
      <c r="J1147" t="s">
        <v>1798</v>
      </c>
      <c r="K1147">
        <v>0</v>
      </c>
      <c r="L1147">
        <v>2.442402484714651</v>
      </c>
      <c r="M1147">
        <v>19.350000000000001</v>
      </c>
      <c r="N1147">
        <v>5.63</v>
      </c>
    </row>
    <row r="1148" spans="1:14" x14ac:dyDescent="0.35">
      <c r="A1148" s="1" t="s">
        <v>1160</v>
      </c>
      <c r="B1148" t="str">
        <f>HYPERLINK("https://www.suredividend.com/sure-analysis-research-database/","Option Care Health Inc.")</f>
        <v>Option Care Health Inc.</v>
      </c>
      <c r="C1148" t="s">
        <v>1803</v>
      </c>
      <c r="D1148">
        <v>32.130000000000003</v>
      </c>
      <c r="E1148">
        <v>0</v>
      </c>
      <c r="F1148" t="s">
        <v>1798</v>
      </c>
      <c r="G1148" t="s">
        <v>1798</v>
      </c>
      <c r="H1148">
        <v>0</v>
      </c>
      <c r="I1148">
        <v>5779.438564</v>
      </c>
      <c r="J1148">
        <v>24.084707074757361</v>
      </c>
      <c r="K1148">
        <v>0</v>
      </c>
      <c r="L1148">
        <v>0.76683870801490606</v>
      </c>
      <c r="M1148">
        <v>35.869999999999997</v>
      </c>
      <c r="N1148">
        <v>24.23</v>
      </c>
    </row>
    <row r="1149" spans="1:14" x14ac:dyDescent="0.35">
      <c r="A1149" s="1" t="s">
        <v>1161</v>
      </c>
      <c r="B1149" t="str">
        <f>HYPERLINK("https://www.suredividend.com/sure-analysis-research-database/","OppFi Inc")</f>
        <v>OppFi Inc</v>
      </c>
      <c r="C1149" t="s">
        <v>1798</v>
      </c>
      <c r="D1149">
        <v>2.21</v>
      </c>
      <c r="E1149">
        <v>0</v>
      </c>
      <c r="F1149" t="s">
        <v>1798</v>
      </c>
      <c r="G1149" t="s">
        <v>1798</v>
      </c>
      <c r="H1149">
        <v>0</v>
      </c>
      <c r="I1149">
        <v>36.547336000000001</v>
      </c>
      <c r="J1149">
        <v>0</v>
      </c>
      <c r="K1149" t="s">
        <v>1798</v>
      </c>
      <c r="L1149">
        <v>0.91823954805680408</v>
      </c>
      <c r="M1149">
        <v>2.74</v>
      </c>
      <c r="N1149">
        <v>1.7</v>
      </c>
    </row>
    <row r="1150" spans="1:14" x14ac:dyDescent="0.35">
      <c r="A1150" s="1" t="s">
        <v>1162</v>
      </c>
      <c r="B1150" t="str">
        <f>HYPERLINK("https://www.suredividend.com/sure-analysis-OPI/","Office Properties Income Trust")</f>
        <v>Office Properties Income Trust</v>
      </c>
      <c r="C1150" t="s">
        <v>1800</v>
      </c>
      <c r="D1150">
        <v>4.45</v>
      </c>
      <c r="E1150">
        <v>0.2247191011235955</v>
      </c>
      <c r="F1150">
        <v>-0.54545454545454541</v>
      </c>
      <c r="G1150">
        <v>-0.1027895761164154</v>
      </c>
      <c r="H1150">
        <v>1.434556573741127</v>
      </c>
      <c r="I1150">
        <v>216.210971</v>
      </c>
      <c r="J1150">
        <v>20.271045448153011</v>
      </c>
      <c r="K1150">
        <v>6.5000297858682687</v>
      </c>
      <c r="L1150">
        <v>1.386143015913597</v>
      </c>
      <c r="M1150">
        <v>15.88</v>
      </c>
      <c r="N1150">
        <v>3.75</v>
      </c>
    </row>
    <row r="1151" spans="1:14" x14ac:dyDescent="0.35">
      <c r="A1151" s="1" t="s">
        <v>1163</v>
      </c>
      <c r="B1151" t="str">
        <f>HYPERLINK("https://www.suredividend.com/sure-analysis-research-database/","Opko Health Inc")</f>
        <v>Opko Health Inc</v>
      </c>
      <c r="C1151" t="s">
        <v>1803</v>
      </c>
      <c r="D1151">
        <v>1.35</v>
      </c>
      <c r="E1151">
        <v>0</v>
      </c>
      <c r="F1151" t="s">
        <v>1798</v>
      </c>
      <c r="G1151" t="s">
        <v>1798</v>
      </c>
      <c r="H1151">
        <v>0</v>
      </c>
      <c r="I1151">
        <v>1043.6263200000001</v>
      </c>
      <c r="J1151" t="s">
        <v>1798</v>
      </c>
      <c r="K1151">
        <v>0</v>
      </c>
      <c r="L1151">
        <v>1.37261295808515</v>
      </c>
      <c r="M1151">
        <v>2.2400000000000002</v>
      </c>
      <c r="N1151">
        <v>1</v>
      </c>
    </row>
    <row r="1152" spans="1:14" x14ac:dyDescent="0.35">
      <c r="A1152" s="1" t="s">
        <v>1164</v>
      </c>
      <c r="B1152" t="str">
        <f>HYPERLINK("https://www.suredividend.com/sure-analysis-research-database/","Oportun Financial Corp")</f>
        <v>Oportun Financial Corp</v>
      </c>
      <c r="C1152" t="s">
        <v>1801</v>
      </c>
      <c r="D1152">
        <v>6.83</v>
      </c>
      <c r="E1152">
        <v>0</v>
      </c>
      <c r="F1152" t="s">
        <v>1798</v>
      </c>
      <c r="G1152" t="s">
        <v>1798</v>
      </c>
      <c r="H1152">
        <v>0</v>
      </c>
      <c r="I1152">
        <v>232.52346399999999</v>
      </c>
      <c r="J1152" t="s">
        <v>1798</v>
      </c>
      <c r="K1152">
        <v>0</v>
      </c>
      <c r="L1152">
        <v>1.555597543440653</v>
      </c>
      <c r="M1152">
        <v>8.06</v>
      </c>
      <c r="N1152">
        <v>2.19</v>
      </c>
    </row>
    <row r="1153" spans="1:14" x14ac:dyDescent="0.35">
      <c r="A1153" s="1" t="s">
        <v>1165</v>
      </c>
      <c r="B1153" t="str">
        <f>HYPERLINK("https://www.suredividend.com/sure-analysis-research-database/","OptimizeRx Corp")</f>
        <v>OptimizeRx Corp</v>
      </c>
      <c r="C1153" t="s">
        <v>1803</v>
      </c>
      <c r="D1153">
        <v>8.49</v>
      </c>
      <c r="E1153">
        <v>0</v>
      </c>
      <c r="F1153" t="s">
        <v>1798</v>
      </c>
      <c r="G1153" t="s">
        <v>1798</v>
      </c>
      <c r="H1153">
        <v>0</v>
      </c>
      <c r="I1153">
        <v>141.255695</v>
      </c>
      <c r="J1153" t="s">
        <v>1798</v>
      </c>
      <c r="K1153">
        <v>0</v>
      </c>
      <c r="L1153">
        <v>1.3967736178638659</v>
      </c>
      <c r="M1153">
        <v>22.77</v>
      </c>
      <c r="N1153">
        <v>6.92</v>
      </c>
    </row>
    <row r="1154" spans="1:14" x14ac:dyDescent="0.35">
      <c r="A1154" s="1" t="s">
        <v>1166</v>
      </c>
      <c r="B1154" t="str">
        <f>HYPERLINK("https://www.suredividend.com/sure-analysis-research-database/","Oppenheimer Holdings Inc")</f>
        <v>Oppenheimer Holdings Inc</v>
      </c>
      <c r="C1154" t="s">
        <v>1801</v>
      </c>
      <c r="D1154">
        <v>36.159999999999997</v>
      </c>
      <c r="E1154">
        <v>1.6480840089728999E-2</v>
      </c>
      <c r="F1154">
        <v>0</v>
      </c>
      <c r="G1154">
        <v>4.5639552591273169E-2</v>
      </c>
      <c r="H1154">
        <v>0.59594717764461103</v>
      </c>
      <c r="I1154">
        <v>377.93589500000002</v>
      </c>
      <c r="J1154">
        <v>11.75539330388802</v>
      </c>
      <c r="K1154">
        <v>0.22236834986739221</v>
      </c>
      <c r="L1154">
        <v>0.62073783795250803</v>
      </c>
      <c r="M1154">
        <v>48.77</v>
      </c>
      <c r="N1154">
        <v>28.33</v>
      </c>
    </row>
    <row r="1155" spans="1:14" x14ac:dyDescent="0.35">
      <c r="A1155" s="1" t="s">
        <v>1167</v>
      </c>
      <c r="B1155" t="str">
        <f>HYPERLINK("https://www.suredividend.com/sure-analysis-research-database/","Ormat Technologies Inc")</f>
        <v>Ormat Technologies Inc</v>
      </c>
      <c r="C1155" t="s">
        <v>1806</v>
      </c>
      <c r="D1155">
        <v>67.22</v>
      </c>
      <c r="E1155">
        <v>7.1248945251090002E-3</v>
      </c>
      <c r="F1155">
        <v>0</v>
      </c>
      <c r="G1155">
        <v>3.7137289336648172E-2</v>
      </c>
      <c r="H1155">
        <v>0.47893540997788497</v>
      </c>
      <c r="I1155">
        <v>4050.6996509999999</v>
      </c>
      <c r="J1155">
        <v>45.324542093967843</v>
      </c>
      <c r="K1155">
        <v>0.30899058708250648</v>
      </c>
      <c r="L1155">
        <v>0.76137607322906409</v>
      </c>
      <c r="M1155">
        <v>101.25</v>
      </c>
      <c r="N1155">
        <v>65.11</v>
      </c>
    </row>
    <row r="1156" spans="1:14" x14ac:dyDescent="0.35">
      <c r="A1156" s="1" t="s">
        <v>1168</v>
      </c>
      <c r="B1156" t="str">
        <f>HYPERLINK("https://www.suredividend.com/sure-analysis-ORC/","Orchid Island Capital Inc")</f>
        <v>Orchid Island Capital Inc</v>
      </c>
      <c r="C1156" t="s">
        <v>1800</v>
      </c>
      <c r="D1156">
        <v>7.44</v>
      </c>
      <c r="E1156">
        <v>0.25806451612903231</v>
      </c>
      <c r="F1156">
        <v>0</v>
      </c>
      <c r="G1156">
        <v>0.23808784136769121</v>
      </c>
      <c r="H1156">
        <v>1.7625603432939061</v>
      </c>
      <c r="I1156">
        <v>326.59151500000002</v>
      </c>
      <c r="J1156" t="s">
        <v>1798</v>
      </c>
      <c r="K1156" t="s">
        <v>1798</v>
      </c>
      <c r="L1156">
        <v>0.99791908629607307</v>
      </c>
      <c r="M1156">
        <v>11.17</v>
      </c>
      <c r="N1156">
        <v>7.29</v>
      </c>
    </row>
    <row r="1157" spans="1:14" x14ac:dyDescent="0.35">
      <c r="A1157" s="1" t="s">
        <v>1169</v>
      </c>
      <c r="B1157" t="str">
        <f>HYPERLINK("https://www.suredividend.com/sure-analysis-research-database/","Origin Materials Inc")</f>
        <v>Origin Materials Inc</v>
      </c>
      <c r="C1157" t="s">
        <v>1798</v>
      </c>
      <c r="D1157">
        <v>1.03</v>
      </c>
      <c r="E1157">
        <v>0</v>
      </c>
      <c r="F1157" t="s">
        <v>1798</v>
      </c>
      <c r="G1157" t="s">
        <v>1798</v>
      </c>
      <c r="H1157">
        <v>0</v>
      </c>
      <c r="I1157">
        <v>147.82108199999999</v>
      </c>
      <c r="J1157">
        <v>0</v>
      </c>
      <c r="K1157" t="s">
        <v>1798</v>
      </c>
      <c r="L1157">
        <v>1.555041403049823</v>
      </c>
      <c r="M1157">
        <v>6.26</v>
      </c>
      <c r="N1157">
        <v>0.86040000000000005</v>
      </c>
    </row>
    <row r="1158" spans="1:14" x14ac:dyDescent="0.35">
      <c r="A1158" s="1" t="s">
        <v>1170</v>
      </c>
      <c r="B1158" t="str">
        <f>HYPERLINK("https://www.suredividend.com/sure-analysis-research-database/","Organogenesis Holdings Inc")</f>
        <v>Organogenesis Holdings Inc</v>
      </c>
      <c r="C1158" t="s">
        <v>1803</v>
      </c>
      <c r="D1158">
        <v>2.36</v>
      </c>
      <c r="E1158">
        <v>0</v>
      </c>
      <c r="F1158" t="s">
        <v>1798</v>
      </c>
      <c r="G1158" t="s">
        <v>1798</v>
      </c>
      <c r="H1158">
        <v>0</v>
      </c>
      <c r="I1158">
        <v>309.89597099999997</v>
      </c>
      <c r="J1158">
        <v>34.250217807250223</v>
      </c>
      <c r="K1158">
        <v>0</v>
      </c>
      <c r="L1158">
        <v>1.0989480015030371</v>
      </c>
      <c r="M1158">
        <v>4.5</v>
      </c>
      <c r="N1158">
        <v>1.8</v>
      </c>
    </row>
    <row r="1159" spans="1:14" x14ac:dyDescent="0.35">
      <c r="A1159" s="1" t="s">
        <v>1171</v>
      </c>
      <c r="B1159" t="str">
        <f>HYPERLINK("https://www.suredividend.com/sure-analysis-research-database/","Orrstown Financial Services, Inc.")</f>
        <v>Orrstown Financial Services, Inc.</v>
      </c>
      <c r="C1159" t="s">
        <v>1801</v>
      </c>
      <c r="D1159">
        <v>20.96</v>
      </c>
      <c r="E1159">
        <v>3.6697558717313998E-2</v>
      </c>
      <c r="F1159" t="s">
        <v>1798</v>
      </c>
      <c r="G1159" t="s">
        <v>1798</v>
      </c>
      <c r="H1159">
        <v>0.76918083071491605</v>
      </c>
      <c r="I1159">
        <v>222.415468</v>
      </c>
      <c r="J1159">
        <v>9.3483300268998004</v>
      </c>
      <c r="K1159">
        <v>0.33884618093168112</v>
      </c>
      <c r="L1159">
        <v>0.62075852570259205</v>
      </c>
      <c r="M1159">
        <v>27.03</v>
      </c>
      <c r="N1159">
        <v>15.26</v>
      </c>
    </row>
    <row r="1160" spans="1:14" x14ac:dyDescent="0.35">
      <c r="A1160" s="1" t="s">
        <v>1172</v>
      </c>
      <c r="B1160" t="str">
        <f>HYPERLINK("https://www.suredividend.com/sure-analysis-research-database/","Old Second Bancorporation Inc.")</f>
        <v>Old Second Bancorporation Inc.</v>
      </c>
      <c r="C1160" t="s">
        <v>1801</v>
      </c>
      <c r="D1160">
        <v>13.37</v>
      </c>
      <c r="E1160">
        <v>1.4851386769005E-2</v>
      </c>
      <c r="F1160">
        <v>0</v>
      </c>
      <c r="G1160">
        <v>0.3797296614612149</v>
      </c>
      <c r="H1160">
        <v>0.198563041101607</v>
      </c>
      <c r="I1160">
        <v>597.30551200000002</v>
      </c>
      <c r="J1160">
        <v>6.4708582457451751</v>
      </c>
      <c r="K1160">
        <v>9.733482406941521E-2</v>
      </c>
      <c r="L1160">
        <v>1.042396782565451</v>
      </c>
      <c r="M1160">
        <v>17.54</v>
      </c>
      <c r="N1160">
        <v>10.76</v>
      </c>
    </row>
    <row r="1161" spans="1:14" x14ac:dyDescent="0.35">
      <c r="A1161" s="1" t="s">
        <v>1173</v>
      </c>
      <c r="B1161" t="str">
        <f>HYPERLINK("https://www.suredividend.com/sure-analysis-research-database/","Oscar Health Inc")</f>
        <v>Oscar Health Inc</v>
      </c>
      <c r="C1161" t="s">
        <v>1798</v>
      </c>
      <c r="D1161">
        <v>4.93</v>
      </c>
      <c r="E1161">
        <v>0</v>
      </c>
      <c r="F1161" t="s">
        <v>1798</v>
      </c>
      <c r="G1161" t="s">
        <v>1798</v>
      </c>
      <c r="H1161">
        <v>0</v>
      </c>
      <c r="I1161">
        <v>920.87407900000005</v>
      </c>
      <c r="J1161" t="s">
        <v>1798</v>
      </c>
      <c r="K1161">
        <v>0</v>
      </c>
      <c r="L1161">
        <v>1.6652586128221909</v>
      </c>
      <c r="M1161">
        <v>9.89</v>
      </c>
      <c r="N1161">
        <v>2.0499999999999998</v>
      </c>
    </row>
    <row r="1162" spans="1:14" x14ac:dyDescent="0.35">
      <c r="A1162" s="1" t="s">
        <v>1174</v>
      </c>
      <c r="B1162" t="str">
        <f>HYPERLINK("https://www.suredividend.com/sure-analysis-research-database/","OSI Systems, Inc.")</f>
        <v>OSI Systems, Inc.</v>
      </c>
      <c r="C1162" t="s">
        <v>1804</v>
      </c>
      <c r="D1162">
        <v>117.35</v>
      </c>
      <c r="E1162">
        <v>0</v>
      </c>
      <c r="F1162" t="s">
        <v>1798</v>
      </c>
      <c r="G1162" t="s">
        <v>1798</v>
      </c>
      <c r="H1162">
        <v>0</v>
      </c>
      <c r="I1162">
        <v>1971.393865</v>
      </c>
      <c r="J1162">
        <v>21.480026423543769</v>
      </c>
      <c r="K1162">
        <v>0</v>
      </c>
      <c r="L1162">
        <v>0.72723516555823609</v>
      </c>
      <c r="M1162">
        <v>139.9</v>
      </c>
      <c r="N1162">
        <v>70.459999999999994</v>
      </c>
    </row>
    <row r="1163" spans="1:14" x14ac:dyDescent="0.35">
      <c r="A1163" s="1" t="s">
        <v>1175</v>
      </c>
      <c r="B1163" t="str">
        <f>HYPERLINK("https://www.suredividend.com/sure-analysis-research-database/","OneSpan Inc")</f>
        <v>OneSpan Inc</v>
      </c>
      <c r="C1163" t="s">
        <v>1804</v>
      </c>
      <c r="D1163">
        <v>9.0299999999999994</v>
      </c>
      <c r="E1163">
        <v>0</v>
      </c>
      <c r="F1163" t="s">
        <v>1798</v>
      </c>
      <c r="G1163" t="s">
        <v>1798</v>
      </c>
      <c r="H1163">
        <v>0</v>
      </c>
      <c r="I1163">
        <v>361.00618900000001</v>
      </c>
      <c r="J1163" t="s">
        <v>1798</v>
      </c>
      <c r="K1163">
        <v>0</v>
      </c>
      <c r="L1163">
        <v>0.89893870705432211</v>
      </c>
      <c r="M1163">
        <v>19.25</v>
      </c>
      <c r="N1163">
        <v>8.8699999999999992</v>
      </c>
    </row>
    <row r="1164" spans="1:14" x14ac:dyDescent="0.35">
      <c r="A1164" s="1" t="s">
        <v>1176</v>
      </c>
      <c r="B1164" t="str">
        <f>HYPERLINK("https://www.suredividend.com/sure-analysis-research-database/","Overstock.com Inc")</f>
        <v>Overstock.com Inc</v>
      </c>
      <c r="C1164" t="s">
        <v>1802</v>
      </c>
      <c r="D1164">
        <v>15.02</v>
      </c>
      <c r="E1164">
        <v>0</v>
      </c>
      <c r="F1164" t="s">
        <v>1798</v>
      </c>
      <c r="G1164" t="s">
        <v>1798</v>
      </c>
      <c r="H1164">
        <v>0</v>
      </c>
      <c r="I1164">
        <v>678.95134299999995</v>
      </c>
      <c r="J1164" t="s">
        <v>1798</v>
      </c>
      <c r="K1164">
        <v>0</v>
      </c>
      <c r="L1164">
        <v>2.0767882756405478</v>
      </c>
      <c r="M1164">
        <v>39.270000000000003</v>
      </c>
      <c r="N1164">
        <v>14.82</v>
      </c>
    </row>
    <row r="1165" spans="1:14" x14ac:dyDescent="0.35">
      <c r="A1165" s="1" t="s">
        <v>1177</v>
      </c>
      <c r="B1165" t="str">
        <f>HYPERLINK("https://www.suredividend.com/sure-analysis-research-database/","Orasure Technologies Inc.")</f>
        <v>Orasure Technologies Inc.</v>
      </c>
      <c r="C1165" t="s">
        <v>1803</v>
      </c>
      <c r="D1165">
        <v>5.38</v>
      </c>
      <c r="E1165">
        <v>0</v>
      </c>
      <c r="F1165" t="s">
        <v>1798</v>
      </c>
      <c r="G1165" t="s">
        <v>1798</v>
      </c>
      <c r="H1165">
        <v>0</v>
      </c>
      <c r="I1165">
        <v>394.97105900000003</v>
      </c>
      <c r="J1165">
        <v>9.1305899278746114</v>
      </c>
      <c r="K1165">
        <v>0</v>
      </c>
      <c r="L1165">
        <v>1.1446715155009899</v>
      </c>
      <c r="M1165">
        <v>7.82</v>
      </c>
      <c r="N1165">
        <v>3.61</v>
      </c>
    </row>
    <row r="1166" spans="1:14" x14ac:dyDescent="0.35">
      <c r="A1166" s="1" t="s">
        <v>1178</v>
      </c>
      <c r="B1166" t="str">
        <f>HYPERLINK("https://www.suredividend.com/sure-analysis-research-database/","OneSpaWorld Holdings Limited")</f>
        <v>OneSpaWorld Holdings Limited</v>
      </c>
      <c r="C1166" t="s">
        <v>1802</v>
      </c>
      <c r="D1166">
        <v>10.09</v>
      </c>
      <c r="E1166">
        <v>0</v>
      </c>
      <c r="F1166" t="s">
        <v>1798</v>
      </c>
      <c r="G1166" t="s">
        <v>1798</v>
      </c>
      <c r="H1166">
        <v>0</v>
      </c>
      <c r="I1166">
        <v>1003.649919</v>
      </c>
      <c r="J1166">
        <v>0</v>
      </c>
      <c r="K1166" t="s">
        <v>1798</v>
      </c>
      <c r="L1166">
        <v>0.63954119246770202</v>
      </c>
      <c r="M1166">
        <v>13.01</v>
      </c>
      <c r="N1166">
        <v>8.14</v>
      </c>
    </row>
    <row r="1167" spans="1:14" x14ac:dyDescent="0.35">
      <c r="A1167" s="1" t="s">
        <v>1179</v>
      </c>
      <c r="B1167" t="str">
        <f>HYPERLINK("https://www.suredividend.com/sure-analysis-research-database/","Outlook Therapeutics Inc")</f>
        <v>Outlook Therapeutics Inc</v>
      </c>
      <c r="C1167" t="s">
        <v>1803</v>
      </c>
      <c r="D1167">
        <v>0.32500000000000001</v>
      </c>
      <c r="E1167">
        <v>0</v>
      </c>
      <c r="F1167" t="s">
        <v>1798</v>
      </c>
      <c r="G1167" t="s">
        <v>1798</v>
      </c>
      <c r="H1167">
        <v>0</v>
      </c>
      <c r="I1167">
        <v>84.579631000000006</v>
      </c>
      <c r="J1167" t="s">
        <v>1798</v>
      </c>
      <c r="K1167">
        <v>0</v>
      </c>
      <c r="L1167">
        <v>0.89643866047997511</v>
      </c>
      <c r="M1167">
        <v>2.0299999999999998</v>
      </c>
      <c r="N1167">
        <v>0.20019999999999999</v>
      </c>
    </row>
    <row r="1168" spans="1:14" x14ac:dyDescent="0.35">
      <c r="A1168" s="1" t="s">
        <v>1180</v>
      </c>
      <c r="B1168" t="str">
        <f>HYPERLINK("https://www.suredividend.com/sure-analysis-OTTR/","Otter Tail Corporation")</f>
        <v>Otter Tail Corporation</v>
      </c>
      <c r="C1168" t="s">
        <v>1806</v>
      </c>
      <c r="D1168">
        <v>74.489999999999995</v>
      </c>
      <c r="E1168">
        <v>2.3493086320311451E-2</v>
      </c>
      <c r="F1168">
        <v>6.0606060606060552E-2</v>
      </c>
      <c r="G1168">
        <v>5.4840145710984389E-2</v>
      </c>
      <c r="H1168">
        <v>1.7052293986356739</v>
      </c>
      <c r="I1168">
        <v>3107.016709</v>
      </c>
      <c r="J1168">
        <v>11.47796666823055</v>
      </c>
      <c r="K1168">
        <v>0.26437665095126728</v>
      </c>
      <c r="L1168">
        <v>0.68766176363227505</v>
      </c>
      <c r="M1168">
        <v>91.86</v>
      </c>
      <c r="N1168">
        <v>51.06</v>
      </c>
    </row>
    <row r="1169" spans="1:14" x14ac:dyDescent="0.35">
      <c r="A1169" s="1" t="s">
        <v>1181</v>
      </c>
      <c r="B1169" t="str">
        <f>HYPERLINK("https://www.suredividend.com/sure-analysis-research-database/","Ouster Inc")</f>
        <v>Ouster Inc</v>
      </c>
      <c r="C1169" t="s">
        <v>1798</v>
      </c>
      <c r="D1169">
        <v>4.2300000000000004</v>
      </c>
      <c r="E1169">
        <v>0</v>
      </c>
      <c r="F1169" t="s">
        <v>1798</v>
      </c>
      <c r="G1169" t="s">
        <v>1798</v>
      </c>
      <c r="H1169">
        <v>0</v>
      </c>
      <c r="I1169">
        <v>167.091565</v>
      </c>
      <c r="J1169" t="s">
        <v>1798</v>
      </c>
      <c r="K1169">
        <v>0</v>
      </c>
      <c r="L1169">
        <v>2.2707332953195571</v>
      </c>
      <c r="M1169">
        <v>19.2</v>
      </c>
      <c r="N1169">
        <v>3.21</v>
      </c>
    </row>
    <row r="1170" spans="1:14" x14ac:dyDescent="0.35">
      <c r="A1170" s="1" t="s">
        <v>1182</v>
      </c>
      <c r="B1170" t="str">
        <f>HYPERLINK("https://www.suredividend.com/sure-analysis-research-database/","Outfront Media Inc")</f>
        <v>Outfront Media Inc</v>
      </c>
      <c r="C1170" t="s">
        <v>1800</v>
      </c>
      <c r="D1170">
        <v>8.6199999999999992</v>
      </c>
      <c r="E1170">
        <v>0.134591672563354</v>
      </c>
      <c r="F1170" t="s">
        <v>1798</v>
      </c>
      <c r="G1170" t="s">
        <v>1798</v>
      </c>
      <c r="H1170">
        <v>1.160180217496118</v>
      </c>
      <c r="I1170">
        <v>1422.6682290000001</v>
      </c>
      <c r="J1170" t="s">
        <v>1798</v>
      </c>
      <c r="K1170" t="s">
        <v>1798</v>
      </c>
      <c r="L1170">
        <v>1.509513431644177</v>
      </c>
      <c r="M1170">
        <v>20.309999999999999</v>
      </c>
      <c r="N1170">
        <v>8.18</v>
      </c>
    </row>
    <row r="1171" spans="1:14" x14ac:dyDescent="0.35">
      <c r="A1171" s="1" t="s">
        <v>1183</v>
      </c>
      <c r="B1171" t="str">
        <f>HYPERLINK("https://www.suredividend.com/sure-analysis-research-database/","Oxford Industries, Inc.")</f>
        <v>Oxford Industries, Inc.</v>
      </c>
      <c r="C1171" t="s">
        <v>1802</v>
      </c>
      <c r="D1171">
        <v>89.88</v>
      </c>
      <c r="E1171">
        <v>2.754932807267E-2</v>
      </c>
      <c r="F1171">
        <v>0.18181818181818171</v>
      </c>
      <c r="G1171">
        <v>0.13837903230220411</v>
      </c>
      <c r="H1171">
        <v>2.4761336071716529</v>
      </c>
      <c r="I1171">
        <v>1403.957418</v>
      </c>
      <c r="J1171">
        <v>8.6821603250343209</v>
      </c>
      <c r="K1171">
        <v>0.24589211590582449</v>
      </c>
      <c r="L1171">
        <v>1.2486502527328069</v>
      </c>
      <c r="M1171">
        <v>120.96</v>
      </c>
      <c r="N1171">
        <v>87.79</v>
      </c>
    </row>
    <row r="1172" spans="1:14" x14ac:dyDescent="0.35">
      <c r="A1172" s="1" t="s">
        <v>1184</v>
      </c>
      <c r="B1172" t="str">
        <f>HYPERLINK("https://www.suredividend.com/sure-analysis-research-database/","Pacific Biosciences of California Inc")</f>
        <v>Pacific Biosciences of California Inc</v>
      </c>
      <c r="C1172" t="s">
        <v>1803</v>
      </c>
      <c r="D1172">
        <v>7.98</v>
      </c>
      <c r="E1172">
        <v>0</v>
      </c>
      <c r="F1172" t="s">
        <v>1798</v>
      </c>
      <c r="G1172" t="s">
        <v>1798</v>
      </c>
      <c r="H1172">
        <v>0</v>
      </c>
      <c r="I1172">
        <v>1999.4551779999999</v>
      </c>
      <c r="J1172" t="s">
        <v>1798</v>
      </c>
      <c r="K1172">
        <v>0</v>
      </c>
      <c r="L1172">
        <v>2.7729533583515109</v>
      </c>
      <c r="M1172">
        <v>14.55</v>
      </c>
      <c r="N1172">
        <v>6.12</v>
      </c>
    </row>
    <row r="1173" spans="1:14" x14ac:dyDescent="0.35">
      <c r="A1173" s="1" t="s">
        <v>1185</v>
      </c>
      <c r="B1173" t="str">
        <f>HYPERLINK("https://www.suredividend.com/sure-analysis-research-database/","Ranpak Holdings Corp")</f>
        <v>Ranpak Holdings Corp</v>
      </c>
      <c r="C1173" t="s">
        <v>1802</v>
      </c>
      <c r="D1173">
        <v>4.43</v>
      </c>
      <c r="E1173">
        <v>0</v>
      </c>
      <c r="F1173" t="s">
        <v>1798</v>
      </c>
      <c r="G1173" t="s">
        <v>1798</v>
      </c>
      <c r="H1173">
        <v>0</v>
      </c>
      <c r="I1173">
        <v>352.185</v>
      </c>
      <c r="J1173">
        <v>0</v>
      </c>
      <c r="K1173" t="s">
        <v>1798</v>
      </c>
      <c r="L1173">
        <v>1.359487551454043</v>
      </c>
      <c r="M1173">
        <v>8.24</v>
      </c>
      <c r="N1173">
        <v>2.66</v>
      </c>
    </row>
    <row r="1174" spans="1:14" x14ac:dyDescent="0.35">
      <c r="A1174" s="1" t="s">
        <v>1186</v>
      </c>
      <c r="B1174" t="str">
        <f>HYPERLINK("https://www.suredividend.com/sure-analysis-research-database/","Phibro Animal Health Corp.")</f>
        <v>Phibro Animal Health Corp.</v>
      </c>
      <c r="C1174" t="s">
        <v>1803</v>
      </c>
      <c r="D1174">
        <v>11.77</v>
      </c>
      <c r="E1174">
        <v>4.0019309166948E-2</v>
      </c>
      <c r="F1174">
        <v>0</v>
      </c>
      <c r="G1174">
        <v>0</v>
      </c>
      <c r="H1174">
        <v>0.47102726889497998</v>
      </c>
      <c r="I1174">
        <v>239.37324599999999</v>
      </c>
      <c r="J1174">
        <v>7.3413864313316566</v>
      </c>
      <c r="K1174">
        <v>0.58512704210556521</v>
      </c>
      <c r="L1174">
        <v>0.69626375031612209</v>
      </c>
      <c r="M1174">
        <v>16.100000000000001</v>
      </c>
      <c r="N1174">
        <v>11.36</v>
      </c>
    </row>
    <row r="1175" spans="1:14" x14ac:dyDescent="0.35">
      <c r="A1175" s="1" t="s">
        <v>1187</v>
      </c>
      <c r="B1175" t="str">
        <f>HYPERLINK("https://www.suredividend.com/sure-analysis-research-database/","Par Technology Corp.")</f>
        <v>Par Technology Corp.</v>
      </c>
      <c r="C1175" t="s">
        <v>1804</v>
      </c>
      <c r="D1175">
        <v>37.340000000000003</v>
      </c>
      <c r="E1175">
        <v>0</v>
      </c>
      <c r="F1175" t="s">
        <v>1798</v>
      </c>
      <c r="G1175" t="s">
        <v>1798</v>
      </c>
      <c r="H1175">
        <v>0</v>
      </c>
      <c r="I1175">
        <v>1024.798391</v>
      </c>
      <c r="J1175" t="s">
        <v>1798</v>
      </c>
      <c r="K1175">
        <v>0</v>
      </c>
      <c r="L1175">
        <v>2.0360397854255758</v>
      </c>
      <c r="M1175">
        <v>46.63</v>
      </c>
      <c r="N1175">
        <v>20.37</v>
      </c>
    </row>
    <row r="1176" spans="1:14" x14ac:dyDescent="0.35">
      <c r="A1176" s="1" t="s">
        <v>1188</v>
      </c>
      <c r="B1176" t="str">
        <f>HYPERLINK("https://www.suredividend.com/sure-analysis-research-database/","Par Pacific Holdings Inc")</f>
        <v>Par Pacific Holdings Inc</v>
      </c>
      <c r="C1176" t="s">
        <v>1808</v>
      </c>
      <c r="D1176">
        <v>32.32</v>
      </c>
      <c r="E1176">
        <v>0</v>
      </c>
      <c r="F1176" t="s">
        <v>1798</v>
      </c>
      <c r="G1176" t="s">
        <v>1798</v>
      </c>
      <c r="H1176">
        <v>0</v>
      </c>
      <c r="I1176">
        <v>1973.6864740000001</v>
      </c>
      <c r="J1176">
        <v>3.1832728634329972</v>
      </c>
      <c r="K1176">
        <v>0</v>
      </c>
      <c r="L1176">
        <v>0.78390970546451311</v>
      </c>
      <c r="M1176">
        <v>37.5</v>
      </c>
      <c r="N1176">
        <v>18.78</v>
      </c>
    </row>
    <row r="1177" spans="1:14" x14ac:dyDescent="0.35">
      <c r="A1177" s="1" t="s">
        <v>1189</v>
      </c>
      <c r="B1177" t="str">
        <f>HYPERLINK("https://www.suredividend.com/sure-analysis-research-database/","Patrick Industries, Inc.")</f>
        <v>Patrick Industries, Inc.</v>
      </c>
      <c r="C1177" t="s">
        <v>1799</v>
      </c>
      <c r="D1177">
        <v>72.150000000000006</v>
      </c>
      <c r="E1177">
        <v>2.4632158787990001E-2</v>
      </c>
      <c r="F1177" t="s">
        <v>1798</v>
      </c>
      <c r="G1177" t="s">
        <v>1798</v>
      </c>
      <c r="H1177">
        <v>1.7772102565535191</v>
      </c>
      <c r="I1177">
        <v>1602.594646</v>
      </c>
      <c r="J1177">
        <v>9.3429953279037363</v>
      </c>
      <c r="K1177">
        <v>0.24048853268653839</v>
      </c>
      <c r="L1177">
        <v>1.2816211492367979</v>
      </c>
      <c r="M1177">
        <v>86.39</v>
      </c>
      <c r="N1177">
        <v>40.47</v>
      </c>
    </row>
    <row r="1178" spans="1:14" x14ac:dyDescent="0.35">
      <c r="A1178" s="1" t="s">
        <v>1190</v>
      </c>
      <c r="B1178" t="str">
        <f>HYPERLINK("https://www.suredividend.com/sure-analysis-research-database/","Payoneer Global Inc")</f>
        <v>Payoneer Global Inc</v>
      </c>
      <c r="C1178" t="s">
        <v>1798</v>
      </c>
      <c r="D1178">
        <v>5.67</v>
      </c>
      <c r="E1178">
        <v>0</v>
      </c>
      <c r="F1178" t="s">
        <v>1798</v>
      </c>
      <c r="G1178" t="s">
        <v>1798</v>
      </c>
      <c r="H1178">
        <v>0</v>
      </c>
      <c r="I1178">
        <v>2036.501804</v>
      </c>
      <c r="J1178">
        <v>120.61725917910449</v>
      </c>
      <c r="K1178">
        <v>0</v>
      </c>
      <c r="L1178">
        <v>0.64663727500344803</v>
      </c>
      <c r="M1178">
        <v>8.0399999999999991</v>
      </c>
      <c r="N1178">
        <v>4.0199999999999996</v>
      </c>
    </row>
    <row r="1179" spans="1:14" x14ac:dyDescent="0.35">
      <c r="A1179" s="1" t="s">
        <v>1191</v>
      </c>
      <c r="B1179" t="str">
        <f>HYPERLINK("https://www.suredividend.com/sure-analysis-research-database/","PBF Energy Inc")</f>
        <v>PBF Energy Inc</v>
      </c>
      <c r="C1179" t="s">
        <v>1808</v>
      </c>
      <c r="D1179">
        <v>46.6</v>
      </c>
      <c r="E1179">
        <v>1.7028315522175999E-2</v>
      </c>
      <c r="F1179" t="s">
        <v>1798</v>
      </c>
      <c r="G1179" t="s">
        <v>1798</v>
      </c>
      <c r="H1179">
        <v>0.79351950333341303</v>
      </c>
      <c r="I1179">
        <v>5759.2939999999999</v>
      </c>
      <c r="J1179">
        <v>1.8598165789388701</v>
      </c>
      <c r="K1179">
        <v>3.3723735798275097E-2</v>
      </c>
      <c r="L1179">
        <v>0.73404706089397009</v>
      </c>
      <c r="M1179">
        <v>56.38</v>
      </c>
      <c r="N1179">
        <v>30.95</v>
      </c>
    </row>
    <row r="1180" spans="1:14" x14ac:dyDescent="0.35">
      <c r="A1180" s="1" t="s">
        <v>1192</v>
      </c>
      <c r="B1180" t="str">
        <f>HYPERLINK("https://www.suredividend.com/sure-analysis-research-database/","Pioneer Bancorp Inc")</f>
        <v>Pioneer Bancorp Inc</v>
      </c>
      <c r="C1180" t="s">
        <v>1801</v>
      </c>
      <c r="D1180">
        <v>8.5500000000000007</v>
      </c>
      <c r="E1180">
        <v>0</v>
      </c>
      <c r="F1180" t="s">
        <v>1798</v>
      </c>
      <c r="G1180" t="s">
        <v>1798</v>
      </c>
      <c r="H1180">
        <v>0</v>
      </c>
      <c r="I1180">
        <v>222.10915499999999</v>
      </c>
      <c r="J1180">
        <v>0</v>
      </c>
      <c r="K1180" t="s">
        <v>1798</v>
      </c>
      <c r="L1180">
        <v>0.51000855522607602</v>
      </c>
      <c r="M1180">
        <v>11.97</v>
      </c>
      <c r="N1180">
        <v>7.96</v>
      </c>
    </row>
    <row r="1181" spans="1:14" x14ac:dyDescent="0.35">
      <c r="A1181" s="1" t="s">
        <v>1193</v>
      </c>
      <c r="B1181" t="str">
        <f>HYPERLINK("https://www.suredividend.com/sure-analysis-research-database/","Prestige Consumer Healthcare Inc")</f>
        <v>Prestige Consumer Healthcare Inc</v>
      </c>
      <c r="C1181" t="s">
        <v>1803</v>
      </c>
      <c r="D1181">
        <v>59.41</v>
      </c>
      <c r="E1181">
        <v>0</v>
      </c>
      <c r="F1181" t="s">
        <v>1798</v>
      </c>
      <c r="G1181" t="s">
        <v>1798</v>
      </c>
      <c r="H1181">
        <v>0</v>
      </c>
      <c r="I1181">
        <v>2943.136051</v>
      </c>
      <c r="J1181" t="s">
        <v>1798</v>
      </c>
      <c r="K1181">
        <v>0</v>
      </c>
      <c r="L1181">
        <v>0.43682688748438397</v>
      </c>
      <c r="M1181">
        <v>68.540000000000006</v>
      </c>
      <c r="N1181">
        <v>51.16</v>
      </c>
    </row>
    <row r="1182" spans="1:14" x14ac:dyDescent="0.35">
      <c r="A1182" s="1" t="s">
        <v>1194</v>
      </c>
      <c r="B1182" t="str">
        <f>HYPERLINK("https://www.suredividend.com/sure-analysis-research-database/","Pitney Bowes, Inc.")</f>
        <v>Pitney Bowes, Inc.</v>
      </c>
      <c r="C1182" t="s">
        <v>1799</v>
      </c>
      <c r="D1182">
        <v>3.62</v>
      </c>
      <c r="E1182">
        <v>5.4093827258980001E-2</v>
      </c>
      <c r="F1182">
        <v>0</v>
      </c>
      <c r="G1182">
        <v>0</v>
      </c>
      <c r="H1182">
        <v>0.195819654677507</v>
      </c>
      <c r="I1182">
        <v>637.21503199999995</v>
      </c>
      <c r="J1182" t="s">
        <v>1798</v>
      </c>
      <c r="K1182" t="s">
        <v>1798</v>
      </c>
      <c r="L1182">
        <v>1.280031915005537</v>
      </c>
      <c r="M1182">
        <v>4.6500000000000004</v>
      </c>
      <c r="N1182">
        <v>2.68</v>
      </c>
    </row>
    <row r="1183" spans="1:14" x14ac:dyDescent="0.35">
      <c r="A1183" s="1" t="s">
        <v>1195</v>
      </c>
      <c r="B1183" t="str">
        <f>HYPERLINK("https://www.suredividend.com/sure-analysis-research-database/","PCB Bancorp.")</f>
        <v>PCB Bancorp.</v>
      </c>
      <c r="C1183" t="s">
        <v>1801</v>
      </c>
      <c r="D1183">
        <v>15.26</v>
      </c>
      <c r="E1183">
        <v>4.2228957703162998E-2</v>
      </c>
      <c r="F1183">
        <v>0.2</v>
      </c>
      <c r="G1183">
        <v>0.43096908110525561</v>
      </c>
      <c r="H1183">
        <v>0.64441389455027609</v>
      </c>
      <c r="I1183">
        <v>218.883183</v>
      </c>
      <c r="J1183">
        <v>0</v>
      </c>
      <c r="K1183" t="s">
        <v>1798</v>
      </c>
      <c r="L1183">
        <v>0.78040199849979408</v>
      </c>
      <c r="M1183">
        <v>19.22</v>
      </c>
      <c r="N1183">
        <v>12.41</v>
      </c>
    </row>
    <row r="1184" spans="1:14" x14ac:dyDescent="0.35">
      <c r="A1184" s="1" t="s">
        <v>1196</v>
      </c>
      <c r="B1184" t="str">
        <f>HYPERLINK("https://www.suredividend.com/sure-analysis-research-database/","PotlatchDeltic Corp")</f>
        <v>PotlatchDeltic Corp</v>
      </c>
      <c r="C1184" t="s">
        <v>1800</v>
      </c>
      <c r="D1184">
        <v>44.87</v>
      </c>
      <c r="E1184">
        <v>3.9041544976254998E-2</v>
      </c>
      <c r="F1184">
        <v>0</v>
      </c>
      <c r="G1184">
        <v>2.383625553960966E-2</v>
      </c>
      <c r="H1184">
        <v>1.7517941230846019</v>
      </c>
      <c r="I1184">
        <v>3585.619044</v>
      </c>
      <c r="J1184">
        <v>40.577826307772391</v>
      </c>
      <c r="K1184">
        <v>1.550260285915577</v>
      </c>
      <c r="L1184">
        <v>1.005300162403979</v>
      </c>
      <c r="M1184">
        <v>53.38</v>
      </c>
      <c r="N1184">
        <v>39.1</v>
      </c>
    </row>
    <row r="1185" spans="1:14" x14ac:dyDescent="0.35">
      <c r="A1185" s="1" t="s">
        <v>1197</v>
      </c>
      <c r="B1185" t="str">
        <f>HYPERLINK("https://www.suredividend.com/sure-analysis-research-database/","Pacira BioSciences Inc")</f>
        <v>Pacira BioSciences Inc</v>
      </c>
      <c r="C1185" t="s">
        <v>1803</v>
      </c>
      <c r="D1185">
        <v>29.14</v>
      </c>
      <c r="E1185">
        <v>0</v>
      </c>
      <c r="F1185" t="s">
        <v>1798</v>
      </c>
      <c r="G1185" t="s">
        <v>1798</v>
      </c>
      <c r="H1185">
        <v>0</v>
      </c>
      <c r="I1185">
        <v>1352.5921089999999</v>
      </c>
      <c r="J1185" t="s">
        <v>1798</v>
      </c>
      <c r="K1185">
        <v>0</v>
      </c>
      <c r="L1185">
        <v>0.74870002608687003</v>
      </c>
      <c r="M1185">
        <v>55.39</v>
      </c>
      <c r="N1185">
        <v>28.31</v>
      </c>
    </row>
    <row r="1186" spans="1:14" x14ac:dyDescent="0.35">
      <c r="A1186" s="1" t="s">
        <v>1198</v>
      </c>
      <c r="B1186" t="str">
        <f>HYPERLINK("https://www.suredividend.com/sure-analysis-research-database/","PureCycle Technologies Inc")</f>
        <v>PureCycle Technologies Inc</v>
      </c>
      <c r="C1186" t="s">
        <v>1798</v>
      </c>
      <c r="D1186">
        <v>4.8600000000000003</v>
      </c>
      <c r="E1186">
        <v>0</v>
      </c>
      <c r="F1186" t="s">
        <v>1798</v>
      </c>
      <c r="G1186" t="s">
        <v>1798</v>
      </c>
      <c r="H1186">
        <v>0</v>
      </c>
      <c r="I1186">
        <v>797.000765</v>
      </c>
      <c r="J1186">
        <v>0</v>
      </c>
      <c r="K1186" t="s">
        <v>1798</v>
      </c>
      <c r="L1186">
        <v>1.721177661974822</v>
      </c>
      <c r="M1186">
        <v>11.89</v>
      </c>
      <c r="N1186">
        <v>4.4400000000000004</v>
      </c>
    </row>
    <row r="1187" spans="1:14" x14ac:dyDescent="0.35">
      <c r="A1187" s="1" t="s">
        <v>1199</v>
      </c>
      <c r="B1187" t="str">
        <f>HYPERLINK("https://www.suredividend.com/sure-analysis-research-database/","Vaxcyte Inc")</f>
        <v>Vaxcyte Inc</v>
      </c>
      <c r="C1187" t="s">
        <v>1798</v>
      </c>
      <c r="D1187">
        <v>46</v>
      </c>
      <c r="E1187">
        <v>0</v>
      </c>
      <c r="F1187" t="s">
        <v>1798</v>
      </c>
      <c r="G1187" t="s">
        <v>1798</v>
      </c>
      <c r="H1187">
        <v>0</v>
      </c>
      <c r="I1187">
        <v>4316.9582739999996</v>
      </c>
      <c r="J1187">
        <v>0</v>
      </c>
      <c r="K1187" t="s">
        <v>1798</v>
      </c>
      <c r="L1187">
        <v>0.85601504791255811</v>
      </c>
      <c r="M1187">
        <v>54.97</v>
      </c>
      <c r="N1187">
        <v>20.49</v>
      </c>
    </row>
    <row r="1188" spans="1:14" x14ac:dyDescent="0.35">
      <c r="A1188" s="1" t="s">
        <v>1200</v>
      </c>
      <c r="B1188" t="str">
        <f>HYPERLINK("https://www.suredividend.com/sure-analysis-research-database/","Pure Cycle Corp.")</f>
        <v>Pure Cycle Corp.</v>
      </c>
      <c r="C1188" t="s">
        <v>1806</v>
      </c>
      <c r="D1188">
        <v>9.77</v>
      </c>
      <c r="E1188">
        <v>0</v>
      </c>
      <c r="F1188" t="s">
        <v>1798</v>
      </c>
      <c r="G1188" t="s">
        <v>1798</v>
      </c>
      <c r="H1188">
        <v>0</v>
      </c>
      <c r="I1188">
        <v>235.015816</v>
      </c>
      <c r="J1188">
        <v>0</v>
      </c>
      <c r="K1188" t="s">
        <v>1798</v>
      </c>
      <c r="L1188">
        <v>0.80256395668945901</v>
      </c>
      <c r="M1188">
        <v>13.07</v>
      </c>
      <c r="N1188">
        <v>7.77</v>
      </c>
    </row>
    <row r="1189" spans="1:14" x14ac:dyDescent="0.35">
      <c r="A1189" s="1" t="s">
        <v>1201</v>
      </c>
      <c r="B1189" t="str">
        <f>HYPERLINK("https://www.suredividend.com/sure-analysis-research-database/","Pagerduty Inc")</f>
        <v>Pagerduty Inc</v>
      </c>
      <c r="C1189" t="s">
        <v>1804</v>
      </c>
      <c r="D1189">
        <v>20.59</v>
      </c>
      <c r="E1189">
        <v>0</v>
      </c>
      <c r="F1189" t="s">
        <v>1798</v>
      </c>
      <c r="G1189" t="s">
        <v>1798</v>
      </c>
      <c r="H1189">
        <v>0</v>
      </c>
      <c r="I1189">
        <v>1921.27349</v>
      </c>
      <c r="J1189" t="s">
        <v>1798</v>
      </c>
      <c r="K1189">
        <v>0</v>
      </c>
      <c r="L1189">
        <v>1.858300348458928</v>
      </c>
      <c r="M1189">
        <v>35.33</v>
      </c>
      <c r="N1189">
        <v>19.510000000000002</v>
      </c>
    </row>
    <row r="1190" spans="1:14" x14ac:dyDescent="0.35">
      <c r="A1190" s="1" t="s">
        <v>1202</v>
      </c>
      <c r="B1190" t="str">
        <f>HYPERLINK("https://www.suredividend.com/sure-analysis-PDCO/","Patterson Companies Inc.")</f>
        <v>Patterson Companies Inc.</v>
      </c>
      <c r="C1190" t="s">
        <v>1803</v>
      </c>
      <c r="D1190">
        <v>29.42</v>
      </c>
      <c r="E1190">
        <v>3.5350101971447993E-2</v>
      </c>
      <c r="F1190" t="s">
        <v>1798</v>
      </c>
      <c r="G1190" t="s">
        <v>1798</v>
      </c>
      <c r="H1190">
        <v>1.0202935339165591</v>
      </c>
      <c r="I1190">
        <v>2819.9070000000002</v>
      </c>
      <c r="J1190">
        <v>13.164770472593499</v>
      </c>
      <c r="K1190">
        <v>0.46376978814389053</v>
      </c>
      <c r="L1190">
        <v>0.7843655458406581</v>
      </c>
      <c r="M1190">
        <v>34.53</v>
      </c>
      <c r="N1190">
        <v>24.48</v>
      </c>
    </row>
    <row r="1191" spans="1:14" x14ac:dyDescent="0.35">
      <c r="A1191" s="1" t="s">
        <v>1203</v>
      </c>
      <c r="B1191" t="str">
        <f>HYPERLINK("https://www.suredividend.com/sure-analysis-research-database/","PDF Solutions Inc.")</f>
        <v>PDF Solutions Inc.</v>
      </c>
      <c r="C1191" t="s">
        <v>1804</v>
      </c>
      <c r="D1191">
        <v>30.21</v>
      </c>
      <c r="E1191">
        <v>0</v>
      </c>
      <c r="F1191" t="s">
        <v>1798</v>
      </c>
      <c r="G1191" t="s">
        <v>1798</v>
      </c>
      <c r="H1191">
        <v>0</v>
      </c>
      <c r="I1191">
        <v>1151.8126520000001</v>
      </c>
      <c r="J1191">
        <v>127.15970987745639</v>
      </c>
      <c r="K1191">
        <v>0</v>
      </c>
      <c r="L1191">
        <v>1.2130107793546621</v>
      </c>
      <c r="M1191">
        <v>48.02</v>
      </c>
      <c r="N1191">
        <v>21.42</v>
      </c>
    </row>
    <row r="1192" spans="1:14" x14ac:dyDescent="0.35">
      <c r="A1192" s="1" t="s">
        <v>1204</v>
      </c>
      <c r="B1192" t="str">
        <f>HYPERLINK("https://www.suredividend.com/sure-analysis-research-database/","PDL Biopharma Inc")</f>
        <v>PDL Biopharma Inc</v>
      </c>
      <c r="C1192" t="s">
        <v>1803</v>
      </c>
      <c r="D1192">
        <v>2.4700000000000002</v>
      </c>
      <c r="E1192">
        <v>0</v>
      </c>
      <c r="F1192" t="s">
        <v>1798</v>
      </c>
      <c r="G1192" t="s">
        <v>1798</v>
      </c>
      <c r="H1192">
        <v>7.5879000127315008E-2</v>
      </c>
      <c r="I1192">
        <v>0</v>
      </c>
      <c r="J1192">
        <v>0</v>
      </c>
      <c r="K1192" t="s">
        <v>1798</v>
      </c>
    </row>
    <row r="1193" spans="1:14" x14ac:dyDescent="0.35">
      <c r="A1193" s="1" t="s">
        <v>1205</v>
      </c>
      <c r="B1193" t="str">
        <f>HYPERLINK("https://www.suredividend.com/sure-analysis-PDM/","Piedmont Office Realty Trust Inc")</f>
        <v>Piedmont Office Realty Trust Inc</v>
      </c>
      <c r="C1193" t="s">
        <v>1800</v>
      </c>
      <c r="D1193">
        <v>5.09</v>
      </c>
      <c r="E1193">
        <v>9.8231827111984291E-2</v>
      </c>
      <c r="F1193">
        <v>-0.40476190476190482</v>
      </c>
      <c r="G1193">
        <v>-9.85572635745805E-2</v>
      </c>
      <c r="H1193">
        <v>0.72537694662043206</v>
      </c>
      <c r="I1193">
        <v>629.61505799999998</v>
      </c>
      <c r="J1193">
        <v>8.3343048216294928</v>
      </c>
      <c r="K1193">
        <v>1.186225587277894</v>
      </c>
      <c r="L1193">
        <v>1.2888830264735081</v>
      </c>
      <c r="M1193">
        <v>10.56</v>
      </c>
      <c r="N1193">
        <v>5.03</v>
      </c>
    </row>
    <row r="1194" spans="1:14" x14ac:dyDescent="0.35">
      <c r="A1194" s="1" t="s">
        <v>1206</v>
      </c>
      <c r="B1194" t="str">
        <f>HYPERLINK("https://www.suredividend.com/sure-analysis-research-database/","Pebblebrook Hotel Trust")</f>
        <v>Pebblebrook Hotel Trust</v>
      </c>
      <c r="C1194" t="s">
        <v>1800</v>
      </c>
      <c r="D1194">
        <v>13.09</v>
      </c>
      <c r="E1194">
        <v>3.0523694957189998E-3</v>
      </c>
      <c r="F1194">
        <v>0</v>
      </c>
      <c r="G1194">
        <v>-0.40327972630779862</v>
      </c>
      <c r="H1194">
        <v>3.9955516698967998E-2</v>
      </c>
      <c r="I1194">
        <v>1577.3693599999999</v>
      </c>
      <c r="J1194" t="s">
        <v>1798</v>
      </c>
      <c r="K1194" t="s">
        <v>1798</v>
      </c>
      <c r="L1194">
        <v>1.3240074250264739</v>
      </c>
      <c r="M1194">
        <v>17.34</v>
      </c>
      <c r="N1194">
        <v>12.34</v>
      </c>
    </row>
    <row r="1195" spans="1:14" x14ac:dyDescent="0.35">
      <c r="A1195" s="1" t="s">
        <v>1207</v>
      </c>
      <c r="B1195" t="str">
        <f>HYPERLINK("https://www.suredividend.com/sure-analysis-research-database/","Peoples Bancorp, Inc. (Marietta, OH)")</f>
        <v>Peoples Bancorp, Inc. (Marietta, OH)</v>
      </c>
      <c r="C1195" t="s">
        <v>1801</v>
      </c>
      <c r="D1195">
        <v>25.86</v>
      </c>
      <c r="E1195">
        <v>5.7243985072642008E-2</v>
      </c>
      <c r="F1195" t="s">
        <v>1798</v>
      </c>
      <c r="G1195" t="s">
        <v>1798</v>
      </c>
      <c r="H1195">
        <v>1.4803294539785219</v>
      </c>
      <c r="I1195">
        <v>914.67758700000002</v>
      </c>
      <c r="J1195">
        <v>9.1706194824543843</v>
      </c>
      <c r="K1195">
        <v>0.43158293118907348</v>
      </c>
      <c r="L1195">
        <v>0.64099200989439209</v>
      </c>
      <c r="M1195">
        <v>29.53</v>
      </c>
      <c r="N1195">
        <v>22.22</v>
      </c>
    </row>
    <row r="1196" spans="1:14" x14ac:dyDescent="0.35">
      <c r="A1196" s="1" t="s">
        <v>1208</v>
      </c>
      <c r="B1196" t="str">
        <f>HYPERLINK("https://www.suredividend.com/sure-analysis-PECO/","Phillips Edison &amp; Company Inc")</f>
        <v>Phillips Edison &amp; Company Inc</v>
      </c>
      <c r="C1196" t="s">
        <v>1798</v>
      </c>
      <c r="D1196">
        <v>34.06</v>
      </c>
      <c r="E1196">
        <v>3.4351145038167927E-2</v>
      </c>
      <c r="F1196">
        <v>4.5016077170418001E-2</v>
      </c>
      <c r="G1196">
        <v>1.6137364741595661E-2</v>
      </c>
      <c r="H1196">
        <v>1.104021523692994</v>
      </c>
      <c r="I1196">
        <v>3998.6439999999998</v>
      </c>
      <c r="J1196">
        <v>71.678270533825696</v>
      </c>
      <c r="K1196">
        <v>2.3484822882216418</v>
      </c>
      <c r="L1196">
        <v>0.8955859285670621</v>
      </c>
      <c r="M1196">
        <v>36.049999999999997</v>
      </c>
      <c r="N1196">
        <v>26.16</v>
      </c>
    </row>
    <row r="1197" spans="1:14" x14ac:dyDescent="0.35">
      <c r="A1197" s="1" t="s">
        <v>1209</v>
      </c>
      <c r="B1197" t="str">
        <f>HYPERLINK("https://www.suredividend.com/sure-analysis-research-database/","PepGen Inc")</f>
        <v>PepGen Inc</v>
      </c>
      <c r="C1197" t="s">
        <v>1798</v>
      </c>
      <c r="D1197">
        <v>5.65</v>
      </c>
      <c r="E1197">
        <v>0</v>
      </c>
      <c r="F1197" t="s">
        <v>1798</v>
      </c>
      <c r="G1197" t="s">
        <v>1798</v>
      </c>
      <c r="H1197">
        <v>0</v>
      </c>
      <c r="I1197">
        <v>134.54654099999999</v>
      </c>
      <c r="J1197">
        <v>0</v>
      </c>
      <c r="K1197" t="s">
        <v>1798</v>
      </c>
      <c r="L1197">
        <v>1.455752701329931</v>
      </c>
      <c r="M1197">
        <v>20</v>
      </c>
      <c r="N1197">
        <v>4.26</v>
      </c>
    </row>
    <row r="1198" spans="1:14" x14ac:dyDescent="0.35">
      <c r="A1198" s="1" t="s">
        <v>1210</v>
      </c>
      <c r="B1198" t="str">
        <f>HYPERLINK("https://www.suredividend.com/sure-analysis-research-database/","PetIQ Inc")</f>
        <v>PetIQ Inc</v>
      </c>
      <c r="C1198" t="s">
        <v>1803</v>
      </c>
      <c r="D1198">
        <v>20.52</v>
      </c>
      <c r="E1198">
        <v>0</v>
      </c>
      <c r="F1198" t="s">
        <v>1798</v>
      </c>
      <c r="G1198" t="s">
        <v>1798</v>
      </c>
      <c r="H1198">
        <v>0</v>
      </c>
      <c r="I1198">
        <v>598.82102199999997</v>
      </c>
      <c r="J1198" t="s">
        <v>1798</v>
      </c>
      <c r="K1198">
        <v>0</v>
      </c>
      <c r="L1198">
        <v>1.8824340594269631</v>
      </c>
      <c r="M1198">
        <v>22.98</v>
      </c>
      <c r="N1198">
        <v>6.69</v>
      </c>
    </row>
    <row r="1199" spans="1:14" x14ac:dyDescent="0.35">
      <c r="A1199" s="1" t="s">
        <v>1211</v>
      </c>
      <c r="B1199" t="str">
        <f>HYPERLINK("https://www.suredividend.com/sure-analysis-PETS/","Petmed Express, Inc.")</f>
        <v>Petmed Express, Inc.</v>
      </c>
      <c r="C1199" t="s">
        <v>1803</v>
      </c>
      <c r="D1199">
        <v>9.6999999999999993</v>
      </c>
      <c r="E1199">
        <v>0.13608247422680411</v>
      </c>
      <c r="F1199">
        <v>0</v>
      </c>
      <c r="G1199">
        <v>2.1295687600135119E-2</v>
      </c>
      <c r="H1199">
        <v>1.1747004889877961</v>
      </c>
      <c r="I1199">
        <v>205.34247199999999</v>
      </c>
      <c r="J1199" t="s">
        <v>1798</v>
      </c>
      <c r="K1199" t="s">
        <v>1798</v>
      </c>
      <c r="L1199">
        <v>1.062907625236251</v>
      </c>
      <c r="M1199">
        <v>21.78</v>
      </c>
      <c r="N1199">
        <v>9.3000000000000007</v>
      </c>
    </row>
    <row r="1200" spans="1:14" x14ac:dyDescent="0.35">
      <c r="A1200" s="1" t="s">
        <v>1212</v>
      </c>
      <c r="B1200" t="str">
        <f>HYPERLINK("https://www.suredividend.com/sure-analysis-research-database/","Preferred Bank (Los Angeles, CA)")</f>
        <v>Preferred Bank (Los Angeles, CA)</v>
      </c>
      <c r="C1200" t="s">
        <v>1801</v>
      </c>
      <c r="D1200">
        <v>62.4</v>
      </c>
      <c r="E1200">
        <v>4.2583772534075998E-2</v>
      </c>
      <c r="F1200">
        <v>0.27906976744186052</v>
      </c>
      <c r="G1200">
        <v>0.12888132073019751</v>
      </c>
      <c r="H1200">
        <v>2.6572274061263901</v>
      </c>
      <c r="I1200">
        <v>822.99360000000001</v>
      </c>
      <c r="J1200">
        <v>5.8413911562211656</v>
      </c>
      <c r="K1200">
        <v>0.27766221589617451</v>
      </c>
      <c r="L1200">
        <v>0.87941031800986003</v>
      </c>
      <c r="M1200">
        <v>72.77</v>
      </c>
      <c r="N1200">
        <v>40.85</v>
      </c>
    </row>
    <row r="1201" spans="1:14" x14ac:dyDescent="0.35">
      <c r="A1201" s="1" t="s">
        <v>1213</v>
      </c>
      <c r="B1201" t="str">
        <f>HYPERLINK("https://www.suredividend.com/sure-analysis-research-database/","Premier Financial Corp")</f>
        <v>Premier Financial Corp</v>
      </c>
      <c r="C1201" t="s">
        <v>1798</v>
      </c>
      <c r="D1201">
        <v>16.739999999999998</v>
      </c>
      <c r="E1201">
        <v>7.0071688450375008E-2</v>
      </c>
      <c r="F1201">
        <v>3.3333333333333208E-2</v>
      </c>
      <c r="G1201">
        <v>0.12767137012376309</v>
      </c>
      <c r="H1201">
        <v>1.1730000646592831</v>
      </c>
      <c r="I1201">
        <v>598.12333000000001</v>
      </c>
      <c r="J1201">
        <v>4.9886013976880346</v>
      </c>
      <c r="K1201">
        <v>0.35014927303262178</v>
      </c>
      <c r="L1201">
        <v>1.1026728891852331</v>
      </c>
      <c r="M1201">
        <v>28.34</v>
      </c>
      <c r="N1201">
        <v>13.2</v>
      </c>
    </row>
    <row r="1202" spans="1:14" x14ac:dyDescent="0.35">
      <c r="A1202" s="1" t="s">
        <v>1214</v>
      </c>
      <c r="B1202" t="str">
        <f>HYPERLINK("https://www.suredividend.com/sure-analysis-research-database/","Peoples Financial Services Corp")</f>
        <v>Peoples Financial Services Corp</v>
      </c>
      <c r="C1202" t="s">
        <v>1801</v>
      </c>
      <c r="D1202">
        <v>40.46</v>
      </c>
      <c r="E1202">
        <v>3.9243556622513998E-2</v>
      </c>
      <c r="F1202">
        <v>2.4999999999999911E-2</v>
      </c>
      <c r="G1202">
        <v>4.4369026902302489E-2</v>
      </c>
      <c r="H1202">
        <v>1.587794300946924</v>
      </c>
      <c r="I1202">
        <v>286.993178</v>
      </c>
      <c r="J1202">
        <v>0</v>
      </c>
      <c r="K1202" t="s">
        <v>1798</v>
      </c>
      <c r="L1202">
        <v>1.0093818145487929</v>
      </c>
      <c r="M1202">
        <v>55.33</v>
      </c>
      <c r="N1202">
        <v>29.4</v>
      </c>
    </row>
    <row r="1203" spans="1:14" x14ac:dyDescent="0.35">
      <c r="A1203" s="1" t="s">
        <v>1215</v>
      </c>
      <c r="B1203" t="str">
        <f>HYPERLINK("https://www.suredividend.com/sure-analysis-research-database/","Provident Financial Services Inc")</f>
        <v>Provident Financial Services Inc</v>
      </c>
      <c r="C1203" t="s">
        <v>1801</v>
      </c>
      <c r="D1203">
        <v>14.42</v>
      </c>
      <c r="E1203">
        <v>6.5236412992117007E-2</v>
      </c>
      <c r="F1203">
        <v>0</v>
      </c>
      <c r="G1203">
        <v>8.5482523039324132E-3</v>
      </c>
      <c r="H1203">
        <v>0.94070907534633108</v>
      </c>
      <c r="I1203">
        <v>1090.361249</v>
      </c>
      <c r="J1203">
        <v>6.6083701438207969</v>
      </c>
      <c r="K1203">
        <v>0.42566021508883761</v>
      </c>
      <c r="L1203">
        <v>1.043490053439287</v>
      </c>
      <c r="M1203">
        <v>23.63</v>
      </c>
      <c r="N1203">
        <v>14.12</v>
      </c>
    </row>
    <row r="1204" spans="1:14" x14ac:dyDescent="0.35">
      <c r="A1204" s="1" t="s">
        <v>1216</v>
      </c>
      <c r="B1204" t="str">
        <f>HYPERLINK("https://www.suredividend.com/sure-analysis-research-database/","PennyMac Financial Services Inc.")</f>
        <v>PennyMac Financial Services Inc.</v>
      </c>
      <c r="C1204" t="s">
        <v>1801</v>
      </c>
      <c r="D1204">
        <v>66.62</v>
      </c>
      <c r="E1204">
        <v>1.1944251443940001E-2</v>
      </c>
      <c r="F1204" t="s">
        <v>1798</v>
      </c>
      <c r="G1204" t="s">
        <v>1798</v>
      </c>
      <c r="H1204">
        <v>0.79572603119533103</v>
      </c>
      <c r="I1204">
        <v>3322.5834960000002</v>
      </c>
      <c r="J1204">
        <v>0</v>
      </c>
      <c r="K1204" t="s">
        <v>1798</v>
      </c>
      <c r="L1204">
        <v>1.5626444023745789</v>
      </c>
      <c r="M1204">
        <v>82.69</v>
      </c>
      <c r="N1204">
        <v>43.06</v>
      </c>
    </row>
    <row r="1205" spans="1:14" x14ac:dyDescent="0.35">
      <c r="A1205" s="1" t="s">
        <v>1217</v>
      </c>
      <c r="B1205" t="str">
        <f>HYPERLINK("https://www.suredividend.com/sure-analysis-research-database/","PFSWEB Inc")</f>
        <v>PFSWEB Inc</v>
      </c>
      <c r="C1205" t="s">
        <v>1799</v>
      </c>
      <c r="D1205">
        <v>7.48</v>
      </c>
      <c r="E1205">
        <v>0</v>
      </c>
      <c r="F1205" t="s">
        <v>1798</v>
      </c>
      <c r="G1205" t="s">
        <v>1798</v>
      </c>
      <c r="H1205">
        <v>0</v>
      </c>
      <c r="I1205">
        <v>170.13269</v>
      </c>
      <c r="J1205" t="s">
        <v>1798</v>
      </c>
      <c r="K1205">
        <v>0</v>
      </c>
      <c r="L1205">
        <v>0.80367169606700006</v>
      </c>
      <c r="M1205">
        <v>7.49</v>
      </c>
      <c r="N1205">
        <v>3.8</v>
      </c>
    </row>
    <row r="1206" spans="1:14" x14ac:dyDescent="0.35">
      <c r="A1206" s="1" t="s">
        <v>1218</v>
      </c>
      <c r="B1206" t="str">
        <f>HYPERLINK("https://www.suredividend.com/sure-analysis-research-database/","Peapack-Gladstone Financial Corp.")</f>
        <v>Peapack-Gladstone Financial Corp.</v>
      </c>
      <c r="C1206" t="s">
        <v>1801</v>
      </c>
      <c r="D1206">
        <v>25.04</v>
      </c>
      <c r="E1206">
        <v>7.9580155557500004E-3</v>
      </c>
      <c r="F1206">
        <v>0</v>
      </c>
      <c r="G1206">
        <v>0</v>
      </c>
      <c r="H1206">
        <v>0.19926870951598699</v>
      </c>
      <c r="I1206">
        <v>447.912891</v>
      </c>
      <c r="J1206">
        <v>6.2033500560902981</v>
      </c>
      <c r="K1206">
        <v>5.0447774561009372E-2</v>
      </c>
      <c r="L1206">
        <v>1.055177189390065</v>
      </c>
      <c r="M1206">
        <v>41.89</v>
      </c>
      <c r="N1206">
        <v>22.79</v>
      </c>
    </row>
    <row r="1207" spans="1:14" x14ac:dyDescent="0.35">
      <c r="A1207" s="1" t="s">
        <v>1219</v>
      </c>
      <c r="B1207" t="str">
        <f>HYPERLINK("https://www.suredividend.com/sure-analysis-research-database/","Precigen Inc")</f>
        <v>Precigen Inc</v>
      </c>
      <c r="C1207" t="s">
        <v>1803</v>
      </c>
      <c r="D1207">
        <v>1.2</v>
      </c>
      <c r="E1207">
        <v>0</v>
      </c>
      <c r="F1207" t="s">
        <v>1798</v>
      </c>
      <c r="G1207" t="s">
        <v>1798</v>
      </c>
      <c r="H1207">
        <v>0</v>
      </c>
      <c r="I1207">
        <v>306.57930399999998</v>
      </c>
      <c r="J1207">
        <v>13.84167698767439</v>
      </c>
      <c r="K1207">
        <v>0</v>
      </c>
      <c r="L1207">
        <v>2.1846914306459979</v>
      </c>
      <c r="M1207">
        <v>2.29</v>
      </c>
      <c r="N1207">
        <v>0.80500000000000005</v>
      </c>
    </row>
    <row r="1208" spans="1:14" x14ac:dyDescent="0.35">
      <c r="A1208" s="1" t="s">
        <v>1220</v>
      </c>
      <c r="B1208" t="str">
        <f>HYPERLINK("https://www.suredividend.com/sure-analysis-research-database/","Progyny Inc")</f>
        <v>Progyny Inc</v>
      </c>
      <c r="C1208" t="s">
        <v>1803</v>
      </c>
      <c r="D1208">
        <v>33.11</v>
      </c>
      <c r="E1208">
        <v>0</v>
      </c>
      <c r="F1208" t="s">
        <v>1798</v>
      </c>
      <c r="G1208" t="s">
        <v>1798</v>
      </c>
      <c r="H1208">
        <v>0</v>
      </c>
      <c r="I1208">
        <v>3158.9052750000001</v>
      </c>
      <c r="J1208">
        <v>64.090757890561591</v>
      </c>
      <c r="K1208">
        <v>0</v>
      </c>
      <c r="L1208">
        <v>1.0082794328927609</v>
      </c>
      <c r="M1208">
        <v>45.98</v>
      </c>
      <c r="N1208">
        <v>28.03</v>
      </c>
    </row>
    <row r="1209" spans="1:14" x14ac:dyDescent="0.35">
      <c r="A1209" s="1" t="s">
        <v>1221</v>
      </c>
      <c r="B1209" t="str">
        <f>HYPERLINK("https://www.suredividend.com/sure-analysis-PGRE/","Paramount Group Inc")</f>
        <v>Paramount Group Inc</v>
      </c>
      <c r="C1209" t="s">
        <v>1800</v>
      </c>
      <c r="D1209">
        <v>4.38</v>
      </c>
      <c r="E1209">
        <v>3.1963470319634708E-2</v>
      </c>
      <c r="F1209">
        <v>-0.54838709677419351</v>
      </c>
      <c r="G1209">
        <v>-0.18938691690105089</v>
      </c>
      <c r="H1209">
        <v>0.22103384822998101</v>
      </c>
      <c r="I1209">
        <v>951.80246099999999</v>
      </c>
      <c r="J1209" t="s">
        <v>1798</v>
      </c>
      <c r="K1209" t="s">
        <v>1798</v>
      </c>
      <c r="L1209">
        <v>1.244903261156191</v>
      </c>
      <c r="M1209">
        <v>6.54</v>
      </c>
      <c r="N1209">
        <v>3.77</v>
      </c>
    </row>
    <row r="1210" spans="1:14" x14ac:dyDescent="0.35">
      <c r="A1210" s="1" t="s">
        <v>1222</v>
      </c>
      <c r="B1210" t="str">
        <f>HYPERLINK("https://www.suredividend.com/sure-analysis-research-database/","PGT Innovations Inc")</f>
        <v>PGT Innovations Inc</v>
      </c>
      <c r="C1210" t="s">
        <v>1799</v>
      </c>
      <c r="D1210">
        <v>31.07</v>
      </c>
      <c r="E1210">
        <v>0</v>
      </c>
      <c r="F1210" t="s">
        <v>1798</v>
      </c>
      <c r="G1210" t="s">
        <v>1798</v>
      </c>
      <c r="H1210">
        <v>0</v>
      </c>
      <c r="I1210">
        <v>1812.976103</v>
      </c>
      <c r="J1210">
        <v>17.302692333746901</v>
      </c>
      <c r="K1210">
        <v>0</v>
      </c>
      <c r="L1210">
        <v>1.29768709093229</v>
      </c>
      <c r="M1210">
        <v>32.78</v>
      </c>
      <c r="N1210">
        <v>17.43</v>
      </c>
    </row>
    <row r="1211" spans="1:14" x14ac:dyDescent="0.35">
      <c r="A1211" s="1" t="s">
        <v>1223</v>
      </c>
      <c r="B1211" t="str">
        <f>HYPERLINK("https://www.suredividend.com/sure-analysis-research-database/","Phathom Pharmaceuticals Inc")</f>
        <v>Phathom Pharmaceuticals Inc</v>
      </c>
      <c r="C1211" t="s">
        <v>1803</v>
      </c>
      <c r="D1211">
        <v>10.09</v>
      </c>
      <c r="E1211">
        <v>0</v>
      </c>
      <c r="F1211" t="s">
        <v>1798</v>
      </c>
      <c r="G1211" t="s">
        <v>1798</v>
      </c>
      <c r="H1211">
        <v>0</v>
      </c>
      <c r="I1211">
        <v>573.14411600000005</v>
      </c>
      <c r="J1211">
        <v>0</v>
      </c>
      <c r="K1211" t="s">
        <v>1798</v>
      </c>
      <c r="L1211">
        <v>1.425917132946092</v>
      </c>
      <c r="M1211">
        <v>17.02</v>
      </c>
      <c r="N1211">
        <v>5.84</v>
      </c>
    </row>
    <row r="1212" spans="1:14" x14ac:dyDescent="0.35">
      <c r="A1212" s="1" t="s">
        <v>1224</v>
      </c>
      <c r="B1212" t="str">
        <f>HYPERLINK("https://www.suredividend.com/sure-analysis-research-database/","Phreesia Inc")</f>
        <v>Phreesia Inc</v>
      </c>
      <c r="C1212" t="s">
        <v>1803</v>
      </c>
      <c r="D1212">
        <v>16.52</v>
      </c>
      <c r="E1212">
        <v>0</v>
      </c>
      <c r="F1212" t="s">
        <v>1798</v>
      </c>
      <c r="G1212" t="s">
        <v>1798</v>
      </c>
      <c r="H1212">
        <v>0</v>
      </c>
      <c r="I1212">
        <v>912.04729399999997</v>
      </c>
      <c r="J1212" t="s">
        <v>1798</v>
      </c>
      <c r="K1212">
        <v>0</v>
      </c>
      <c r="L1212">
        <v>1.7671496967996529</v>
      </c>
      <c r="M1212">
        <v>40</v>
      </c>
      <c r="N1212">
        <v>16.420000000000002</v>
      </c>
    </row>
    <row r="1213" spans="1:14" x14ac:dyDescent="0.35">
      <c r="A1213" s="1" t="s">
        <v>1225</v>
      </c>
      <c r="B1213" t="str">
        <f>HYPERLINK("https://www.suredividend.com/sure-analysis-research-database/","Impinj Inc")</f>
        <v>Impinj Inc</v>
      </c>
      <c r="C1213" t="s">
        <v>1804</v>
      </c>
      <c r="D1213">
        <v>52.69</v>
      </c>
      <c r="E1213">
        <v>0</v>
      </c>
      <c r="F1213" t="s">
        <v>1798</v>
      </c>
      <c r="G1213" t="s">
        <v>1798</v>
      </c>
      <c r="H1213">
        <v>0</v>
      </c>
      <c r="I1213">
        <v>1415.230374</v>
      </c>
      <c r="J1213" t="s">
        <v>1798</v>
      </c>
      <c r="K1213">
        <v>0</v>
      </c>
      <c r="L1213">
        <v>1.231951935308137</v>
      </c>
      <c r="M1213">
        <v>144.9</v>
      </c>
      <c r="N1213">
        <v>48.86</v>
      </c>
    </row>
    <row r="1214" spans="1:14" x14ac:dyDescent="0.35">
      <c r="A1214" s="1" t="s">
        <v>1226</v>
      </c>
      <c r="B1214" t="str">
        <f>HYPERLINK("https://www.suredividend.com/sure-analysis-research-database/","P3 Health Partners Inc")</f>
        <v>P3 Health Partners Inc</v>
      </c>
      <c r="C1214" t="s">
        <v>1798</v>
      </c>
      <c r="D1214">
        <v>1.59</v>
      </c>
      <c r="E1214">
        <v>0</v>
      </c>
      <c r="F1214" t="s">
        <v>1798</v>
      </c>
      <c r="G1214" t="s">
        <v>1798</v>
      </c>
      <c r="H1214">
        <v>0</v>
      </c>
      <c r="I1214">
        <v>181.656342</v>
      </c>
      <c r="J1214" t="s">
        <v>1798</v>
      </c>
      <c r="K1214">
        <v>0</v>
      </c>
      <c r="L1214">
        <v>0.95552082594771004</v>
      </c>
      <c r="M1214">
        <v>6.02</v>
      </c>
      <c r="N1214">
        <v>0.70030000000000003</v>
      </c>
    </row>
    <row r="1215" spans="1:14" x14ac:dyDescent="0.35">
      <c r="A1215" s="1" t="s">
        <v>1227</v>
      </c>
      <c r="B1215" t="str">
        <f>HYPERLINK("https://www.suredividend.com/sure-analysis-research-database/","Piper Sandler Co`s")</f>
        <v>Piper Sandler Co`s</v>
      </c>
      <c r="C1215" t="s">
        <v>1801</v>
      </c>
      <c r="D1215">
        <v>139.28</v>
      </c>
      <c r="E1215">
        <v>2.6011428425047001E-2</v>
      </c>
      <c r="F1215">
        <v>0</v>
      </c>
      <c r="G1215">
        <v>9.8560543306117854E-2</v>
      </c>
      <c r="H1215">
        <v>3.6228717510406212</v>
      </c>
      <c r="I1215">
        <v>2472.1401930000002</v>
      </c>
      <c r="J1215">
        <v>0</v>
      </c>
      <c r="K1215" t="s">
        <v>1798</v>
      </c>
      <c r="L1215">
        <v>1.1664891995524269</v>
      </c>
      <c r="M1215">
        <v>160.09</v>
      </c>
      <c r="N1215">
        <v>105.47</v>
      </c>
    </row>
    <row r="1216" spans="1:14" x14ac:dyDescent="0.35">
      <c r="A1216" s="1" t="s">
        <v>1228</v>
      </c>
      <c r="B1216" t="str">
        <f>HYPERLINK("https://www.suredividend.com/sure-analysis-research-database/","PJT Partners Inc")</f>
        <v>PJT Partners Inc</v>
      </c>
      <c r="C1216" t="s">
        <v>1801</v>
      </c>
      <c r="D1216">
        <v>77.23</v>
      </c>
      <c r="E1216">
        <v>1.2883616871981E-2</v>
      </c>
      <c r="F1216">
        <v>0</v>
      </c>
      <c r="G1216">
        <v>0.3797296614612149</v>
      </c>
      <c r="H1216">
        <v>0.99500173102312606</v>
      </c>
      <c r="I1216">
        <v>1868.50262</v>
      </c>
      <c r="J1216">
        <v>21.946494790871402</v>
      </c>
      <c r="K1216">
        <v>0.31191276834580761</v>
      </c>
      <c r="L1216">
        <v>0.61717746576223809</v>
      </c>
      <c r="M1216">
        <v>86.65</v>
      </c>
      <c r="N1216">
        <v>59.2</v>
      </c>
    </row>
    <row r="1217" spans="1:14" x14ac:dyDescent="0.35">
      <c r="A1217" s="1" t="s">
        <v>1229</v>
      </c>
      <c r="B1217" t="str">
        <f>HYPERLINK("https://www.suredividend.com/sure-analysis-research-database/","Parke Bancorp Inc")</f>
        <v>Parke Bancorp Inc</v>
      </c>
      <c r="C1217" t="s">
        <v>1801</v>
      </c>
      <c r="D1217">
        <v>16.29</v>
      </c>
      <c r="E1217">
        <v>4.2797523233004002E-2</v>
      </c>
      <c r="F1217">
        <v>0</v>
      </c>
      <c r="G1217">
        <v>5.1547496797280427E-2</v>
      </c>
      <c r="H1217">
        <v>0.69717165346565102</v>
      </c>
      <c r="I1217">
        <v>194.61127099999999</v>
      </c>
      <c r="J1217">
        <v>0</v>
      </c>
      <c r="K1217" t="s">
        <v>1798</v>
      </c>
      <c r="L1217">
        <v>0.72238264167160104</v>
      </c>
      <c r="M1217">
        <v>20.69</v>
      </c>
      <c r="N1217">
        <v>14.23</v>
      </c>
    </row>
    <row r="1218" spans="1:14" x14ac:dyDescent="0.35">
      <c r="A1218" s="1" t="s">
        <v>1230</v>
      </c>
      <c r="B1218" t="str">
        <f>HYPERLINK("https://www.suredividend.com/sure-analysis-research-database/","Park Aerospace Corp")</f>
        <v>Park Aerospace Corp</v>
      </c>
      <c r="C1218" t="s">
        <v>1799</v>
      </c>
      <c r="D1218">
        <v>14.74</v>
      </c>
      <c r="E1218">
        <v>3.1397317862226E-2</v>
      </c>
      <c r="F1218">
        <v>0.25</v>
      </c>
      <c r="G1218">
        <v>4.5639552591273169E-2</v>
      </c>
      <c r="H1218">
        <v>0.46279646528921597</v>
      </c>
      <c r="I1218">
        <v>298.48811000000001</v>
      </c>
      <c r="J1218">
        <v>28.33030658124526</v>
      </c>
      <c r="K1218">
        <v>0.89933242380337342</v>
      </c>
      <c r="L1218">
        <v>0.58189371693691605</v>
      </c>
      <c r="M1218">
        <v>16.100000000000001</v>
      </c>
      <c r="N1218">
        <v>9.65</v>
      </c>
    </row>
    <row r="1219" spans="1:14" x14ac:dyDescent="0.35">
      <c r="A1219" s="1" t="s">
        <v>1231</v>
      </c>
      <c r="B1219" t="str">
        <f>HYPERLINK("https://www.suredividend.com/sure-analysis-research-database/","Planet Labs PBC")</f>
        <v>Planet Labs PBC</v>
      </c>
      <c r="C1219" t="s">
        <v>1798</v>
      </c>
      <c r="D1219">
        <v>2.1800000000000002</v>
      </c>
      <c r="E1219">
        <v>0</v>
      </c>
      <c r="F1219" t="s">
        <v>1798</v>
      </c>
      <c r="G1219" t="s">
        <v>1798</v>
      </c>
      <c r="H1219">
        <v>0</v>
      </c>
      <c r="I1219">
        <v>539.61540000000002</v>
      </c>
      <c r="J1219" t="s">
        <v>1798</v>
      </c>
      <c r="K1219">
        <v>0</v>
      </c>
      <c r="L1219">
        <v>1.4150396307929769</v>
      </c>
      <c r="M1219">
        <v>5.81</v>
      </c>
      <c r="N1219">
        <v>2.17</v>
      </c>
    </row>
    <row r="1220" spans="1:14" x14ac:dyDescent="0.35">
      <c r="A1220" s="1" t="s">
        <v>1232</v>
      </c>
      <c r="B1220" t="str">
        <f>HYPERLINK("https://www.suredividend.com/sure-analysis-research-database/","Photronics, Inc.")</f>
        <v>Photronics, Inc.</v>
      </c>
      <c r="C1220" t="s">
        <v>1804</v>
      </c>
      <c r="D1220">
        <v>20.28</v>
      </c>
      <c r="E1220">
        <v>0</v>
      </c>
      <c r="F1220" t="s">
        <v>1798</v>
      </c>
      <c r="G1220" t="s">
        <v>1798</v>
      </c>
      <c r="H1220">
        <v>0</v>
      </c>
      <c r="I1220">
        <v>1268.4834579999999</v>
      </c>
      <c r="J1220">
        <v>10.755875814608171</v>
      </c>
      <c r="K1220">
        <v>0</v>
      </c>
      <c r="L1220">
        <v>1.366229788928516</v>
      </c>
      <c r="M1220">
        <v>26.98</v>
      </c>
      <c r="N1220">
        <v>13.86</v>
      </c>
    </row>
    <row r="1221" spans="1:14" x14ac:dyDescent="0.35">
      <c r="A1221" s="1" t="s">
        <v>1233</v>
      </c>
      <c r="B1221" t="str">
        <f>HYPERLINK("https://www.suredividend.com/sure-analysis-research-database/","Dave &amp; Buster`s Entertainment Inc")</f>
        <v>Dave &amp; Buster`s Entertainment Inc</v>
      </c>
      <c r="C1221" t="s">
        <v>1802</v>
      </c>
      <c r="D1221">
        <v>33.29</v>
      </c>
      <c r="E1221">
        <v>0</v>
      </c>
      <c r="F1221" t="s">
        <v>1798</v>
      </c>
      <c r="G1221" t="s">
        <v>1798</v>
      </c>
      <c r="H1221">
        <v>0</v>
      </c>
      <c r="I1221">
        <v>1429.8054999999999</v>
      </c>
      <c r="J1221">
        <v>10.43173941909925</v>
      </c>
      <c r="K1221">
        <v>0</v>
      </c>
      <c r="L1221">
        <v>1.1144582794504101</v>
      </c>
      <c r="M1221">
        <v>47.29</v>
      </c>
      <c r="N1221">
        <v>31.65</v>
      </c>
    </row>
    <row r="1222" spans="1:14" x14ac:dyDescent="0.35">
      <c r="A1222" s="1" t="s">
        <v>1234</v>
      </c>
      <c r="B1222" t="str">
        <f>HYPERLINK("https://www.suredividend.com/sure-analysis-research-database/","PLBY Group Inc")</f>
        <v>PLBY Group Inc</v>
      </c>
      <c r="C1222" t="s">
        <v>1798</v>
      </c>
      <c r="D1222">
        <v>0.60000000000000009</v>
      </c>
      <c r="E1222">
        <v>0</v>
      </c>
      <c r="F1222" t="s">
        <v>1798</v>
      </c>
      <c r="G1222" t="s">
        <v>1798</v>
      </c>
      <c r="H1222">
        <v>0</v>
      </c>
      <c r="I1222">
        <v>44.328688</v>
      </c>
      <c r="J1222">
        <v>0</v>
      </c>
      <c r="K1222" t="s">
        <v>1798</v>
      </c>
      <c r="L1222">
        <v>1.854098859071734</v>
      </c>
      <c r="M1222">
        <v>4.43</v>
      </c>
      <c r="N1222">
        <v>0.59099999999999997</v>
      </c>
    </row>
    <row r="1223" spans="1:14" x14ac:dyDescent="0.35">
      <c r="A1223" s="1" t="s">
        <v>1235</v>
      </c>
      <c r="B1223" t="str">
        <f>HYPERLINK("https://www.suredividend.com/sure-analysis-research-database/","Childrens Place Inc")</f>
        <v>Childrens Place Inc</v>
      </c>
      <c r="C1223" t="s">
        <v>1802</v>
      </c>
      <c r="D1223">
        <v>23.7</v>
      </c>
      <c r="E1223">
        <v>0</v>
      </c>
      <c r="F1223" t="s">
        <v>1798</v>
      </c>
      <c r="G1223" t="s">
        <v>1798</v>
      </c>
      <c r="H1223">
        <v>0</v>
      </c>
      <c r="I1223">
        <v>295.74891100000002</v>
      </c>
      <c r="J1223" t="s">
        <v>1798</v>
      </c>
      <c r="K1223">
        <v>0</v>
      </c>
      <c r="L1223">
        <v>1.784399380490991</v>
      </c>
      <c r="M1223">
        <v>48.88</v>
      </c>
      <c r="N1223">
        <v>14.27</v>
      </c>
    </row>
    <row r="1224" spans="1:14" x14ac:dyDescent="0.35">
      <c r="A1224" s="1" t="s">
        <v>1236</v>
      </c>
      <c r="B1224" t="str">
        <f>HYPERLINK("https://www.suredividend.com/sure-analysis-research-database/","Piedmont Lithium Inc")</f>
        <v>Piedmont Lithium Inc</v>
      </c>
      <c r="C1224" t="s">
        <v>1809</v>
      </c>
      <c r="D1224">
        <v>32.93</v>
      </c>
      <c r="E1224">
        <v>0</v>
      </c>
      <c r="F1224" t="s">
        <v>1798</v>
      </c>
      <c r="G1224" t="s">
        <v>1798</v>
      </c>
      <c r="H1224">
        <v>0</v>
      </c>
      <c r="I1224">
        <v>632.12062500000002</v>
      </c>
      <c r="J1224">
        <v>0</v>
      </c>
      <c r="K1224" t="s">
        <v>1798</v>
      </c>
      <c r="L1224">
        <v>1.9380937808777581</v>
      </c>
      <c r="M1224">
        <v>76.78</v>
      </c>
      <c r="N1224">
        <v>32.51</v>
      </c>
    </row>
    <row r="1225" spans="1:14" x14ac:dyDescent="0.35">
      <c r="A1225" s="1" t="s">
        <v>1237</v>
      </c>
      <c r="B1225" t="str">
        <f>HYPERLINK("https://www.suredividend.com/sure-analysis-research-database/","Polymet Mining Corp")</f>
        <v>Polymet Mining Corp</v>
      </c>
      <c r="C1225" t="s">
        <v>1809</v>
      </c>
      <c r="D1225">
        <v>2.1</v>
      </c>
      <c r="E1225">
        <v>0</v>
      </c>
      <c r="F1225" t="s">
        <v>1798</v>
      </c>
      <c r="G1225" t="s">
        <v>1798</v>
      </c>
      <c r="H1225">
        <v>0</v>
      </c>
      <c r="I1225">
        <v>408.36652700000002</v>
      </c>
      <c r="J1225">
        <v>0</v>
      </c>
      <c r="K1225" t="s">
        <v>1798</v>
      </c>
      <c r="L1225">
        <v>1.022154507231144</v>
      </c>
      <c r="M1225">
        <v>3.22</v>
      </c>
      <c r="N1225">
        <v>0.751</v>
      </c>
    </row>
    <row r="1226" spans="1:14" x14ac:dyDescent="0.35">
      <c r="A1226" s="1" t="s">
        <v>1238</v>
      </c>
      <c r="B1226" t="str">
        <f>HYPERLINK("https://www.suredividend.com/sure-analysis-research-database/","Palomar Holdings Inc")</f>
        <v>Palomar Holdings Inc</v>
      </c>
      <c r="C1226" t="s">
        <v>1801</v>
      </c>
      <c r="D1226">
        <v>50.98</v>
      </c>
      <c r="E1226">
        <v>0</v>
      </c>
      <c r="F1226" t="s">
        <v>1798</v>
      </c>
      <c r="G1226" t="s">
        <v>1798</v>
      </c>
      <c r="H1226">
        <v>0</v>
      </c>
      <c r="I1226">
        <v>1261.336352</v>
      </c>
      <c r="J1226">
        <v>21.77759202058046</v>
      </c>
      <c r="K1226">
        <v>0</v>
      </c>
      <c r="L1226">
        <v>0.96697217792052403</v>
      </c>
      <c r="M1226">
        <v>93.63</v>
      </c>
      <c r="N1226">
        <v>43.64</v>
      </c>
    </row>
    <row r="1227" spans="1:14" x14ac:dyDescent="0.35">
      <c r="A1227" s="1" t="s">
        <v>1239</v>
      </c>
      <c r="B1227" t="str">
        <f>HYPERLINK("https://www.suredividend.com/sure-analysis-research-database/","Douglas Dynamics Inc")</f>
        <v>Douglas Dynamics Inc</v>
      </c>
      <c r="C1227" t="s">
        <v>1802</v>
      </c>
      <c r="D1227">
        <v>30.27</v>
      </c>
      <c r="E1227">
        <v>3.8266506011868012E-2</v>
      </c>
      <c r="F1227">
        <v>1.7241379310344751E-2</v>
      </c>
      <c r="G1227">
        <v>2.168079166422654E-2</v>
      </c>
      <c r="H1227">
        <v>1.1583271369792709</v>
      </c>
      <c r="I1227">
        <v>695.72462099999996</v>
      </c>
      <c r="J1227">
        <v>20.043924533275721</v>
      </c>
      <c r="K1227">
        <v>0.76710406422468269</v>
      </c>
      <c r="L1227">
        <v>0.86566262992368403</v>
      </c>
      <c r="M1227">
        <v>40.229999999999997</v>
      </c>
      <c r="N1227">
        <v>25</v>
      </c>
    </row>
    <row r="1228" spans="1:14" x14ac:dyDescent="0.35">
      <c r="A1228" s="1" t="s">
        <v>1240</v>
      </c>
      <c r="B1228" t="str">
        <f>HYPERLINK("https://www.suredividend.com/sure-analysis-research-database/","Preformed Line Products Co.")</f>
        <v>Preformed Line Products Co.</v>
      </c>
      <c r="C1228" t="s">
        <v>1799</v>
      </c>
      <c r="D1228">
        <v>143</v>
      </c>
      <c r="E1228">
        <v>5.5747799667130006E-3</v>
      </c>
      <c r="F1228">
        <v>0</v>
      </c>
      <c r="G1228">
        <v>0</v>
      </c>
      <c r="H1228">
        <v>0.79719353524007608</v>
      </c>
      <c r="I1228">
        <v>702.91664300000002</v>
      </c>
      <c r="J1228">
        <v>10.003367720726359</v>
      </c>
      <c r="K1228">
        <v>5.7064676824629637E-2</v>
      </c>
      <c r="L1228">
        <v>0.95547996702906912</v>
      </c>
      <c r="M1228">
        <v>184.37</v>
      </c>
      <c r="N1228">
        <v>70.44</v>
      </c>
    </row>
    <row r="1229" spans="1:14" x14ac:dyDescent="0.35">
      <c r="A1229" s="1" t="s">
        <v>1241</v>
      </c>
      <c r="B1229" t="str">
        <f>HYPERLINK("https://www.suredividend.com/sure-analysis-research-database/","ePlus Inc")</f>
        <v>ePlus Inc</v>
      </c>
      <c r="C1229" t="s">
        <v>1804</v>
      </c>
      <c r="D1229">
        <v>67.209999999999994</v>
      </c>
      <c r="E1229">
        <v>0</v>
      </c>
      <c r="F1229" t="s">
        <v>1798</v>
      </c>
      <c r="G1229" t="s">
        <v>1798</v>
      </c>
      <c r="H1229">
        <v>0</v>
      </c>
      <c r="I1229">
        <v>1810.496461</v>
      </c>
      <c r="J1229">
        <v>13.8349466669978</v>
      </c>
      <c r="K1229">
        <v>0</v>
      </c>
      <c r="L1229">
        <v>1.085137557797142</v>
      </c>
      <c r="M1229">
        <v>75.900000000000006</v>
      </c>
      <c r="N1229">
        <v>41.71</v>
      </c>
    </row>
    <row r="1230" spans="1:14" x14ac:dyDescent="0.35">
      <c r="A1230" s="1" t="s">
        <v>1242</v>
      </c>
      <c r="B1230" t="str">
        <f>HYPERLINK("https://www.suredividend.com/sure-analysis-research-database/","Plexus Corp.")</f>
        <v>Plexus Corp.</v>
      </c>
      <c r="C1230" t="s">
        <v>1804</v>
      </c>
      <c r="D1230">
        <v>93.74</v>
      </c>
      <c r="E1230">
        <v>0</v>
      </c>
      <c r="F1230" t="s">
        <v>1798</v>
      </c>
      <c r="G1230" t="s">
        <v>1798</v>
      </c>
      <c r="H1230">
        <v>0</v>
      </c>
      <c r="I1230">
        <v>2576.0825319999999</v>
      </c>
      <c r="J1230">
        <v>17.255559865362709</v>
      </c>
      <c r="K1230">
        <v>0</v>
      </c>
      <c r="L1230">
        <v>0.81623664295944209</v>
      </c>
      <c r="M1230">
        <v>115.36</v>
      </c>
      <c r="N1230">
        <v>83.84</v>
      </c>
    </row>
    <row r="1231" spans="1:14" x14ac:dyDescent="0.35">
      <c r="A1231" s="1" t="s">
        <v>1243</v>
      </c>
      <c r="B1231" t="str">
        <f>HYPERLINK("https://www.suredividend.com/sure-analysis-PLYM/","Plymouth Industrial Reit Inc")</f>
        <v>Plymouth Industrial Reit Inc</v>
      </c>
      <c r="C1231" t="s">
        <v>1800</v>
      </c>
      <c r="D1231">
        <v>20.67</v>
      </c>
      <c r="E1231">
        <v>4.3541364296081277E-2</v>
      </c>
      <c r="F1231">
        <v>2.2727272727272711E-2</v>
      </c>
      <c r="G1231">
        <v>-9.7119548552565771E-2</v>
      </c>
      <c r="H1231">
        <v>0.88108132517735205</v>
      </c>
      <c r="I1231">
        <v>914.74431800000002</v>
      </c>
      <c r="J1231">
        <v>0</v>
      </c>
      <c r="K1231" t="s">
        <v>1798</v>
      </c>
      <c r="L1231">
        <v>0.99507608071358711</v>
      </c>
      <c r="M1231">
        <v>23.53</v>
      </c>
      <c r="N1231">
        <v>15.74</v>
      </c>
    </row>
    <row r="1232" spans="1:14" x14ac:dyDescent="0.35">
      <c r="A1232" s="1" t="s">
        <v>1244</v>
      </c>
      <c r="B1232" t="str">
        <f>HYPERLINK("https://www.suredividend.com/sure-analysis-PMT/","Pennymac Mortgage Investment Trust")</f>
        <v>Pennymac Mortgage Investment Trust</v>
      </c>
      <c r="C1232" t="s">
        <v>1800</v>
      </c>
      <c r="D1232">
        <v>11.47</v>
      </c>
      <c r="E1232">
        <v>0.1394943330427201</v>
      </c>
      <c r="F1232">
        <v>-0.14893617021276601</v>
      </c>
      <c r="G1232">
        <v>-3.1739028631201038E-2</v>
      </c>
      <c r="H1232">
        <v>1.526808052269822</v>
      </c>
      <c r="I1232">
        <v>995.14188000000001</v>
      </c>
      <c r="J1232">
        <v>16.68609265346501</v>
      </c>
      <c r="K1232">
        <v>2.2866677434024592</v>
      </c>
      <c r="L1232">
        <v>1.2223686117652111</v>
      </c>
      <c r="M1232">
        <v>14.16</v>
      </c>
      <c r="N1232">
        <v>9.94</v>
      </c>
    </row>
    <row r="1233" spans="1:14" x14ac:dyDescent="0.35">
      <c r="A1233" s="1" t="s">
        <v>1245</v>
      </c>
      <c r="B1233" t="str">
        <f>HYPERLINK("https://www.suredividend.com/sure-analysis-research-database/","PMV Pharmaceuticals Inc")</f>
        <v>PMV Pharmaceuticals Inc</v>
      </c>
      <c r="C1233" t="s">
        <v>1798</v>
      </c>
      <c r="D1233">
        <v>2</v>
      </c>
      <c r="E1233">
        <v>0</v>
      </c>
      <c r="F1233" t="s">
        <v>1798</v>
      </c>
      <c r="G1233" t="s">
        <v>1798</v>
      </c>
      <c r="H1233">
        <v>0</v>
      </c>
      <c r="I1233">
        <v>96.909164000000004</v>
      </c>
      <c r="J1233">
        <v>0</v>
      </c>
      <c r="K1233" t="s">
        <v>1798</v>
      </c>
      <c r="L1233">
        <v>1.491712833296523</v>
      </c>
      <c r="M1233">
        <v>13.02</v>
      </c>
      <c r="N1233">
        <v>1.69</v>
      </c>
    </row>
    <row r="1234" spans="1:14" x14ac:dyDescent="0.35">
      <c r="A1234" s="1" t="s">
        <v>1246</v>
      </c>
      <c r="B1234" t="str">
        <f>HYPERLINK("https://www.suredividend.com/sure-analysis-PNM/","PNM Resources Inc")</f>
        <v>PNM Resources Inc</v>
      </c>
      <c r="C1234" t="s">
        <v>1806</v>
      </c>
      <c r="D1234">
        <v>43.74</v>
      </c>
      <c r="E1234">
        <v>3.3607681755829899E-2</v>
      </c>
      <c r="F1234">
        <v>5.7553956834532238E-2</v>
      </c>
      <c r="G1234">
        <v>6.758458395139888E-2</v>
      </c>
      <c r="H1234">
        <v>1.433127061643847</v>
      </c>
      <c r="I1234">
        <v>3754.4173890000002</v>
      </c>
      <c r="J1234">
        <v>15.74205600412586</v>
      </c>
      <c r="K1234">
        <v>0.51737439048514333</v>
      </c>
      <c r="L1234">
        <v>0.10565312309567799</v>
      </c>
      <c r="M1234">
        <v>48.69</v>
      </c>
      <c r="N1234">
        <v>42.75</v>
      </c>
    </row>
    <row r="1235" spans="1:14" x14ac:dyDescent="0.35">
      <c r="A1235" s="1" t="s">
        <v>1247</v>
      </c>
      <c r="B1235" t="str">
        <f>HYPERLINK("https://www.suredividend.com/sure-analysis-research-database/","POINT Biopharma Global Inc")</f>
        <v>POINT Biopharma Global Inc</v>
      </c>
      <c r="C1235" t="s">
        <v>1798</v>
      </c>
      <c r="D1235">
        <v>12.61</v>
      </c>
      <c r="E1235">
        <v>0</v>
      </c>
      <c r="F1235" t="s">
        <v>1798</v>
      </c>
      <c r="G1235" t="s">
        <v>1798</v>
      </c>
      <c r="H1235">
        <v>0</v>
      </c>
      <c r="I1235">
        <v>1333.70868</v>
      </c>
      <c r="J1235">
        <v>13.70541658070651</v>
      </c>
      <c r="K1235">
        <v>0</v>
      </c>
      <c r="L1235">
        <v>0.71102805264054703</v>
      </c>
      <c r="M1235">
        <v>12.82</v>
      </c>
      <c r="N1235">
        <v>5.59</v>
      </c>
    </row>
    <row r="1236" spans="1:14" x14ac:dyDescent="0.35">
      <c r="A1236" s="1" t="s">
        <v>1248</v>
      </c>
      <c r="B1236" t="str">
        <f>HYPERLINK("https://www.suredividend.com/sure-analysis-research-database/","Pennant Group Inc")</f>
        <v>Pennant Group Inc</v>
      </c>
      <c r="C1236" t="s">
        <v>1803</v>
      </c>
      <c r="D1236">
        <v>10.58</v>
      </c>
      <c r="E1236">
        <v>0</v>
      </c>
      <c r="F1236" t="s">
        <v>1798</v>
      </c>
      <c r="G1236" t="s">
        <v>1798</v>
      </c>
      <c r="H1236">
        <v>0</v>
      </c>
      <c r="I1236">
        <v>315.81662899999998</v>
      </c>
      <c r="J1236">
        <v>24.38361866429895</v>
      </c>
      <c r="K1236">
        <v>0</v>
      </c>
      <c r="L1236">
        <v>0.87977694453699506</v>
      </c>
      <c r="M1236">
        <v>16.39</v>
      </c>
      <c r="N1236">
        <v>9.26</v>
      </c>
    </row>
    <row r="1237" spans="1:14" x14ac:dyDescent="0.35">
      <c r="A1237" s="1" t="s">
        <v>1249</v>
      </c>
      <c r="B1237" t="str">
        <f>HYPERLINK("https://www.suredividend.com/sure-analysis-POR/","Portland General Electric Co")</f>
        <v>Portland General Electric Co</v>
      </c>
      <c r="C1237" t="s">
        <v>1806</v>
      </c>
      <c r="D1237">
        <v>41.66</v>
      </c>
      <c r="E1237">
        <v>4.5607297167546808E-2</v>
      </c>
      <c r="F1237">
        <v>4.9723756906077332E-2</v>
      </c>
      <c r="G1237">
        <v>5.5545891648483892E-2</v>
      </c>
      <c r="H1237">
        <v>1.826374858999924</v>
      </c>
      <c r="I1237">
        <v>4211.5974530000003</v>
      </c>
      <c r="J1237">
        <v>18.97115969927928</v>
      </c>
      <c r="K1237">
        <v>0.76098952458330171</v>
      </c>
      <c r="L1237">
        <v>0.68288783389247509</v>
      </c>
      <c r="M1237">
        <v>50.5</v>
      </c>
      <c r="N1237">
        <v>38.01</v>
      </c>
    </row>
    <row r="1238" spans="1:14" x14ac:dyDescent="0.35">
      <c r="A1238" s="1" t="s">
        <v>1250</v>
      </c>
      <c r="B1238" t="str">
        <f>HYPERLINK("https://www.suredividend.com/sure-analysis-research-database/","Power Integrations Inc.")</f>
        <v>Power Integrations Inc.</v>
      </c>
      <c r="C1238" t="s">
        <v>1804</v>
      </c>
      <c r="D1238">
        <v>75.52</v>
      </c>
      <c r="E1238">
        <v>9.8714654464130015E-3</v>
      </c>
      <c r="F1238">
        <v>5.555555555555558E-2</v>
      </c>
      <c r="G1238">
        <v>3.4967527040806967E-2</v>
      </c>
      <c r="H1238">
        <v>0.74549307051312208</v>
      </c>
      <c r="I1238">
        <v>4334.3915569999999</v>
      </c>
      <c r="J1238">
        <v>47.921894116112199</v>
      </c>
      <c r="K1238">
        <v>0.47483635064530072</v>
      </c>
      <c r="L1238">
        <v>1.5594733736843349</v>
      </c>
      <c r="M1238">
        <v>99.15</v>
      </c>
      <c r="N1238">
        <v>58.37</v>
      </c>
    </row>
    <row r="1239" spans="1:14" x14ac:dyDescent="0.35">
      <c r="A1239" s="1" t="s">
        <v>1251</v>
      </c>
      <c r="B1239" t="str">
        <f>HYPERLINK("https://www.suredividend.com/sure-analysis-research-database/","Powell Industries, Inc.")</f>
        <v>Powell Industries, Inc.</v>
      </c>
      <c r="C1239" t="s">
        <v>1799</v>
      </c>
      <c r="D1239">
        <v>80.55</v>
      </c>
      <c r="E1239">
        <v>1.286287722552E-2</v>
      </c>
      <c r="F1239">
        <v>9.6153846153845812E-3</v>
      </c>
      <c r="G1239">
        <v>1.9157228600665821E-3</v>
      </c>
      <c r="H1239">
        <v>1.0361047605156659</v>
      </c>
      <c r="I1239">
        <v>955.36996099999999</v>
      </c>
      <c r="J1239">
        <v>25.94140221163245</v>
      </c>
      <c r="K1239">
        <v>0.34194876584675438</v>
      </c>
      <c r="L1239">
        <v>0.66992378630995808</v>
      </c>
      <c r="M1239">
        <v>91.29</v>
      </c>
      <c r="N1239">
        <v>20.58</v>
      </c>
    </row>
    <row r="1240" spans="1:14" x14ac:dyDescent="0.35">
      <c r="A1240" s="1" t="s">
        <v>1252</v>
      </c>
      <c r="B1240" t="str">
        <f>HYPERLINK("https://www.suredividend.com/sure-analysis-research-database/","AMMO Inc")</f>
        <v>AMMO Inc</v>
      </c>
      <c r="C1240" t="s">
        <v>1802</v>
      </c>
      <c r="D1240">
        <v>2.2799999999999998</v>
      </c>
      <c r="E1240">
        <v>0</v>
      </c>
      <c r="F1240" t="s">
        <v>1798</v>
      </c>
      <c r="G1240" t="s">
        <v>1798</v>
      </c>
      <c r="H1240">
        <v>0</v>
      </c>
      <c r="I1240">
        <v>268.94405999999998</v>
      </c>
      <c r="J1240">
        <v>0</v>
      </c>
      <c r="K1240" t="s">
        <v>1798</v>
      </c>
      <c r="L1240">
        <v>1.2853328547944931</v>
      </c>
      <c r="M1240">
        <v>3.35</v>
      </c>
      <c r="N1240">
        <v>1.56</v>
      </c>
    </row>
    <row r="1241" spans="1:14" x14ac:dyDescent="0.35">
      <c r="A1241" s="1" t="s">
        <v>1253</v>
      </c>
      <c r="B1241" t="str">
        <f>HYPERLINK("https://www.suredividend.com/sure-analysis-research-database/","Pacific Premier Bancorp, Inc.")</f>
        <v>Pacific Premier Bancorp, Inc.</v>
      </c>
      <c r="C1241" t="s">
        <v>1801</v>
      </c>
      <c r="D1241">
        <v>21.06</v>
      </c>
      <c r="E1241">
        <v>6.0234178698390997E-2</v>
      </c>
      <c r="F1241" t="s">
        <v>1798</v>
      </c>
      <c r="G1241" t="s">
        <v>1798</v>
      </c>
      <c r="H1241">
        <v>1.268531803388129</v>
      </c>
      <c r="I1241">
        <v>2019.6806200000001</v>
      </c>
      <c r="J1241">
        <v>7.6629899486650244</v>
      </c>
      <c r="K1241">
        <v>0.45304707263861749</v>
      </c>
      <c r="L1241">
        <v>1.4015923989180099</v>
      </c>
      <c r="M1241">
        <v>34.89</v>
      </c>
      <c r="N1241">
        <v>16.59</v>
      </c>
    </row>
    <row r="1242" spans="1:14" x14ac:dyDescent="0.35">
      <c r="A1242" s="1" t="s">
        <v>1254</v>
      </c>
      <c r="B1242" t="str">
        <f>HYPERLINK("https://www.suredividend.com/sure-analysis-research-database/","Permian Resources Corp")</f>
        <v>Permian Resources Corp</v>
      </c>
      <c r="C1242" t="s">
        <v>1798</v>
      </c>
      <c r="D1242">
        <v>14.83</v>
      </c>
      <c r="E1242">
        <v>1.3396050292265E-2</v>
      </c>
      <c r="F1242" t="s">
        <v>1798</v>
      </c>
      <c r="G1242" t="s">
        <v>1798</v>
      </c>
      <c r="H1242">
        <v>0.19866342583429999</v>
      </c>
      <c r="I1242">
        <v>5186.28521</v>
      </c>
      <c r="J1242">
        <v>10.739251420895039</v>
      </c>
      <c r="K1242">
        <v>0.1379607123849306</v>
      </c>
      <c r="L1242">
        <v>1.3657883736617731</v>
      </c>
      <c r="M1242">
        <v>15.3</v>
      </c>
      <c r="N1242">
        <v>8.32</v>
      </c>
    </row>
    <row r="1243" spans="1:14" x14ac:dyDescent="0.35">
      <c r="A1243" s="1" t="s">
        <v>1255</v>
      </c>
      <c r="B1243" t="str">
        <f>HYPERLINK("https://www.suredividend.com/sure-analysis-research-database/","Proassurance Corporation")</f>
        <v>Proassurance Corporation</v>
      </c>
      <c r="C1243" t="s">
        <v>1801</v>
      </c>
      <c r="D1243">
        <v>17.88</v>
      </c>
      <c r="E1243">
        <v>5.5849443777800014E-3</v>
      </c>
      <c r="F1243" t="s">
        <v>1798</v>
      </c>
      <c r="G1243" t="s">
        <v>1798</v>
      </c>
      <c r="H1243">
        <v>9.9858805474723006E-2</v>
      </c>
      <c r="I1243">
        <v>930.918767</v>
      </c>
      <c r="J1243">
        <v>100.4227364660194</v>
      </c>
      <c r="K1243">
        <v>0.58226708731616905</v>
      </c>
      <c r="L1243">
        <v>0.58153567221420499</v>
      </c>
      <c r="M1243">
        <v>22.69</v>
      </c>
      <c r="N1243">
        <v>11.87</v>
      </c>
    </row>
    <row r="1244" spans="1:14" x14ac:dyDescent="0.35">
      <c r="A1244" s="1" t="s">
        <v>1256</v>
      </c>
      <c r="B1244" t="str">
        <f>HYPERLINK("https://www.suredividend.com/sure-analysis-research-database/","PRA Group Inc")</f>
        <v>PRA Group Inc</v>
      </c>
      <c r="C1244" t="s">
        <v>1801</v>
      </c>
      <c r="D1244">
        <v>17.989999999999998</v>
      </c>
      <c r="E1244">
        <v>0</v>
      </c>
      <c r="F1244" t="s">
        <v>1798</v>
      </c>
      <c r="G1244" t="s">
        <v>1798</v>
      </c>
      <c r="H1244">
        <v>0</v>
      </c>
      <c r="I1244">
        <v>705.95647399999996</v>
      </c>
      <c r="J1244" t="s">
        <v>1798</v>
      </c>
      <c r="K1244">
        <v>0</v>
      </c>
      <c r="L1244">
        <v>0.80502527019948611</v>
      </c>
      <c r="M1244">
        <v>43.34</v>
      </c>
      <c r="N1244">
        <v>17.329999999999998</v>
      </c>
    </row>
    <row r="1245" spans="1:14" x14ac:dyDescent="0.35">
      <c r="A1245" s="1" t="s">
        <v>1257</v>
      </c>
      <c r="B1245" t="str">
        <f>HYPERLINK("https://www.suredividend.com/sure-analysis-research-database/","Praxis Precision Medicines Inc")</f>
        <v>Praxis Precision Medicines Inc</v>
      </c>
      <c r="C1245" t="s">
        <v>1798</v>
      </c>
      <c r="D1245">
        <v>1.36</v>
      </c>
      <c r="E1245">
        <v>0</v>
      </c>
      <c r="F1245" t="s">
        <v>1798</v>
      </c>
      <c r="G1245" t="s">
        <v>1798</v>
      </c>
      <c r="H1245">
        <v>0</v>
      </c>
      <c r="I1245">
        <v>174.81470300000001</v>
      </c>
      <c r="J1245">
        <v>0</v>
      </c>
      <c r="K1245" t="s">
        <v>1798</v>
      </c>
      <c r="L1245">
        <v>0.16308644808151601</v>
      </c>
      <c r="M1245">
        <v>5.25</v>
      </c>
      <c r="N1245">
        <v>0.79</v>
      </c>
    </row>
    <row r="1246" spans="1:14" x14ac:dyDescent="0.35">
      <c r="A1246" s="1" t="s">
        <v>1258</v>
      </c>
      <c r="B1246" t="str">
        <f>HYPERLINK("https://www.suredividend.com/sure-analysis-research-database/","Porch Group Inc")</f>
        <v>Porch Group Inc</v>
      </c>
      <c r="C1246" t="s">
        <v>1798</v>
      </c>
      <c r="D1246">
        <v>0.63950000000000007</v>
      </c>
      <c r="E1246">
        <v>0</v>
      </c>
      <c r="F1246" t="s">
        <v>1798</v>
      </c>
      <c r="G1246" t="s">
        <v>1798</v>
      </c>
      <c r="H1246">
        <v>0</v>
      </c>
      <c r="I1246">
        <v>62.947136999999998</v>
      </c>
      <c r="J1246" t="s">
        <v>1798</v>
      </c>
      <c r="K1246">
        <v>0</v>
      </c>
      <c r="L1246">
        <v>1.9331620178838871</v>
      </c>
      <c r="M1246">
        <v>3.99</v>
      </c>
      <c r="N1246">
        <v>0.60000000000000009</v>
      </c>
    </row>
    <row r="1247" spans="1:14" x14ac:dyDescent="0.35">
      <c r="A1247" s="1" t="s">
        <v>1259</v>
      </c>
      <c r="B1247" t="str">
        <f>HYPERLINK("https://www.suredividend.com/sure-analysis-research-database/","Procept BioRobotics Corp")</f>
        <v>Procept BioRobotics Corp</v>
      </c>
      <c r="C1247" t="s">
        <v>1798</v>
      </c>
      <c r="D1247">
        <v>26.94</v>
      </c>
      <c r="E1247">
        <v>0</v>
      </c>
      <c r="F1247" t="s">
        <v>1798</v>
      </c>
      <c r="G1247" t="s">
        <v>1798</v>
      </c>
      <c r="H1247">
        <v>0</v>
      </c>
      <c r="I1247">
        <v>1219.8147779999999</v>
      </c>
      <c r="J1247" t="s">
        <v>1798</v>
      </c>
      <c r="K1247">
        <v>0</v>
      </c>
      <c r="L1247">
        <v>0.77489946944252708</v>
      </c>
      <c r="M1247">
        <v>47.75</v>
      </c>
      <c r="N1247">
        <v>25.29</v>
      </c>
    </row>
    <row r="1248" spans="1:14" x14ac:dyDescent="0.35">
      <c r="A1248" s="1" t="s">
        <v>1260</v>
      </c>
      <c r="B1248" t="str">
        <f>HYPERLINK("https://www.suredividend.com/sure-analysis-research-database/","Perdoceo Education Corporation")</f>
        <v>Perdoceo Education Corporation</v>
      </c>
      <c r="C1248" t="s">
        <v>1805</v>
      </c>
      <c r="D1248">
        <v>17.46</v>
      </c>
      <c r="E1248">
        <v>6.3001145133990003E-3</v>
      </c>
      <c r="F1248" t="s">
        <v>1798</v>
      </c>
      <c r="G1248" t="s">
        <v>1798</v>
      </c>
      <c r="H1248">
        <v>0.109999999403953</v>
      </c>
      <c r="I1248">
        <v>1145.5428300000001</v>
      </c>
      <c r="J1248">
        <v>9.0073269195386043</v>
      </c>
      <c r="K1248">
        <v>5.9459459137271888E-2</v>
      </c>
      <c r="L1248">
        <v>0.52961209744389603</v>
      </c>
      <c r="M1248">
        <v>18.04</v>
      </c>
      <c r="N1248">
        <v>10.08</v>
      </c>
    </row>
    <row r="1249" spans="1:14" x14ac:dyDescent="0.35">
      <c r="A1249" s="1" t="s">
        <v>1261</v>
      </c>
      <c r="B1249" t="str">
        <f>HYPERLINK("https://www.suredividend.com/sure-analysis-research-database/","Pardes Biosciences Inc")</f>
        <v>Pardes Biosciences Inc</v>
      </c>
      <c r="C1249" t="s">
        <v>1798</v>
      </c>
      <c r="D1249">
        <v>2.16</v>
      </c>
      <c r="E1249">
        <v>0</v>
      </c>
      <c r="F1249" t="s">
        <v>1798</v>
      </c>
      <c r="G1249" t="s">
        <v>1798</v>
      </c>
      <c r="H1249">
        <v>0</v>
      </c>
      <c r="I1249">
        <v>0</v>
      </c>
      <c r="J1249">
        <v>0</v>
      </c>
      <c r="K1249" t="s">
        <v>1798</v>
      </c>
    </row>
    <row r="1250" spans="1:14" x14ac:dyDescent="0.35">
      <c r="A1250" s="1" t="s">
        <v>1262</v>
      </c>
      <c r="B1250" t="str">
        <f>HYPERLINK("https://www.suredividend.com/sure-analysis-research-database/","Perficient Inc.")</f>
        <v>Perficient Inc.</v>
      </c>
      <c r="C1250" t="s">
        <v>1804</v>
      </c>
      <c r="D1250">
        <v>57.17</v>
      </c>
      <c r="E1250">
        <v>0</v>
      </c>
      <c r="F1250" t="s">
        <v>1798</v>
      </c>
      <c r="G1250" t="s">
        <v>1798</v>
      </c>
      <c r="H1250">
        <v>0</v>
      </c>
      <c r="I1250">
        <v>1990.3677190000001</v>
      </c>
      <c r="J1250">
        <v>19.392491120659411</v>
      </c>
      <c r="K1250">
        <v>0</v>
      </c>
      <c r="L1250">
        <v>1.1755991603781311</v>
      </c>
      <c r="M1250">
        <v>96.93</v>
      </c>
      <c r="N1250">
        <v>56.17</v>
      </c>
    </row>
    <row r="1251" spans="1:14" x14ac:dyDescent="0.35">
      <c r="A1251" s="1" t="s">
        <v>1263</v>
      </c>
      <c r="B1251" t="str">
        <f>HYPERLINK("https://www.suredividend.com/sure-analysis-research-database/","PROG Holdings Inc")</f>
        <v>PROG Holdings Inc</v>
      </c>
      <c r="C1251" t="s">
        <v>1798</v>
      </c>
      <c r="D1251">
        <v>30.12</v>
      </c>
      <c r="E1251">
        <v>0</v>
      </c>
      <c r="F1251" t="s">
        <v>1798</v>
      </c>
      <c r="G1251" t="s">
        <v>1798</v>
      </c>
      <c r="H1251">
        <v>0</v>
      </c>
      <c r="I1251">
        <v>1376.7952</v>
      </c>
      <c r="J1251">
        <v>10.0246481374098</v>
      </c>
      <c r="K1251">
        <v>0</v>
      </c>
      <c r="L1251">
        <v>1.401227193627375</v>
      </c>
      <c r="M1251">
        <v>44.81</v>
      </c>
      <c r="N1251">
        <v>12.11</v>
      </c>
    </row>
    <row r="1252" spans="1:14" x14ac:dyDescent="0.35">
      <c r="A1252" s="1" t="s">
        <v>1264</v>
      </c>
      <c r="B1252" t="str">
        <f>HYPERLINK("https://www.suredividend.com/sure-analysis-research-database/","Progress Software Corp.")</f>
        <v>Progress Software Corp.</v>
      </c>
      <c r="C1252" t="s">
        <v>1804</v>
      </c>
      <c r="D1252">
        <v>52.33</v>
      </c>
      <c r="E1252">
        <v>1.3270326515268001E-2</v>
      </c>
      <c r="F1252">
        <v>0</v>
      </c>
      <c r="G1252">
        <v>2.4569138363080611E-2</v>
      </c>
      <c r="H1252">
        <v>0.69443618654400996</v>
      </c>
      <c r="I1252">
        <v>2279.7745559999998</v>
      </c>
      <c r="J1252">
        <v>29.015840093928979</v>
      </c>
      <c r="K1252">
        <v>0.39233682855593782</v>
      </c>
      <c r="L1252">
        <v>0.77875353197363306</v>
      </c>
      <c r="M1252">
        <v>61.98</v>
      </c>
      <c r="N1252">
        <v>45.15</v>
      </c>
    </row>
    <row r="1253" spans="1:14" x14ac:dyDescent="0.35">
      <c r="A1253" s="1" t="s">
        <v>1265</v>
      </c>
      <c r="B1253" t="str">
        <f>HYPERLINK("https://www.suredividend.com/sure-analysis-research-database/","Primoris Services Corp")</f>
        <v>Primoris Services Corp</v>
      </c>
      <c r="C1253" t="s">
        <v>1799</v>
      </c>
      <c r="D1253">
        <v>30.53</v>
      </c>
      <c r="E1253">
        <v>3.9269698485780002E-3</v>
      </c>
      <c r="F1253">
        <v>0</v>
      </c>
      <c r="G1253">
        <v>0</v>
      </c>
      <c r="H1253">
        <v>0.119890389477103</v>
      </c>
      <c r="I1253">
        <v>1628.1304929999999</v>
      </c>
      <c r="J1253">
        <v>13.03724680452904</v>
      </c>
      <c r="K1253">
        <v>5.1900601505239403E-2</v>
      </c>
      <c r="L1253">
        <v>1.040092074819148</v>
      </c>
      <c r="M1253">
        <v>36.119999999999997</v>
      </c>
      <c r="N1253">
        <v>16.579999999999998</v>
      </c>
    </row>
    <row r="1254" spans="1:14" x14ac:dyDescent="0.35">
      <c r="A1254" s="1" t="s">
        <v>1266</v>
      </c>
      <c r="B1254" t="str">
        <f>HYPERLINK("https://www.suredividend.com/sure-analysis-research-database/","Park National Corp.")</f>
        <v>Park National Corp.</v>
      </c>
      <c r="C1254" t="s">
        <v>1801</v>
      </c>
      <c r="D1254">
        <v>94.17</v>
      </c>
      <c r="E1254">
        <v>4.3853780841909003E-2</v>
      </c>
      <c r="F1254">
        <v>9.6153846153845812E-3</v>
      </c>
      <c r="G1254">
        <v>7.7982155897833314E-3</v>
      </c>
      <c r="H1254">
        <v>4.1297105418825879</v>
      </c>
      <c r="I1254">
        <v>1521.168032</v>
      </c>
      <c r="J1254">
        <v>10.82920809751618</v>
      </c>
      <c r="K1254">
        <v>0.4801989002189056</v>
      </c>
      <c r="L1254">
        <v>0.97665176471844006</v>
      </c>
      <c r="M1254">
        <v>147.37</v>
      </c>
      <c r="N1254">
        <v>89.38</v>
      </c>
    </row>
    <row r="1255" spans="1:14" x14ac:dyDescent="0.35">
      <c r="A1255" s="1" t="s">
        <v>1267</v>
      </c>
      <c r="B1255" t="str">
        <f>HYPERLINK("https://www.suredividend.com/sure-analysis-research-database/","Proto Labs Inc")</f>
        <v>Proto Labs Inc</v>
      </c>
      <c r="C1255" t="s">
        <v>1799</v>
      </c>
      <c r="D1255">
        <v>25.59</v>
      </c>
      <c r="E1255">
        <v>0</v>
      </c>
      <c r="F1255" t="s">
        <v>1798</v>
      </c>
      <c r="G1255" t="s">
        <v>1798</v>
      </c>
      <c r="H1255">
        <v>0</v>
      </c>
      <c r="I1255">
        <v>667.78215599999999</v>
      </c>
      <c r="J1255" t="s">
        <v>1798</v>
      </c>
      <c r="K1255">
        <v>0</v>
      </c>
      <c r="L1255">
        <v>1.1954972533984729</v>
      </c>
      <c r="M1255">
        <v>40.090000000000003</v>
      </c>
      <c r="N1255">
        <v>22.04</v>
      </c>
    </row>
    <row r="1256" spans="1:14" x14ac:dyDescent="0.35">
      <c r="A1256" s="1" t="s">
        <v>1268</v>
      </c>
      <c r="B1256" t="str">
        <f>HYPERLINK("https://www.suredividend.com/sure-analysis-research-database/","Perimeter Solutions SA")</f>
        <v>Perimeter Solutions SA</v>
      </c>
      <c r="C1256" t="s">
        <v>1798</v>
      </c>
      <c r="D1256">
        <v>3.23</v>
      </c>
      <c r="E1256">
        <v>0</v>
      </c>
      <c r="F1256" t="s">
        <v>1798</v>
      </c>
      <c r="G1256" t="s">
        <v>1798</v>
      </c>
      <c r="H1256">
        <v>0</v>
      </c>
      <c r="I1256">
        <v>499.10229099999998</v>
      </c>
      <c r="J1256">
        <v>4.6140972976545962</v>
      </c>
      <c r="K1256">
        <v>0</v>
      </c>
      <c r="L1256">
        <v>1.325919402274258</v>
      </c>
      <c r="M1256">
        <v>11.25</v>
      </c>
      <c r="N1256">
        <v>3.17</v>
      </c>
    </row>
    <row r="1257" spans="1:14" x14ac:dyDescent="0.35">
      <c r="A1257" s="1" t="s">
        <v>1269</v>
      </c>
      <c r="B1257" t="str">
        <f>HYPERLINK("https://www.suredividend.com/sure-analysis-research-database/","Prime Medicine Inc")</f>
        <v>Prime Medicine Inc</v>
      </c>
      <c r="C1257" t="s">
        <v>1798</v>
      </c>
      <c r="D1257">
        <v>7.11</v>
      </c>
      <c r="E1257">
        <v>0</v>
      </c>
      <c r="F1257" t="s">
        <v>1798</v>
      </c>
      <c r="G1257" t="s">
        <v>1798</v>
      </c>
      <c r="H1257">
        <v>0</v>
      </c>
      <c r="I1257">
        <v>691.805204</v>
      </c>
      <c r="J1257">
        <v>0</v>
      </c>
      <c r="K1257" t="s">
        <v>1798</v>
      </c>
      <c r="L1257">
        <v>1.2550691615956719</v>
      </c>
      <c r="M1257">
        <v>21.73</v>
      </c>
      <c r="N1257">
        <v>6.11</v>
      </c>
    </row>
    <row r="1258" spans="1:14" x14ac:dyDescent="0.35">
      <c r="A1258" s="1" t="s">
        <v>1270</v>
      </c>
      <c r="B1258" t="str">
        <f>HYPERLINK("https://www.suredividend.com/sure-analysis-research-database/","Primo Water Corporation")</f>
        <v>Primo Water Corporation</v>
      </c>
      <c r="C1258" t="s">
        <v>1805</v>
      </c>
      <c r="D1258">
        <v>13.34</v>
      </c>
      <c r="E1258">
        <v>2.5187141958643001E-2</v>
      </c>
      <c r="F1258">
        <v>0.19408897349280951</v>
      </c>
      <c r="G1258">
        <v>0.12582712204872989</v>
      </c>
      <c r="H1258">
        <v>0.33599647372830499</v>
      </c>
      <c r="I1258">
        <v>2144.994228</v>
      </c>
      <c r="J1258">
        <v>0</v>
      </c>
      <c r="K1258" t="s">
        <v>1798</v>
      </c>
      <c r="L1258">
        <v>0.85557671306706606</v>
      </c>
      <c r="M1258">
        <v>16.190000000000001</v>
      </c>
      <c r="N1258">
        <v>12.2</v>
      </c>
    </row>
    <row r="1259" spans="1:14" x14ac:dyDescent="0.35">
      <c r="A1259" s="1" t="s">
        <v>1271</v>
      </c>
      <c r="B1259" t="str">
        <f>HYPERLINK("https://www.suredividend.com/sure-analysis-research-database/","Pros Holdings Inc")</f>
        <v>Pros Holdings Inc</v>
      </c>
      <c r="C1259" t="s">
        <v>1804</v>
      </c>
      <c r="D1259">
        <v>33.799999999999997</v>
      </c>
      <c r="E1259">
        <v>0</v>
      </c>
      <c r="F1259" t="s">
        <v>1798</v>
      </c>
      <c r="G1259" t="s">
        <v>1798</v>
      </c>
      <c r="H1259">
        <v>0</v>
      </c>
      <c r="I1259">
        <v>1561.6502800000001</v>
      </c>
      <c r="J1259" t="s">
        <v>1798</v>
      </c>
      <c r="K1259">
        <v>0</v>
      </c>
      <c r="L1259">
        <v>1.2240545213402261</v>
      </c>
      <c r="M1259">
        <v>38.96</v>
      </c>
      <c r="N1259">
        <v>20.32</v>
      </c>
    </row>
    <row r="1260" spans="1:14" x14ac:dyDescent="0.35">
      <c r="A1260" s="1" t="s">
        <v>1272</v>
      </c>
      <c r="B1260" t="str">
        <f>HYPERLINK("https://www.suredividend.com/sure-analysis-research-database/","Purple Innovation Inc")</f>
        <v>Purple Innovation Inc</v>
      </c>
      <c r="C1260" t="s">
        <v>1802</v>
      </c>
      <c r="D1260">
        <v>1.35</v>
      </c>
      <c r="E1260">
        <v>0</v>
      </c>
      <c r="F1260" t="s">
        <v>1798</v>
      </c>
      <c r="G1260" t="s">
        <v>1798</v>
      </c>
      <c r="H1260">
        <v>0</v>
      </c>
      <c r="I1260">
        <v>142.185519</v>
      </c>
      <c r="J1260" t="s">
        <v>1798</v>
      </c>
      <c r="K1260">
        <v>0</v>
      </c>
      <c r="L1260">
        <v>2.0975404937307829</v>
      </c>
      <c r="M1260">
        <v>6.76</v>
      </c>
      <c r="N1260">
        <v>1.28</v>
      </c>
    </row>
    <row r="1261" spans="1:14" x14ac:dyDescent="0.35">
      <c r="A1261" s="1" t="s">
        <v>1273</v>
      </c>
      <c r="B1261" t="str">
        <f>HYPERLINK("https://www.suredividend.com/sure-analysis-research-database/","Prothena Corporation plc")</f>
        <v>Prothena Corporation plc</v>
      </c>
      <c r="C1261" t="s">
        <v>1803</v>
      </c>
      <c r="D1261">
        <v>44.08</v>
      </c>
      <c r="E1261">
        <v>0</v>
      </c>
      <c r="F1261" t="s">
        <v>1798</v>
      </c>
      <c r="G1261" t="s">
        <v>1798</v>
      </c>
      <c r="H1261">
        <v>0</v>
      </c>
      <c r="I1261">
        <v>2358.2800000000002</v>
      </c>
      <c r="J1261" t="s">
        <v>1798</v>
      </c>
      <c r="K1261">
        <v>0</v>
      </c>
      <c r="L1261">
        <v>1.313623384241122</v>
      </c>
      <c r="M1261">
        <v>79.650000000000006</v>
      </c>
      <c r="N1261">
        <v>43.6</v>
      </c>
    </row>
    <row r="1262" spans="1:14" x14ac:dyDescent="0.35">
      <c r="A1262" s="1" t="s">
        <v>1274</v>
      </c>
      <c r="B1262" t="str">
        <f>HYPERLINK("https://www.suredividend.com/sure-analysis-research-database/","Priority Technology Holdings Inc")</f>
        <v>Priority Technology Holdings Inc</v>
      </c>
      <c r="C1262" t="s">
        <v>1804</v>
      </c>
      <c r="D1262">
        <v>3.23</v>
      </c>
      <c r="E1262">
        <v>0</v>
      </c>
      <c r="F1262" t="s">
        <v>1798</v>
      </c>
      <c r="G1262" t="s">
        <v>1798</v>
      </c>
      <c r="H1262">
        <v>0</v>
      </c>
      <c r="I1262">
        <v>247.325648</v>
      </c>
      <c r="J1262">
        <v>0</v>
      </c>
      <c r="K1262" t="s">
        <v>1798</v>
      </c>
      <c r="L1262">
        <v>1.4904045302055939</v>
      </c>
      <c r="M1262">
        <v>6.16</v>
      </c>
      <c r="N1262">
        <v>2.62</v>
      </c>
    </row>
    <row r="1263" spans="1:14" x14ac:dyDescent="0.35">
      <c r="A1263" s="1" t="s">
        <v>1275</v>
      </c>
      <c r="B1263" t="str">
        <f>HYPERLINK("https://www.suredividend.com/sure-analysis-research-database/","CarParts.com Inc")</f>
        <v>CarParts.com Inc</v>
      </c>
      <c r="C1263" t="s">
        <v>1802</v>
      </c>
      <c r="D1263">
        <v>3.82</v>
      </c>
      <c r="E1263">
        <v>0</v>
      </c>
      <c r="F1263" t="s">
        <v>1798</v>
      </c>
      <c r="G1263" t="s">
        <v>1798</v>
      </c>
      <c r="H1263">
        <v>0</v>
      </c>
      <c r="I1263">
        <v>217.80446599999999</v>
      </c>
      <c r="J1263" t="s">
        <v>1798</v>
      </c>
      <c r="K1263">
        <v>0</v>
      </c>
      <c r="L1263">
        <v>1.624820970376984</v>
      </c>
      <c r="M1263">
        <v>7.44</v>
      </c>
      <c r="N1263">
        <v>3.76</v>
      </c>
    </row>
    <row r="1264" spans="1:14" x14ac:dyDescent="0.35">
      <c r="A1264" s="1" t="s">
        <v>1276</v>
      </c>
      <c r="B1264" t="str">
        <f>HYPERLINK("https://www.suredividend.com/sure-analysis-research-database/","Privia Health Group Inc")</f>
        <v>Privia Health Group Inc</v>
      </c>
      <c r="C1264" t="s">
        <v>1798</v>
      </c>
      <c r="D1264">
        <v>21.47</v>
      </c>
      <c r="E1264">
        <v>0</v>
      </c>
      <c r="F1264" t="s">
        <v>1798</v>
      </c>
      <c r="G1264" t="s">
        <v>1798</v>
      </c>
      <c r="H1264">
        <v>0</v>
      </c>
      <c r="I1264">
        <v>2519.7880759999998</v>
      </c>
      <c r="J1264">
        <v>74.115773744337901</v>
      </c>
      <c r="K1264">
        <v>0</v>
      </c>
      <c r="L1264">
        <v>1.2398034493286989</v>
      </c>
      <c r="M1264">
        <v>35</v>
      </c>
      <c r="N1264">
        <v>20.64</v>
      </c>
    </row>
    <row r="1265" spans="1:14" x14ac:dyDescent="0.35">
      <c r="A1265" s="1" t="s">
        <v>1277</v>
      </c>
      <c r="B1265" t="str">
        <f>HYPERLINK("https://www.suredividend.com/sure-analysis-research-database/","Paysafe Limited")</f>
        <v>Paysafe Limited</v>
      </c>
      <c r="C1265" t="s">
        <v>1798</v>
      </c>
      <c r="D1265">
        <v>10.44</v>
      </c>
      <c r="E1265">
        <v>0</v>
      </c>
      <c r="F1265" t="s">
        <v>1798</v>
      </c>
      <c r="G1265" t="s">
        <v>1798</v>
      </c>
      <c r="H1265">
        <v>0</v>
      </c>
      <c r="I1265">
        <v>634.63523899999996</v>
      </c>
      <c r="J1265">
        <v>0</v>
      </c>
      <c r="K1265" t="s">
        <v>1798</v>
      </c>
      <c r="L1265">
        <v>1.5668264237476099</v>
      </c>
      <c r="M1265">
        <v>24.25</v>
      </c>
      <c r="N1265">
        <v>9.34</v>
      </c>
    </row>
    <row r="1266" spans="1:14" x14ac:dyDescent="0.35">
      <c r="A1266" s="1" t="s">
        <v>1278</v>
      </c>
      <c r="B1266" t="str">
        <f>HYPERLINK("https://www.suredividend.com/sure-analysis-research-database/","Pricesmart Inc.")</f>
        <v>Pricesmart Inc.</v>
      </c>
      <c r="C1266" t="s">
        <v>1805</v>
      </c>
      <c r="D1266">
        <v>72.709999999999994</v>
      </c>
      <c r="E1266">
        <v>1.2615388275402E-2</v>
      </c>
      <c r="F1266" t="s">
        <v>1798</v>
      </c>
      <c r="G1266" t="s">
        <v>1798</v>
      </c>
      <c r="H1266">
        <v>0.9172648815045481</v>
      </c>
      <c r="I1266">
        <v>2257.5746800000002</v>
      </c>
      <c r="J1266">
        <v>19.505570074822881</v>
      </c>
      <c r="K1266">
        <v>0.24330633461659101</v>
      </c>
      <c r="L1266">
        <v>0.84100525087580402</v>
      </c>
      <c r="M1266">
        <v>82.63</v>
      </c>
      <c r="N1266">
        <v>58.62</v>
      </c>
    </row>
    <row r="1267" spans="1:14" x14ac:dyDescent="0.35">
      <c r="A1267" s="1" t="s">
        <v>1279</v>
      </c>
      <c r="B1267" t="str">
        <f>HYPERLINK("https://www.suredividend.com/sure-analysis-research-database/","Parsons Corp")</f>
        <v>Parsons Corp</v>
      </c>
      <c r="C1267" t="s">
        <v>1799</v>
      </c>
      <c r="D1267">
        <v>57.58</v>
      </c>
      <c r="E1267">
        <v>0</v>
      </c>
      <c r="F1267" t="s">
        <v>1798</v>
      </c>
      <c r="G1267" t="s">
        <v>1798</v>
      </c>
      <c r="H1267">
        <v>0</v>
      </c>
      <c r="I1267">
        <v>6039.2975319999996</v>
      </c>
      <c r="J1267">
        <v>47.742992124019743</v>
      </c>
      <c r="K1267">
        <v>0</v>
      </c>
      <c r="L1267">
        <v>0.44619573048560301</v>
      </c>
      <c r="M1267">
        <v>58.55</v>
      </c>
      <c r="N1267">
        <v>40.61</v>
      </c>
    </row>
    <row r="1268" spans="1:14" x14ac:dyDescent="0.35">
      <c r="A1268" s="1" t="s">
        <v>1280</v>
      </c>
      <c r="B1268" t="str">
        <f>HYPERLINK("https://www.suredividend.com/sure-analysis-PSTL/","Postal Realty Trust Inc")</f>
        <v>Postal Realty Trust Inc</v>
      </c>
      <c r="C1268" t="s">
        <v>1800</v>
      </c>
      <c r="D1268">
        <v>13.69</v>
      </c>
      <c r="E1268">
        <v>6.9393718042366687E-2</v>
      </c>
      <c r="F1268" t="s">
        <v>1798</v>
      </c>
      <c r="G1268" t="s">
        <v>1798</v>
      </c>
      <c r="H1268">
        <v>0.92556074915882403</v>
      </c>
      <c r="I1268">
        <v>282.30967700000002</v>
      </c>
      <c r="J1268">
        <v>77.007549541734861</v>
      </c>
      <c r="K1268">
        <v>4.8131084199626839</v>
      </c>
      <c r="L1268">
        <v>0.60728304201142702</v>
      </c>
      <c r="M1268">
        <v>15.5</v>
      </c>
      <c r="N1268">
        <v>12.98</v>
      </c>
    </row>
    <row r="1269" spans="1:14" x14ac:dyDescent="0.35">
      <c r="A1269" s="1" t="s">
        <v>1281</v>
      </c>
      <c r="B1269" t="str">
        <f>HYPERLINK("https://www.suredividend.com/sure-analysis-research-database/","PTC Therapeutics Inc")</f>
        <v>PTC Therapeutics Inc</v>
      </c>
      <c r="C1269" t="s">
        <v>1803</v>
      </c>
      <c r="D1269">
        <v>20.39</v>
      </c>
      <c r="E1269">
        <v>0</v>
      </c>
      <c r="F1269" t="s">
        <v>1798</v>
      </c>
      <c r="G1269" t="s">
        <v>1798</v>
      </c>
      <c r="H1269">
        <v>0</v>
      </c>
      <c r="I1269">
        <v>1536.283551</v>
      </c>
      <c r="J1269" t="s">
        <v>1798</v>
      </c>
      <c r="K1269">
        <v>0</v>
      </c>
      <c r="L1269">
        <v>0.80899772889749111</v>
      </c>
      <c r="M1269">
        <v>59.84</v>
      </c>
      <c r="N1269">
        <v>19.7</v>
      </c>
    </row>
    <row r="1270" spans="1:14" x14ac:dyDescent="0.35">
      <c r="A1270" s="1" t="s">
        <v>1282</v>
      </c>
      <c r="B1270" t="str">
        <f>HYPERLINK("https://www.suredividend.com/sure-analysis-research-database/","Patterson-UTI Energy Inc")</f>
        <v>Patterson-UTI Energy Inc</v>
      </c>
      <c r="C1270" t="s">
        <v>1808</v>
      </c>
      <c r="D1270">
        <v>13.78</v>
      </c>
      <c r="E1270">
        <v>2.2914574198352002E-2</v>
      </c>
      <c r="F1270" t="s">
        <v>1798</v>
      </c>
      <c r="G1270" t="s">
        <v>1798</v>
      </c>
      <c r="H1270">
        <v>0.31576283245329101</v>
      </c>
      <c r="I1270">
        <v>2866.151656</v>
      </c>
      <c r="J1270">
        <v>8.2874837177199918</v>
      </c>
      <c r="K1270">
        <v>0.1985929763857176</v>
      </c>
      <c r="L1270">
        <v>1.213961038452851</v>
      </c>
      <c r="M1270">
        <v>19.190000000000001</v>
      </c>
      <c r="N1270">
        <v>9.65</v>
      </c>
    </row>
    <row r="1271" spans="1:14" x14ac:dyDescent="0.35">
      <c r="A1271" s="1" t="s">
        <v>1283</v>
      </c>
      <c r="B1271" t="str">
        <f>HYPERLINK("https://www.suredividend.com/sure-analysis-research-database/","Protagonist Therapeutics Inc")</f>
        <v>Protagonist Therapeutics Inc</v>
      </c>
      <c r="C1271" t="s">
        <v>1803</v>
      </c>
      <c r="D1271">
        <v>15.44</v>
      </c>
      <c r="E1271">
        <v>0</v>
      </c>
      <c r="F1271" t="s">
        <v>1798</v>
      </c>
      <c r="G1271" t="s">
        <v>1798</v>
      </c>
      <c r="H1271">
        <v>0</v>
      </c>
      <c r="I1271">
        <v>888.26693599999999</v>
      </c>
      <c r="J1271">
        <v>0</v>
      </c>
      <c r="K1271" t="s">
        <v>1798</v>
      </c>
      <c r="L1271">
        <v>0.73161257239655408</v>
      </c>
      <c r="M1271">
        <v>30.1</v>
      </c>
      <c r="N1271">
        <v>7.24</v>
      </c>
    </row>
    <row r="1272" spans="1:14" x14ac:dyDescent="0.35">
      <c r="A1272" s="1" t="s">
        <v>1284</v>
      </c>
      <c r="B1272" t="str">
        <f>HYPERLINK("https://www.suredividend.com/sure-analysis-research-database/","Portillos Inc")</f>
        <v>Portillos Inc</v>
      </c>
      <c r="C1272" t="s">
        <v>1798</v>
      </c>
      <c r="D1272">
        <v>14.2</v>
      </c>
      <c r="E1272">
        <v>0</v>
      </c>
      <c r="F1272" t="s">
        <v>1798</v>
      </c>
      <c r="G1272" t="s">
        <v>1798</v>
      </c>
      <c r="H1272">
        <v>0</v>
      </c>
      <c r="I1272">
        <v>782.44080299999996</v>
      </c>
      <c r="J1272">
        <v>0</v>
      </c>
      <c r="K1272" t="s">
        <v>1798</v>
      </c>
      <c r="L1272">
        <v>1.155958314919932</v>
      </c>
      <c r="M1272">
        <v>25.88</v>
      </c>
      <c r="N1272">
        <v>13.89</v>
      </c>
    </row>
    <row r="1273" spans="1:14" x14ac:dyDescent="0.35">
      <c r="A1273" s="1" t="s">
        <v>1285</v>
      </c>
      <c r="B1273" t="str">
        <f>HYPERLINK("https://www.suredividend.com/sure-analysis-research-database/","Proterra Inc")</f>
        <v>Proterra Inc</v>
      </c>
      <c r="C1273" t="s">
        <v>1798</v>
      </c>
      <c r="D1273">
        <v>6.7000000000000004E-2</v>
      </c>
      <c r="E1273">
        <v>0</v>
      </c>
      <c r="F1273" t="s">
        <v>1798</v>
      </c>
      <c r="G1273" t="s">
        <v>1798</v>
      </c>
      <c r="H1273">
        <v>0</v>
      </c>
      <c r="I1273">
        <v>0</v>
      </c>
      <c r="J1273">
        <v>0</v>
      </c>
      <c r="K1273" t="s">
        <v>1798</v>
      </c>
    </row>
    <row r="1274" spans="1:14" x14ac:dyDescent="0.35">
      <c r="A1274" s="1" t="s">
        <v>1286</v>
      </c>
      <c r="B1274" t="str">
        <f>HYPERLINK("https://www.suredividend.com/sure-analysis-research-database/","P.A.M. Transportation Services, Inc.")</f>
        <v>P.A.M. Transportation Services, Inc.</v>
      </c>
      <c r="C1274" t="s">
        <v>1799</v>
      </c>
      <c r="D1274">
        <v>20.72</v>
      </c>
      <c r="E1274">
        <v>0</v>
      </c>
      <c r="F1274" t="s">
        <v>1798</v>
      </c>
      <c r="G1274" t="s">
        <v>1798</v>
      </c>
      <c r="H1274">
        <v>0</v>
      </c>
      <c r="I1274">
        <v>456.55214599999999</v>
      </c>
      <c r="J1274">
        <v>7.9959393744089109</v>
      </c>
      <c r="K1274">
        <v>0</v>
      </c>
      <c r="L1274">
        <v>1.00006318485326</v>
      </c>
      <c r="M1274">
        <v>33.130000000000003</v>
      </c>
      <c r="N1274">
        <v>20.32</v>
      </c>
    </row>
    <row r="1275" spans="1:14" x14ac:dyDescent="0.35">
      <c r="A1275" s="1" t="s">
        <v>1287</v>
      </c>
      <c r="B1275" t="str">
        <f>HYPERLINK("https://www.suredividend.com/sure-analysis-research-database/","Pactiv Evergreen Inc")</f>
        <v>Pactiv Evergreen Inc</v>
      </c>
      <c r="C1275" t="s">
        <v>1798</v>
      </c>
      <c r="D1275">
        <v>7.9</v>
      </c>
      <c r="E1275">
        <v>4.9261884161232013E-2</v>
      </c>
      <c r="F1275" t="s">
        <v>1798</v>
      </c>
      <c r="G1275" t="s">
        <v>1798</v>
      </c>
      <c r="H1275">
        <v>0.38916888487373302</v>
      </c>
      <c r="I1275">
        <v>1409.247852</v>
      </c>
      <c r="J1275" t="s">
        <v>1798</v>
      </c>
      <c r="K1275" t="s">
        <v>1798</v>
      </c>
      <c r="L1275">
        <v>1.0274478093509889</v>
      </c>
      <c r="M1275">
        <v>11.86</v>
      </c>
      <c r="N1275">
        <v>6.6</v>
      </c>
    </row>
    <row r="1276" spans="1:14" x14ac:dyDescent="0.35">
      <c r="A1276" s="1" t="s">
        <v>1288</v>
      </c>
      <c r="B1276" t="str">
        <f>HYPERLINK("https://www.suredividend.com/sure-analysis-research-database/","PubMatic Inc")</f>
        <v>PubMatic Inc</v>
      </c>
      <c r="C1276" t="s">
        <v>1798</v>
      </c>
      <c r="D1276">
        <v>12.01</v>
      </c>
      <c r="E1276">
        <v>0</v>
      </c>
      <c r="F1276" t="s">
        <v>1798</v>
      </c>
      <c r="G1276" t="s">
        <v>1798</v>
      </c>
      <c r="H1276">
        <v>0</v>
      </c>
      <c r="I1276">
        <v>512.28920400000004</v>
      </c>
      <c r="J1276">
        <v>113.5392739827128</v>
      </c>
      <c r="K1276">
        <v>0</v>
      </c>
      <c r="L1276">
        <v>1.755067196949595</v>
      </c>
      <c r="M1276">
        <v>20.079999999999998</v>
      </c>
      <c r="N1276">
        <v>11.57</v>
      </c>
    </row>
    <row r="1277" spans="1:14" x14ac:dyDescent="0.35">
      <c r="A1277" s="1" t="s">
        <v>1289</v>
      </c>
      <c r="B1277" t="str">
        <f>HYPERLINK("https://www.suredividend.com/sure-analysis-research-database/","ProPetro Holding Corp")</f>
        <v>ProPetro Holding Corp</v>
      </c>
      <c r="C1277" t="s">
        <v>1808</v>
      </c>
      <c r="D1277">
        <v>10.41</v>
      </c>
      <c r="E1277">
        <v>0</v>
      </c>
      <c r="F1277" t="s">
        <v>1798</v>
      </c>
      <c r="G1277" t="s">
        <v>1798</v>
      </c>
      <c r="H1277">
        <v>0</v>
      </c>
      <c r="I1277">
        <v>1173.9575299999999</v>
      </c>
      <c r="J1277">
        <v>12.89170716723587</v>
      </c>
      <c r="K1277">
        <v>0</v>
      </c>
      <c r="L1277">
        <v>1.411364529636046</v>
      </c>
      <c r="M1277">
        <v>12.58</v>
      </c>
      <c r="N1277">
        <v>6.33</v>
      </c>
    </row>
    <row r="1278" spans="1:14" x14ac:dyDescent="0.35">
      <c r="A1278" s="1" t="s">
        <v>1290</v>
      </c>
      <c r="B1278" t="str">
        <f>HYPERLINK("https://www.suredividend.com/sure-analysis-research-database/","Provident Bancorp Inc")</f>
        <v>Provident Bancorp Inc</v>
      </c>
      <c r="C1278" t="s">
        <v>1801</v>
      </c>
      <c r="D1278">
        <v>9.4</v>
      </c>
      <c r="E1278">
        <v>0</v>
      </c>
      <c r="F1278" t="s">
        <v>1798</v>
      </c>
      <c r="G1278" t="s">
        <v>1798</v>
      </c>
      <c r="H1278">
        <v>0</v>
      </c>
      <c r="I1278">
        <v>166.245768</v>
      </c>
      <c r="J1278" t="s">
        <v>1798</v>
      </c>
      <c r="K1278">
        <v>0</v>
      </c>
      <c r="L1278">
        <v>1.001342778960697</v>
      </c>
      <c r="M1278">
        <v>15.34</v>
      </c>
      <c r="N1278">
        <v>5.76</v>
      </c>
    </row>
    <row r="1279" spans="1:14" x14ac:dyDescent="0.35">
      <c r="A1279" s="1" t="s">
        <v>1291</v>
      </c>
      <c r="B1279" t="str">
        <f>HYPERLINK("https://www.suredividend.com/sure-analysis-research-database/","Perella Weinberg Partners")</f>
        <v>Perella Weinberg Partners</v>
      </c>
      <c r="C1279" t="s">
        <v>1798</v>
      </c>
      <c r="D1279">
        <v>9.81</v>
      </c>
      <c r="E1279">
        <v>2.8110104022502001E-2</v>
      </c>
      <c r="F1279" t="s">
        <v>1798</v>
      </c>
      <c r="G1279" t="s">
        <v>1798</v>
      </c>
      <c r="H1279">
        <v>0.27576012046074999</v>
      </c>
      <c r="I1279">
        <v>408.42418400000003</v>
      </c>
      <c r="J1279" t="s">
        <v>1798</v>
      </c>
      <c r="K1279" t="s">
        <v>1798</v>
      </c>
      <c r="L1279">
        <v>1.0178928743248969</v>
      </c>
      <c r="M1279">
        <v>11.64</v>
      </c>
      <c r="N1279">
        <v>6.53</v>
      </c>
    </row>
    <row r="1280" spans="1:14" x14ac:dyDescent="0.35">
      <c r="A1280" s="1" t="s">
        <v>1292</v>
      </c>
      <c r="B1280" t="str">
        <f>HYPERLINK("https://www.suredividend.com/sure-analysis-research-database/","PowerSchool Holdings Inc")</f>
        <v>PowerSchool Holdings Inc</v>
      </c>
      <c r="C1280" t="s">
        <v>1798</v>
      </c>
      <c r="D1280">
        <v>20.7</v>
      </c>
      <c r="E1280">
        <v>0</v>
      </c>
      <c r="F1280" t="s">
        <v>1798</v>
      </c>
      <c r="G1280" t="s">
        <v>1798</v>
      </c>
      <c r="H1280">
        <v>0</v>
      </c>
      <c r="I1280">
        <v>4164.6358149999996</v>
      </c>
      <c r="J1280" t="s">
        <v>1798</v>
      </c>
      <c r="K1280">
        <v>0</v>
      </c>
      <c r="L1280">
        <v>0.96185106920100605</v>
      </c>
      <c r="M1280">
        <v>26.05</v>
      </c>
      <c r="N1280">
        <v>16.41</v>
      </c>
    </row>
    <row r="1281" spans="1:14" x14ac:dyDescent="0.35">
      <c r="A1281" s="1" t="s">
        <v>1293</v>
      </c>
      <c r="B1281" t="str">
        <f>HYPERLINK("https://www.suredividend.com/sure-analysis-research-database/","Papa John`s International, Inc.")</f>
        <v>Papa John`s International, Inc.</v>
      </c>
      <c r="C1281" t="s">
        <v>1802</v>
      </c>
      <c r="D1281">
        <v>65.55</v>
      </c>
      <c r="E1281">
        <v>2.5897676929729999E-2</v>
      </c>
      <c r="F1281">
        <v>9.5238095238095344E-2</v>
      </c>
      <c r="G1281">
        <v>0.15375889616306759</v>
      </c>
      <c r="H1281">
        <v>1.6975927227438421</v>
      </c>
      <c r="I1281">
        <v>2145.901304</v>
      </c>
      <c r="J1281">
        <v>29.873890523722011</v>
      </c>
      <c r="K1281">
        <v>0.81224532188700582</v>
      </c>
      <c r="L1281">
        <v>0.80934398172099009</v>
      </c>
      <c r="M1281">
        <v>96.17</v>
      </c>
      <c r="N1281">
        <v>61.79</v>
      </c>
    </row>
    <row r="1282" spans="1:14" x14ac:dyDescent="0.35">
      <c r="A1282" s="1" t="s">
        <v>1294</v>
      </c>
      <c r="B1282" t="str">
        <f>HYPERLINK("https://www.suredividend.com/sure-analysis-research-database/","QCR Holding, Inc.")</f>
        <v>QCR Holding, Inc.</v>
      </c>
      <c r="C1282" t="s">
        <v>1801</v>
      </c>
      <c r="D1282">
        <v>48.51</v>
      </c>
      <c r="E1282">
        <v>4.9300039899710007E-3</v>
      </c>
      <c r="F1282">
        <v>0</v>
      </c>
      <c r="G1282">
        <v>0</v>
      </c>
      <c r="H1282">
        <v>0.23915449355350599</v>
      </c>
      <c r="I1282">
        <v>810.86963300000002</v>
      </c>
      <c r="J1282">
        <v>0</v>
      </c>
      <c r="K1282" t="s">
        <v>1798</v>
      </c>
      <c r="L1282">
        <v>1.0643067988054531</v>
      </c>
      <c r="M1282">
        <v>56.74</v>
      </c>
      <c r="N1282">
        <v>34.96</v>
      </c>
    </row>
    <row r="1283" spans="1:14" x14ac:dyDescent="0.35">
      <c r="A1283" s="1" t="s">
        <v>1295</v>
      </c>
      <c r="B1283" t="str">
        <f>HYPERLINK("https://www.suredividend.com/sure-analysis-research-database/","Qualys Inc")</f>
        <v>Qualys Inc</v>
      </c>
      <c r="C1283" t="s">
        <v>1804</v>
      </c>
      <c r="D1283">
        <v>161.02000000000001</v>
      </c>
      <c r="E1283">
        <v>0</v>
      </c>
      <c r="F1283" t="s">
        <v>1798</v>
      </c>
      <c r="G1283" t="s">
        <v>1798</v>
      </c>
      <c r="H1283">
        <v>0</v>
      </c>
      <c r="I1283">
        <v>5911.3662400000003</v>
      </c>
      <c r="J1283">
        <v>49.067975729001517</v>
      </c>
      <c r="K1283">
        <v>0</v>
      </c>
      <c r="L1283">
        <v>1.335420728900057</v>
      </c>
      <c r="M1283">
        <v>165.03</v>
      </c>
      <c r="N1283">
        <v>101.1</v>
      </c>
    </row>
    <row r="1284" spans="1:14" x14ac:dyDescent="0.35">
      <c r="A1284" s="1" t="s">
        <v>1296</v>
      </c>
      <c r="B1284" t="str">
        <f>HYPERLINK("https://www.suredividend.com/sure-analysis-research-database/","QuinStreet Inc")</f>
        <v>QuinStreet Inc</v>
      </c>
      <c r="C1284" t="s">
        <v>1807</v>
      </c>
      <c r="D1284">
        <v>9.35</v>
      </c>
      <c r="E1284">
        <v>0</v>
      </c>
      <c r="F1284" t="s">
        <v>1798</v>
      </c>
      <c r="G1284" t="s">
        <v>1798</v>
      </c>
      <c r="H1284">
        <v>0</v>
      </c>
      <c r="I1284">
        <v>511.73238199999997</v>
      </c>
      <c r="J1284" t="s">
        <v>1798</v>
      </c>
      <c r="K1284">
        <v>0</v>
      </c>
      <c r="L1284">
        <v>1.040388927730733</v>
      </c>
      <c r="M1284">
        <v>18.18</v>
      </c>
      <c r="N1284">
        <v>6.79</v>
      </c>
    </row>
    <row r="1285" spans="1:14" x14ac:dyDescent="0.35">
      <c r="A1285" s="1" t="s">
        <v>1297</v>
      </c>
      <c r="B1285" t="str">
        <f>HYPERLINK("https://www.suredividend.com/sure-analysis-research-database/","Qurate Retail Inc")</f>
        <v>Qurate Retail Inc</v>
      </c>
      <c r="C1285" t="s">
        <v>1802</v>
      </c>
      <c r="D1285">
        <v>0.4914</v>
      </c>
      <c r="E1285">
        <v>0</v>
      </c>
      <c r="F1285" t="s">
        <v>1798</v>
      </c>
      <c r="G1285" t="s">
        <v>1798</v>
      </c>
      <c r="H1285">
        <v>0</v>
      </c>
      <c r="I1285">
        <v>257.24832700000002</v>
      </c>
      <c r="J1285">
        <v>0</v>
      </c>
      <c r="K1285" t="s">
        <v>1798</v>
      </c>
      <c r="L1285">
        <v>3.1193169125248801</v>
      </c>
      <c r="M1285">
        <v>2.84</v>
      </c>
      <c r="N1285">
        <v>0.4511</v>
      </c>
    </row>
    <row r="1286" spans="1:14" x14ac:dyDescent="0.35">
      <c r="A1286" s="1" t="s">
        <v>1298</v>
      </c>
      <c r="B1286" t="str">
        <f>HYPERLINK("https://www.suredividend.com/sure-analysis-research-database/","Quantum-Si Incorporated")</f>
        <v>Quantum-Si Incorporated</v>
      </c>
      <c r="C1286" t="s">
        <v>1798</v>
      </c>
      <c r="D1286">
        <v>1.34</v>
      </c>
      <c r="E1286">
        <v>0</v>
      </c>
      <c r="F1286" t="s">
        <v>1798</v>
      </c>
      <c r="G1286" t="s">
        <v>1798</v>
      </c>
      <c r="H1286">
        <v>0</v>
      </c>
      <c r="I1286">
        <v>163.18384399999999</v>
      </c>
      <c r="J1286">
        <v>0</v>
      </c>
      <c r="K1286" t="s">
        <v>1798</v>
      </c>
      <c r="L1286">
        <v>2.2739076951130568</v>
      </c>
      <c r="M1286">
        <v>3.9</v>
      </c>
      <c r="N1286">
        <v>1.33</v>
      </c>
    </row>
    <row r="1287" spans="1:14" x14ac:dyDescent="0.35">
      <c r="A1287" s="1" t="s">
        <v>1299</v>
      </c>
      <c r="B1287" t="str">
        <f>HYPERLINK("https://www.suredividend.com/sure-analysis-research-database/","Quanterix Corp")</f>
        <v>Quanterix Corp</v>
      </c>
      <c r="C1287" t="s">
        <v>1803</v>
      </c>
      <c r="D1287">
        <v>20.47</v>
      </c>
      <c r="E1287">
        <v>0</v>
      </c>
      <c r="F1287" t="s">
        <v>1798</v>
      </c>
      <c r="G1287" t="s">
        <v>1798</v>
      </c>
      <c r="H1287">
        <v>0</v>
      </c>
      <c r="I1287">
        <v>768.70143499999995</v>
      </c>
      <c r="J1287" t="s">
        <v>1798</v>
      </c>
      <c r="K1287">
        <v>0</v>
      </c>
      <c r="L1287">
        <v>1.5721886365854101</v>
      </c>
      <c r="M1287">
        <v>28.77</v>
      </c>
      <c r="N1287">
        <v>8.33</v>
      </c>
    </row>
    <row r="1288" spans="1:14" x14ac:dyDescent="0.35">
      <c r="A1288" s="1" t="s">
        <v>1300</v>
      </c>
      <c r="B1288" t="str">
        <f>HYPERLINK("https://www.suredividend.com/sure-analysis-research-database/","Q2 Holdings Inc")</f>
        <v>Q2 Holdings Inc</v>
      </c>
      <c r="C1288" t="s">
        <v>1804</v>
      </c>
      <c r="D1288">
        <v>32.07</v>
      </c>
      <c r="E1288">
        <v>0</v>
      </c>
      <c r="F1288" t="s">
        <v>1798</v>
      </c>
      <c r="G1288" t="s">
        <v>1798</v>
      </c>
      <c r="H1288">
        <v>0</v>
      </c>
      <c r="I1288">
        <v>1874.380281</v>
      </c>
      <c r="J1288" t="s">
        <v>1798</v>
      </c>
      <c r="K1288">
        <v>0</v>
      </c>
      <c r="L1288">
        <v>2.117262647159587</v>
      </c>
      <c r="M1288">
        <v>36.520000000000003</v>
      </c>
      <c r="N1288">
        <v>18.91</v>
      </c>
    </row>
    <row r="1289" spans="1:14" x14ac:dyDescent="0.35">
      <c r="A1289" s="1" t="s">
        <v>1301</v>
      </c>
      <c r="B1289" t="str">
        <f>HYPERLINK("https://www.suredividend.com/sure-analysis-research-database/","Quad/Graphics Inc")</f>
        <v>Quad/Graphics Inc</v>
      </c>
      <c r="C1289" t="s">
        <v>1799</v>
      </c>
      <c r="D1289">
        <v>4.7300000000000004</v>
      </c>
      <c r="E1289">
        <v>0</v>
      </c>
      <c r="F1289" t="s">
        <v>1798</v>
      </c>
      <c r="G1289" t="s">
        <v>1798</v>
      </c>
      <c r="H1289">
        <v>0</v>
      </c>
      <c r="I1289">
        <v>179.53684200000001</v>
      </c>
      <c r="J1289">
        <v>0</v>
      </c>
      <c r="K1289" t="s">
        <v>1798</v>
      </c>
      <c r="L1289">
        <v>1.0316130349751831</v>
      </c>
      <c r="M1289">
        <v>6.41</v>
      </c>
      <c r="N1289">
        <v>2.2000000000000002</v>
      </c>
    </row>
    <row r="1290" spans="1:14" x14ac:dyDescent="0.35">
      <c r="A1290" s="1" t="s">
        <v>1302</v>
      </c>
      <c r="B1290" t="str">
        <f>HYPERLINK("https://www.suredividend.com/sure-analysis-research-database/","Quotient Technology Inc")</f>
        <v>Quotient Technology Inc</v>
      </c>
      <c r="C1290" t="s">
        <v>1807</v>
      </c>
      <c r="D1290">
        <v>3.99</v>
      </c>
      <c r="E1290">
        <v>0</v>
      </c>
      <c r="F1290" t="s">
        <v>1798</v>
      </c>
      <c r="G1290" t="s">
        <v>1798</v>
      </c>
      <c r="H1290">
        <v>0</v>
      </c>
      <c r="I1290">
        <v>397.92339399999997</v>
      </c>
      <c r="J1290" t="s">
        <v>1798</v>
      </c>
      <c r="K1290">
        <v>0</v>
      </c>
      <c r="L1290">
        <v>0.83124945151545204</v>
      </c>
      <c r="M1290">
        <v>4.25</v>
      </c>
      <c r="N1290">
        <v>1.71</v>
      </c>
    </row>
    <row r="1291" spans="1:14" x14ac:dyDescent="0.35">
      <c r="A1291" s="1" t="s">
        <v>1303</v>
      </c>
      <c r="B1291" t="str">
        <f>HYPERLINK("https://www.suredividend.com/sure-analysis-research-database/","Rite Aid Corp.")</f>
        <v>Rite Aid Corp.</v>
      </c>
      <c r="C1291" t="s">
        <v>1803</v>
      </c>
      <c r="D1291">
        <v>0.64829999999999999</v>
      </c>
      <c r="E1291">
        <v>0</v>
      </c>
      <c r="F1291" t="s">
        <v>1798</v>
      </c>
      <c r="G1291" t="s">
        <v>1798</v>
      </c>
      <c r="H1291">
        <v>0</v>
      </c>
      <c r="I1291">
        <v>36.756231999999997</v>
      </c>
      <c r="J1291" t="s">
        <v>1798</v>
      </c>
      <c r="K1291">
        <v>0</v>
      </c>
      <c r="L1291">
        <v>1.0681908178648969</v>
      </c>
      <c r="M1291">
        <v>7.37</v>
      </c>
      <c r="N1291">
        <v>0.37790000000000001</v>
      </c>
    </row>
    <row r="1292" spans="1:14" x14ac:dyDescent="0.35">
      <c r="A1292" s="1" t="s">
        <v>1304</v>
      </c>
      <c r="B1292" t="str">
        <f>HYPERLINK("https://www.suredividend.com/sure-analysis-research-database/","Radius Global Infrastructure Inc")</f>
        <v>Radius Global Infrastructure Inc</v>
      </c>
      <c r="C1292" t="s">
        <v>1798</v>
      </c>
      <c r="D1292">
        <v>15</v>
      </c>
      <c r="E1292">
        <v>0</v>
      </c>
      <c r="F1292" t="s">
        <v>1798</v>
      </c>
      <c r="G1292" t="s">
        <v>1798</v>
      </c>
      <c r="H1292">
        <v>0</v>
      </c>
      <c r="I1292">
        <v>0</v>
      </c>
      <c r="J1292">
        <v>0</v>
      </c>
      <c r="K1292">
        <v>0</v>
      </c>
    </row>
    <row r="1293" spans="1:14" x14ac:dyDescent="0.35">
      <c r="A1293" s="1" t="s">
        <v>1305</v>
      </c>
      <c r="B1293" t="str">
        <f>HYPERLINK("https://www.suredividend.com/sure-analysis-research-database/","LiveRamp Holdings Inc")</f>
        <v>LiveRamp Holdings Inc</v>
      </c>
      <c r="C1293" t="s">
        <v>1804</v>
      </c>
      <c r="D1293">
        <v>28.53</v>
      </c>
      <c r="E1293">
        <v>0</v>
      </c>
      <c r="F1293" t="s">
        <v>1798</v>
      </c>
      <c r="G1293" t="s">
        <v>1798</v>
      </c>
      <c r="H1293">
        <v>0</v>
      </c>
      <c r="I1293">
        <v>1888.968533</v>
      </c>
      <c r="J1293" t="s">
        <v>1798</v>
      </c>
      <c r="K1293">
        <v>0</v>
      </c>
      <c r="L1293">
        <v>1.186401755049237</v>
      </c>
      <c r="M1293">
        <v>32.97</v>
      </c>
      <c r="N1293">
        <v>15.37</v>
      </c>
    </row>
    <row r="1294" spans="1:14" x14ac:dyDescent="0.35">
      <c r="A1294" s="1" t="s">
        <v>1306</v>
      </c>
      <c r="B1294" t="str">
        <f>HYPERLINK("https://www.suredividend.com/sure-analysis-research-database/","RAPT Therapeutics Inc")</f>
        <v>RAPT Therapeutics Inc</v>
      </c>
      <c r="C1294" t="s">
        <v>1803</v>
      </c>
      <c r="D1294">
        <v>12.24</v>
      </c>
      <c r="E1294">
        <v>0</v>
      </c>
      <c r="F1294" t="s">
        <v>1798</v>
      </c>
      <c r="G1294" t="s">
        <v>1798</v>
      </c>
      <c r="H1294">
        <v>0</v>
      </c>
      <c r="I1294">
        <v>420.54378000000003</v>
      </c>
      <c r="J1294">
        <v>0</v>
      </c>
      <c r="K1294" t="s">
        <v>1798</v>
      </c>
      <c r="L1294">
        <v>1.7321948599656221</v>
      </c>
      <c r="M1294">
        <v>31.45</v>
      </c>
      <c r="N1294">
        <v>11.95</v>
      </c>
    </row>
    <row r="1295" spans="1:14" x14ac:dyDescent="0.35">
      <c r="A1295" s="1" t="s">
        <v>1307</v>
      </c>
      <c r="B1295" t="str">
        <f>HYPERLINK("https://www.suredividend.com/sure-analysis-research-database/","RBB Bancorp")</f>
        <v>RBB Bancorp</v>
      </c>
      <c r="C1295" t="s">
        <v>1801</v>
      </c>
      <c r="D1295">
        <v>12.53</v>
      </c>
      <c r="E1295">
        <v>4.7993906503713997E-2</v>
      </c>
      <c r="F1295" t="s">
        <v>1798</v>
      </c>
      <c r="G1295" t="s">
        <v>1798</v>
      </c>
      <c r="H1295">
        <v>0.601363648491541</v>
      </c>
      <c r="I1295">
        <v>238.01114699999999</v>
      </c>
      <c r="J1295">
        <v>4.238618534895731</v>
      </c>
      <c r="K1295">
        <v>0.20385208423442069</v>
      </c>
      <c r="L1295">
        <v>1.2074517098855591</v>
      </c>
      <c r="M1295">
        <v>22.02</v>
      </c>
      <c r="N1295">
        <v>8.43</v>
      </c>
    </row>
    <row r="1296" spans="1:14" x14ac:dyDescent="0.35">
      <c r="A1296" s="1" t="s">
        <v>1308</v>
      </c>
      <c r="B1296" t="str">
        <f>HYPERLINK("https://www.suredividend.com/sure-analysis-research-database/","Ribbon Communications Inc")</f>
        <v>Ribbon Communications Inc</v>
      </c>
      <c r="C1296" t="s">
        <v>1807</v>
      </c>
      <c r="D1296">
        <v>2.0699999999999998</v>
      </c>
      <c r="E1296">
        <v>0</v>
      </c>
      <c r="F1296" t="s">
        <v>1798</v>
      </c>
      <c r="G1296" t="s">
        <v>1798</v>
      </c>
      <c r="H1296">
        <v>0</v>
      </c>
      <c r="I1296">
        <v>354.274743</v>
      </c>
      <c r="J1296">
        <v>0</v>
      </c>
      <c r="K1296" t="s">
        <v>1798</v>
      </c>
      <c r="L1296">
        <v>1.3738720186983291</v>
      </c>
      <c r="M1296">
        <v>4.84</v>
      </c>
      <c r="N1296">
        <v>2.02</v>
      </c>
    </row>
    <row r="1297" spans="1:14" x14ac:dyDescent="0.35">
      <c r="A1297" s="1" t="s">
        <v>1309</v>
      </c>
      <c r="B1297" t="str">
        <f>HYPERLINK("https://www.suredividend.com/sure-analysis-research-database/","RBC Bearings Inc.")</f>
        <v>RBC Bearings Inc.</v>
      </c>
      <c r="C1297" t="s">
        <v>1799</v>
      </c>
      <c r="D1297">
        <v>237.78</v>
      </c>
      <c r="E1297">
        <v>0</v>
      </c>
      <c r="F1297" t="s">
        <v>1798</v>
      </c>
      <c r="G1297" t="s">
        <v>1798</v>
      </c>
      <c r="H1297">
        <v>0</v>
      </c>
      <c r="I1297">
        <v>6849.3254230000002</v>
      </c>
      <c r="J1297">
        <v>43.790280943278013</v>
      </c>
      <c r="K1297">
        <v>0</v>
      </c>
      <c r="L1297">
        <v>1.004990358243788</v>
      </c>
      <c r="M1297">
        <v>256.29000000000002</v>
      </c>
      <c r="N1297">
        <v>195.18</v>
      </c>
    </row>
    <row r="1298" spans="1:14" x14ac:dyDescent="0.35">
      <c r="A1298" s="1" t="s">
        <v>1310</v>
      </c>
      <c r="B1298" t="str">
        <f>HYPERLINK("https://www.suredividend.com/sure-analysis-RBCAA/","Republic Bancorp, Inc. (KY)")</f>
        <v>Republic Bancorp, Inc. (KY)</v>
      </c>
      <c r="C1298" t="s">
        <v>1801</v>
      </c>
      <c r="D1298">
        <v>44.27</v>
      </c>
      <c r="E1298">
        <v>3.3882990738649199E-2</v>
      </c>
      <c r="F1298">
        <v>9.6774193548387011E-2</v>
      </c>
      <c r="G1298">
        <v>9.0966078501449665E-2</v>
      </c>
      <c r="H1298">
        <v>1.4301671364077619</v>
      </c>
      <c r="I1298">
        <v>769.68959700000005</v>
      </c>
      <c r="J1298">
        <v>8.7046311184872724</v>
      </c>
      <c r="K1298">
        <v>0.32283682537421271</v>
      </c>
      <c r="L1298">
        <v>0.72929608505978905</v>
      </c>
      <c r="M1298">
        <v>47.16</v>
      </c>
      <c r="N1298">
        <v>36.01</v>
      </c>
    </row>
    <row r="1299" spans="1:14" x14ac:dyDescent="0.35">
      <c r="A1299" s="1" t="s">
        <v>1311</v>
      </c>
      <c r="B1299" t="str">
        <f>HYPERLINK("https://www.suredividend.com/sure-analysis-research-database/","Vicarious Surgical Inc")</f>
        <v>Vicarious Surgical Inc</v>
      </c>
      <c r="C1299" t="s">
        <v>1798</v>
      </c>
      <c r="D1299">
        <v>0.42920000000000003</v>
      </c>
      <c r="E1299">
        <v>0</v>
      </c>
      <c r="F1299" t="s">
        <v>1798</v>
      </c>
      <c r="G1299" t="s">
        <v>1798</v>
      </c>
      <c r="H1299">
        <v>0</v>
      </c>
      <c r="I1299">
        <v>54.637160000000002</v>
      </c>
      <c r="J1299">
        <v>0</v>
      </c>
      <c r="K1299" t="s">
        <v>1798</v>
      </c>
      <c r="L1299">
        <v>2.1302889070736528</v>
      </c>
      <c r="M1299">
        <v>3.99</v>
      </c>
      <c r="N1299">
        <v>0.41</v>
      </c>
    </row>
    <row r="1300" spans="1:14" x14ac:dyDescent="0.35">
      <c r="A1300" s="1" t="s">
        <v>1312</v>
      </c>
      <c r="B1300" t="str">
        <f>HYPERLINK("https://www.suredividend.com/sure-analysis-research-database/","Ready Capital Corp")</f>
        <v>Ready Capital Corp</v>
      </c>
      <c r="C1300" t="s">
        <v>1800</v>
      </c>
      <c r="D1300">
        <v>10.130000000000001</v>
      </c>
      <c r="E1300">
        <v>0.15610888259393399</v>
      </c>
      <c r="F1300">
        <v>-0.1000000000000001</v>
      </c>
      <c r="G1300">
        <v>-2.0851637639023202E-2</v>
      </c>
      <c r="H1300">
        <v>1.58138298067656</v>
      </c>
      <c r="I1300">
        <v>1742.074476</v>
      </c>
      <c r="J1300">
        <v>4.9599532947828768</v>
      </c>
      <c r="K1300">
        <v>0.57504835660965814</v>
      </c>
      <c r="L1300">
        <v>1.2454979121329841</v>
      </c>
      <c r="M1300">
        <v>12.05</v>
      </c>
      <c r="N1300">
        <v>8.36</v>
      </c>
    </row>
    <row r="1301" spans="1:14" x14ac:dyDescent="0.35">
      <c r="A1301" s="1" t="s">
        <v>1313</v>
      </c>
      <c r="B1301" t="str">
        <f>HYPERLINK("https://www.suredividend.com/sure-analysis-research-database/","Rocket Pharmaceuticals Inc")</f>
        <v>Rocket Pharmaceuticals Inc</v>
      </c>
      <c r="C1301" t="s">
        <v>1803</v>
      </c>
      <c r="D1301">
        <v>17.55</v>
      </c>
      <c r="E1301">
        <v>0</v>
      </c>
      <c r="F1301" t="s">
        <v>1798</v>
      </c>
      <c r="G1301" t="s">
        <v>1798</v>
      </c>
      <c r="H1301">
        <v>0</v>
      </c>
      <c r="I1301">
        <v>1413.2230689999999</v>
      </c>
      <c r="J1301">
        <v>0</v>
      </c>
      <c r="K1301" t="s">
        <v>1798</v>
      </c>
      <c r="L1301">
        <v>1.7328699687226801</v>
      </c>
      <c r="M1301">
        <v>24.65</v>
      </c>
      <c r="N1301">
        <v>14.86</v>
      </c>
    </row>
    <row r="1302" spans="1:14" x14ac:dyDescent="0.35">
      <c r="A1302" s="1" t="s">
        <v>1314</v>
      </c>
      <c r="B1302" t="str">
        <f>HYPERLINK("https://www.suredividend.com/sure-analysis-research-database/","Rocky Brands, Inc")</f>
        <v>Rocky Brands, Inc</v>
      </c>
      <c r="C1302" t="s">
        <v>1802</v>
      </c>
      <c r="D1302">
        <v>12.52</v>
      </c>
      <c r="E1302">
        <v>4.8441350727286003E-2</v>
      </c>
      <c r="F1302">
        <v>0</v>
      </c>
      <c r="G1302">
        <v>5.2519353814266312E-2</v>
      </c>
      <c r="H1302">
        <v>0.6064857111056331</v>
      </c>
      <c r="I1302">
        <v>92.224836999999994</v>
      </c>
      <c r="J1302">
        <v>0</v>
      </c>
      <c r="K1302" t="s">
        <v>1798</v>
      </c>
      <c r="L1302">
        <v>1.2936843001009479</v>
      </c>
      <c r="M1302">
        <v>31.84</v>
      </c>
      <c r="N1302">
        <v>12.26</v>
      </c>
    </row>
    <row r="1303" spans="1:14" x14ac:dyDescent="0.35">
      <c r="A1303" s="1" t="s">
        <v>1315</v>
      </c>
      <c r="B1303" t="str">
        <f>HYPERLINK("https://www.suredividend.com/sure-analysis-research-database/","R1 RCM Inc.")</f>
        <v>R1 RCM Inc.</v>
      </c>
      <c r="C1303" t="s">
        <v>1803</v>
      </c>
      <c r="D1303">
        <v>13.2</v>
      </c>
      <c r="E1303">
        <v>0</v>
      </c>
      <c r="F1303" t="s">
        <v>1798</v>
      </c>
      <c r="G1303" t="s">
        <v>1798</v>
      </c>
      <c r="H1303">
        <v>0</v>
      </c>
      <c r="I1303">
        <v>3692.04</v>
      </c>
      <c r="J1303" t="s">
        <v>1798</v>
      </c>
      <c r="K1303">
        <v>0</v>
      </c>
      <c r="L1303">
        <v>1.3510384662988899</v>
      </c>
      <c r="M1303">
        <v>18.95</v>
      </c>
      <c r="N1303">
        <v>6.71</v>
      </c>
    </row>
    <row r="1304" spans="1:14" x14ac:dyDescent="0.35">
      <c r="A1304" s="1" t="s">
        <v>1316</v>
      </c>
      <c r="B1304" t="str">
        <f>HYPERLINK("https://www.suredividend.com/sure-analysis-research-database/","Arcus Biosciences Inc")</f>
        <v>Arcus Biosciences Inc</v>
      </c>
      <c r="C1304" t="s">
        <v>1803</v>
      </c>
      <c r="D1304">
        <v>16.12</v>
      </c>
      <c r="E1304">
        <v>0</v>
      </c>
      <c r="F1304" t="s">
        <v>1798</v>
      </c>
      <c r="G1304" t="s">
        <v>1798</v>
      </c>
      <c r="H1304">
        <v>0</v>
      </c>
      <c r="I1304">
        <v>1200.9990640000001</v>
      </c>
      <c r="J1304" t="s">
        <v>1798</v>
      </c>
      <c r="K1304">
        <v>0</v>
      </c>
      <c r="L1304">
        <v>1.4767552019553829</v>
      </c>
      <c r="M1304">
        <v>36.130000000000003</v>
      </c>
      <c r="N1304">
        <v>15.53</v>
      </c>
    </row>
    <row r="1305" spans="1:14" x14ac:dyDescent="0.35">
      <c r="A1305" s="1" t="s">
        <v>1317</v>
      </c>
      <c r="B1305" t="str">
        <f>HYPERLINK("https://www.suredividend.com/sure-analysis-research-database/","Redfin Corp")</f>
        <v>Redfin Corp</v>
      </c>
      <c r="C1305" t="s">
        <v>1800</v>
      </c>
      <c r="D1305">
        <v>5.89</v>
      </c>
      <c r="E1305">
        <v>0</v>
      </c>
      <c r="F1305" t="s">
        <v>1798</v>
      </c>
      <c r="G1305" t="s">
        <v>1798</v>
      </c>
      <c r="H1305">
        <v>0</v>
      </c>
      <c r="I1305">
        <v>671.31387500000005</v>
      </c>
      <c r="J1305" t="s">
        <v>1798</v>
      </c>
      <c r="K1305">
        <v>0</v>
      </c>
      <c r="L1305">
        <v>3.5316741984411451</v>
      </c>
      <c r="M1305">
        <v>17.68</v>
      </c>
      <c r="N1305">
        <v>3.08</v>
      </c>
    </row>
    <row r="1306" spans="1:14" x14ac:dyDescent="0.35">
      <c r="A1306" s="1" t="s">
        <v>1318</v>
      </c>
      <c r="B1306" t="str">
        <f>HYPERLINK("https://www.suredividend.com/sure-analysis-research-database/","Radian Group, Inc.")</f>
        <v>Radian Group, Inc.</v>
      </c>
      <c r="C1306" t="s">
        <v>1801</v>
      </c>
      <c r="D1306">
        <v>26.26</v>
      </c>
      <c r="E1306">
        <v>3.2890385112103002E-2</v>
      </c>
      <c r="F1306">
        <v>0.125</v>
      </c>
      <c r="G1306">
        <v>1.459509485849364</v>
      </c>
      <c r="H1306">
        <v>0.86370151304382503</v>
      </c>
      <c r="I1306">
        <v>4134.003162</v>
      </c>
      <c r="J1306">
        <v>6.2216544145719643</v>
      </c>
      <c r="K1306">
        <v>0.2111739640693949</v>
      </c>
      <c r="L1306">
        <v>0.81704995110730205</v>
      </c>
      <c r="M1306">
        <v>28.02</v>
      </c>
      <c r="N1306">
        <v>17.350000000000001</v>
      </c>
    </row>
    <row r="1307" spans="1:14" x14ac:dyDescent="0.35">
      <c r="A1307" s="1" t="s">
        <v>1319</v>
      </c>
      <c r="B1307" t="str">
        <f>HYPERLINK("https://www.suredividend.com/sure-analysis-research-database/","Radnet Inc")</f>
        <v>Radnet Inc</v>
      </c>
      <c r="C1307" t="s">
        <v>1803</v>
      </c>
      <c r="D1307">
        <v>29.33</v>
      </c>
      <c r="E1307">
        <v>0</v>
      </c>
      <c r="F1307" t="s">
        <v>1798</v>
      </c>
      <c r="G1307" t="s">
        <v>1798</v>
      </c>
      <c r="H1307">
        <v>0</v>
      </c>
      <c r="I1307">
        <v>1987.77115</v>
      </c>
      <c r="J1307" t="s">
        <v>1798</v>
      </c>
      <c r="K1307">
        <v>0</v>
      </c>
      <c r="L1307">
        <v>1.118269543350263</v>
      </c>
      <c r="M1307">
        <v>35.18</v>
      </c>
      <c r="N1307">
        <v>12.03</v>
      </c>
    </row>
    <row r="1308" spans="1:14" x14ac:dyDescent="0.35">
      <c r="A1308" s="1" t="s">
        <v>1320</v>
      </c>
      <c r="B1308" t="str">
        <f>HYPERLINK("https://www.suredividend.com/sure-analysis-research-database/","Red Violet Inc")</f>
        <v>Red Violet Inc</v>
      </c>
      <c r="C1308" t="s">
        <v>1804</v>
      </c>
      <c r="D1308">
        <v>19.91</v>
      </c>
      <c r="E1308">
        <v>0</v>
      </c>
      <c r="F1308" t="s">
        <v>1798</v>
      </c>
      <c r="G1308" t="s">
        <v>1798</v>
      </c>
      <c r="H1308">
        <v>0</v>
      </c>
      <c r="I1308">
        <v>277.017606</v>
      </c>
      <c r="J1308">
        <v>0</v>
      </c>
      <c r="K1308" t="s">
        <v>1798</v>
      </c>
      <c r="L1308">
        <v>1.052547802469769</v>
      </c>
      <c r="M1308">
        <v>27.61</v>
      </c>
      <c r="N1308">
        <v>14.89</v>
      </c>
    </row>
    <row r="1309" spans="1:14" x14ac:dyDescent="0.35">
      <c r="A1309" s="1" t="s">
        <v>1321</v>
      </c>
      <c r="B1309" t="str">
        <f>HYPERLINK("https://www.suredividend.com/sure-analysis-research-database/","Redwire Corporation")</f>
        <v>Redwire Corporation</v>
      </c>
      <c r="C1309" t="s">
        <v>1798</v>
      </c>
      <c r="D1309">
        <v>2.66</v>
      </c>
      <c r="E1309">
        <v>0</v>
      </c>
      <c r="F1309" t="s">
        <v>1798</v>
      </c>
      <c r="G1309" t="s">
        <v>1798</v>
      </c>
      <c r="H1309">
        <v>0</v>
      </c>
      <c r="I1309">
        <v>172.276307</v>
      </c>
      <c r="J1309" t="s">
        <v>1798</v>
      </c>
      <c r="K1309">
        <v>0</v>
      </c>
      <c r="L1309">
        <v>1.841051373272494</v>
      </c>
      <c r="M1309">
        <v>4.58</v>
      </c>
      <c r="N1309">
        <v>1.67</v>
      </c>
    </row>
    <row r="1310" spans="1:14" x14ac:dyDescent="0.35">
      <c r="A1310" s="1" t="s">
        <v>1322</v>
      </c>
      <c r="B1310" t="str">
        <f>HYPERLINK("https://www.suredividend.com/sure-analysis-research-database/","Therealreal Inc")</f>
        <v>Therealreal Inc</v>
      </c>
      <c r="C1310" t="s">
        <v>1802</v>
      </c>
      <c r="D1310">
        <v>1.59</v>
      </c>
      <c r="E1310">
        <v>0</v>
      </c>
      <c r="F1310" t="s">
        <v>1798</v>
      </c>
      <c r="G1310" t="s">
        <v>1798</v>
      </c>
      <c r="H1310">
        <v>0</v>
      </c>
      <c r="I1310">
        <v>162.339</v>
      </c>
      <c r="J1310" t="s">
        <v>1798</v>
      </c>
      <c r="K1310">
        <v>0</v>
      </c>
      <c r="L1310">
        <v>3.138958954673615</v>
      </c>
      <c r="M1310">
        <v>2.94</v>
      </c>
      <c r="N1310">
        <v>1</v>
      </c>
    </row>
    <row r="1311" spans="1:14" x14ac:dyDescent="0.35">
      <c r="A1311" s="1" t="s">
        <v>1323</v>
      </c>
      <c r="B1311" t="str">
        <f>HYPERLINK("https://www.suredividend.com/sure-analysis-research-database/","Chicago Atlantic Real Estate Finance Inc")</f>
        <v>Chicago Atlantic Real Estate Finance Inc</v>
      </c>
      <c r="C1311" t="s">
        <v>1798</v>
      </c>
      <c r="D1311">
        <v>14.97</v>
      </c>
      <c r="E1311">
        <v>0.142180869419851</v>
      </c>
      <c r="F1311" t="s">
        <v>1798</v>
      </c>
      <c r="G1311" t="s">
        <v>1798</v>
      </c>
      <c r="H1311">
        <v>2.128447615215181</v>
      </c>
      <c r="I1311">
        <v>272.08563299999997</v>
      </c>
      <c r="J1311">
        <v>7.483018226718162</v>
      </c>
      <c r="K1311">
        <v>1.0484963621749659</v>
      </c>
      <c r="L1311">
        <v>0.48792389692807497</v>
      </c>
      <c r="M1311">
        <v>15.12</v>
      </c>
      <c r="N1311">
        <v>11.01</v>
      </c>
    </row>
    <row r="1312" spans="1:14" x14ac:dyDescent="0.35">
      <c r="A1312" s="1" t="s">
        <v>1324</v>
      </c>
      <c r="B1312" t="str">
        <f>HYPERLINK("https://www.suredividend.com/sure-analysis-research-database/","Ring Energy Inc")</f>
        <v>Ring Energy Inc</v>
      </c>
      <c r="C1312" t="s">
        <v>1808</v>
      </c>
      <c r="D1312">
        <v>1.77</v>
      </c>
      <c r="E1312">
        <v>0</v>
      </c>
      <c r="F1312" t="s">
        <v>1798</v>
      </c>
      <c r="G1312" t="s">
        <v>1798</v>
      </c>
      <c r="H1312">
        <v>0</v>
      </c>
      <c r="I1312">
        <v>345.78148800000002</v>
      </c>
      <c r="J1312">
        <v>0</v>
      </c>
      <c r="K1312" t="s">
        <v>1798</v>
      </c>
      <c r="L1312">
        <v>1.5033060437256689</v>
      </c>
      <c r="M1312">
        <v>3.47</v>
      </c>
      <c r="N1312">
        <v>1.63</v>
      </c>
    </row>
    <row r="1313" spans="1:14" x14ac:dyDescent="0.35">
      <c r="A1313" s="1" t="s">
        <v>1325</v>
      </c>
      <c r="B1313" t="str">
        <f>HYPERLINK("https://www.suredividend.com/sure-analysis-research-database/","Remitly Global Inc")</f>
        <v>Remitly Global Inc</v>
      </c>
      <c r="C1313" t="s">
        <v>1798</v>
      </c>
      <c r="D1313">
        <v>26.22</v>
      </c>
      <c r="E1313">
        <v>0</v>
      </c>
      <c r="F1313" t="s">
        <v>1798</v>
      </c>
      <c r="G1313" t="s">
        <v>1798</v>
      </c>
      <c r="H1313">
        <v>0</v>
      </c>
      <c r="I1313">
        <v>4751.0284979999997</v>
      </c>
      <c r="J1313" t="s">
        <v>1798</v>
      </c>
      <c r="K1313">
        <v>0</v>
      </c>
      <c r="L1313">
        <v>1.38950588848584</v>
      </c>
      <c r="M1313">
        <v>27.12</v>
      </c>
      <c r="N1313">
        <v>8.94</v>
      </c>
    </row>
    <row r="1314" spans="1:14" x14ac:dyDescent="0.35">
      <c r="A1314" s="1" t="s">
        <v>1326</v>
      </c>
      <c r="B1314" t="str">
        <f>HYPERLINK("https://www.suredividend.com/sure-analysis-research-database/","Rent the Runway Inc")</f>
        <v>Rent the Runway Inc</v>
      </c>
      <c r="C1314" t="s">
        <v>1798</v>
      </c>
      <c r="D1314">
        <v>0.59520000000000006</v>
      </c>
      <c r="E1314">
        <v>0</v>
      </c>
      <c r="F1314" t="s">
        <v>1798</v>
      </c>
      <c r="G1314" t="s">
        <v>1798</v>
      </c>
      <c r="H1314">
        <v>0</v>
      </c>
      <c r="I1314">
        <v>39.199075999999998</v>
      </c>
      <c r="J1314">
        <v>0</v>
      </c>
      <c r="K1314" t="s">
        <v>1798</v>
      </c>
      <c r="L1314">
        <v>2.1585598142665532</v>
      </c>
      <c r="M1314">
        <v>4.82</v>
      </c>
      <c r="N1314">
        <v>0.57999999999999996</v>
      </c>
    </row>
    <row r="1315" spans="1:14" x14ac:dyDescent="0.35">
      <c r="A1315" s="1" t="s">
        <v>1327</v>
      </c>
      <c r="B1315" t="str">
        <f>HYPERLINK("https://www.suredividend.com/sure-analysis-research-database/","Replimune Group Inc")</f>
        <v>Replimune Group Inc</v>
      </c>
      <c r="C1315" t="s">
        <v>1803</v>
      </c>
      <c r="D1315">
        <v>15.23</v>
      </c>
      <c r="E1315">
        <v>0</v>
      </c>
      <c r="F1315" t="s">
        <v>1798</v>
      </c>
      <c r="G1315" t="s">
        <v>1798</v>
      </c>
      <c r="H1315">
        <v>0</v>
      </c>
      <c r="I1315">
        <v>898.51404500000001</v>
      </c>
      <c r="J1315">
        <v>0</v>
      </c>
      <c r="K1315" t="s">
        <v>1798</v>
      </c>
      <c r="L1315">
        <v>1.0954272797531419</v>
      </c>
      <c r="M1315">
        <v>29.52</v>
      </c>
      <c r="N1315">
        <v>14.42</v>
      </c>
    </row>
    <row r="1316" spans="1:14" x14ac:dyDescent="0.35">
      <c r="A1316" s="1" t="s">
        <v>1328</v>
      </c>
      <c r="B1316" t="str">
        <f>HYPERLINK("https://www.suredividend.com/sure-analysis-research-database/","Riley Exploration Permian Inc.")</f>
        <v>Riley Exploration Permian Inc.</v>
      </c>
      <c r="C1316" t="s">
        <v>1798</v>
      </c>
      <c r="D1316">
        <v>31.63</v>
      </c>
      <c r="E1316">
        <v>4.1981160039634001E-2</v>
      </c>
      <c r="F1316" t="s">
        <v>1798</v>
      </c>
      <c r="G1316" t="s">
        <v>1798</v>
      </c>
      <c r="H1316">
        <v>1.3278640920536231</v>
      </c>
      <c r="I1316">
        <v>638.20999200000006</v>
      </c>
      <c r="J1316">
        <v>5.4080551108794941</v>
      </c>
      <c r="K1316">
        <v>0.22168014892381019</v>
      </c>
      <c r="L1316">
        <v>1.442032859536688</v>
      </c>
      <c r="M1316">
        <v>46.2</v>
      </c>
      <c r="N1316">
        <v>21.94</v>
      </c>
    </row>
    <row r="1317" spans="1:14" x14ac:dyDescent="0.35">
      <c r="A1317" s="1" t="s">
        <v>1329</v>
      </c>
      <c r="B1317" t="str">
        <f>HYPERLINK("https://www.suredividend.com/sure-analysis-research-database/","RPC, Inc.")</f>
        <v>RPC, Inc.</v>
      </c>
      <c r="C1317" t="s">
        <v>1808</v>
      </c>
      <c r="D1317">
        <v>8.92</v>
      </c>
      <c r="E1317">
        <v>1.5592674703086999E-2</v>
      </c>
      <c r="F1317" t="s">
        <v>1798</v>
      </c>
      <c r="G1317" t="s">
        <v>1798</v>
      </c>
      <c r="H1317">
        <v>0.13908665835154299</v>
      </c>
      <c r="I1317">
        <v>1930.368048</v>
      </c>
      <c r="J1317">
        <v>6.6636796799281983</v>
      </c>
      <c r="K1317">
        <v>0.1022696017290758</v>
      </c>
      <c r="L1317">
        <v>1.073990898471338</v>
      </c>
      <c r="M1317">
        <v>11.21</v>
      </c>
      <c r="N1317">
        <v>6.51</v>
      </c>
    </row>
    <row r="1318" spans="1:14" x14ac:dyDescent="0.35">
      <c r="A1318" s="1" t="s">
        <v>1330</v>
      </c>
      <c r="B1318" t="str">
        <f>HYPERLINK("https://www.suredividend.com/sure-analysis-research-database/","Reata Pharmaceuticals Inc")</f>
        <v>Reata Pharmaceuticals Inc</v>
      </c>
      <c r="C1318" t="s">
        <v>1803</v>
      </c>
      <c r="D1318">
        <v>172.36</v>
      </c>
      <c r="E1318">
        <v>0</v>
      </c>
      <c r="F1318" t="s">
        <v>1798</v>
      </c>
      <c r="G1318" t="s">
        <v>1798</v>
      </c>
      <c r="H1318">
        <v>0</v>
      </c>
      <c r="I1318">
        <v>0</v>
      </c>
      <c r="J1318">
        <v>0</v>
      </c>
      <c r="K1318">
        <v>0</v>
      </c>
    </row>
    <row r="1319" spans="1:14" x14ac:dyDescent="0.35">
      <c r="A1319" s="1" t="s">
        <v>1331</v>
      </c>
      <c r="B1319" t="str">
        <f>HYPERLINK("https://www.suredividend.com/sure-analysis-research-database/","REV Group Inc")</f>
        <v>REV Group Inc</v>
      </c>
      <c r="C1319" t="s">
        <v>1799</v>
      </c>
      <c r="D1319">
        <v>15.37</v>
      </c>
      <c r="E1319">
        <v>1.2943039575246999E-2</v>
      </c>
      <c r="F1319" t="s">
        <v>1798</v>
      </c>
      <c r="G1319" t="s">
        <v>1798</v>
      </c>
      <c r="H1319">
        <v>0.198934518271557</v>
      </c>
      <c r="I1319">
        <v>911.58097499999997</v>
      </c>
      <c r="J1319" t="s">
        <v>1798</v>
      </c>
      <c r="K1319" t="s">
        <v>1798</v>
      </c>
      <c r="L1319">
        <v>1.083296290843633</v>
      </c>
      <c r="M1319">
        <v>16.54</v>
      </c>
      <c r="N1319">
        <v>9.7799999999999994</v>
      </c>
    </row>
    <row r="1320" spans="1:14" x14ac:dyDescent="0.35">
      <c r="A1320" s="1" t="s">
        <v>1332</v>
      </c>
      <c r="B1320" t="str">
        <f>HYPERLINK("https://www.suredividend.com/sure-analysis-research-database/","REX American Resources Corp")</f>
        <v>REX American Resources Corp</v>
      </c>
      <c r="C1320" t="s">
        <v>1808</v>
      </c>
      <c r="D1320">
        <v>35.94</v>
      </c>
      <c r="E1320">
        <v>0</v>
      </c>
      <c r="F1320" t="s">
        <v>1798</v>
      </c>
      <c r="G1320" t="s">
        <v>1798</v>
      </c>
      <c r="H1320">
        <v>0</v>
      </c>
      <c r="I1320">
        <v>629.08459500000004</v>
      </c>
      <c r="J1320">
        <v>24.539108882040878</v>
      </c>
      <c r="K1320">
        <v>0</v>
      </c>
      <c r="L1320">
        <v>1.1603841284588221</v>
      </c>
      <c r="M1320">
        <v>41.63</v>
      </c>
      <c r="N1320">
        <v>26.05</v>
      </c>
    </row>
    <row r="1321" spans="1:14" x14ac:dyDescent="0.35">
      <c r="A1321" s="1" t="s">
        <v>1333</v>
      </c>
      <c r="B1321" t="str">
        <f>HYPERLINK("https://www.suredividend.com/sure-analysis-research-database/","Resideo Technologies Inc")</f>
        <v>Resideo Technologies Inc</v>
      </c>
      <c r="C1321" t="s">
        <v>1799</v>
      </c>
      <c r="D1321">
        <v>14.73</v>
      </c>
      <c r="E1321">
        <v>0</v>
      </c>
      <c r="F1321" t="s">
        <v>1798</v>
      </c>
      <c r="G1321" t="s">
        <v>1798</v>
      </c>
      <c r="H1321">
        <v>0</v>
      </c>
      <c r="I1321">
        <v>2174.9246250000001</v>
      </c>
      <c r="J1321">
        <v>10.40633791636364</v>
      </c>
      <c r="K1321">
        <v>0</v>
      </c>
      <c r="L1321">
        <v>1.6588229966220891</v>
      </c>
      <c r="M1321">
        <v>23.94</v>
      </c>
      <c r="N1321">
        <v>14.7</v>
      </c>
    </row>
    <row r="1322" spans="1:14" x14ac:dyDescent="0.35">
      <c r="A1322" s="1" t="s">
        <v>1334</v>
      </c>
      <c r="B1322" t="str">
        <f>HYPERLINK("https://www.suredividend.com/sure-analysis-research-database/","Regenxbio Inc")</f>
        <v>Regenxbio Inc</v>
      </c>
      <c r="C1322" t="s">
        <v>1803</v>
      </c>
      <c r="D1322">
        <v>16.09</v>
      </c>
      <c r="E1322">
        <v>0</v>
      </c>
      <c r="F1322" t="s">
        <v>1798</v>
      </c>
      <c r="G1322" t="s">
        <v>1798</v>
      </c>
      <c r="H1322">
        <v>0</v>
      </c>
      <c r="I1322">
        <v>707.31813799999998</v>
      </c>
      <c r="J1322" t="s">
        <v>1798</v>
      </c>
      <c r="K1322">
        <v>0</v>
      </c>
      <c r="L1322">
        <v>1.2965562945657969</v>
      </c>
      <c r="M1322">
        <v>25.54</v>
      </c>
      <c r="N1322">
        <v>14.9</v>
      </c>
    </row>
    <row r="1323" spans="1:14" x14ac:dyDescent="0.35">
      <c r="A1323" s="1" t="s">
        <v>1335</v>
      </c>
      <c r="B1323" t="str">
        <f>HYPERLINK("https://www.suredividend.com/sure-analysis-research-database/","Resources Connection Inc")</f>
        <v>Resources Connection Inc</v>
      </c>
      <c r="C1323" t="s">
        <v>1799</v>
      </c>
      <c r="D1323">
        <v>13.9</v>
      </c>
      <c r="E1323">
        <v>3.9486256676388012E-2</v>
      </c>
      <c r="F1323">
        <v>0</v>
      </c>
      <c r="G1323">
        <v>1.493197894539389E-2</v>
      </c>
      <c r="H1323">
        <v>0.54885896780179699</v>
      </c>
      <c r="I1323">
        <v>468.39898899999997</v>
      </c>
      <c r="J1323">
        <v>11.907641577689651</v>
      </c>
      <c r="K1323">
        <v>0.47726866765373649</v>
      </c>
      <c r="L1323">
        <v>0.85774371204823108</v>
      </c>
      <c r="M1323">
        <v>19.059999999999999</v>
      </c>
      <c r="N1323">
        <v>13</v>
      </c>
    </row>
    <row r="1324" spans="1:14" x14ac:dyDescent="0.35">
      <c r="A1324" s="1" t="s">
        <v>1336</v>
      </c>
      <c r="B1324" t="str">
        <f>HYPERLINK("https://www.suredividend.com/sure-analysis-research-database/","Sturm, Ruger &amp; Co., Inc.")</f>
        <v>Sturm, Ruger &amp; Co., Inc.</v>
      </c>
      <c r="C1324" t="s">
        <v>1799</v>
      </c>
      <c r="D1324">
        <v>54.32</v>
      </c>
      <c r="E1324">
        <v>2.6877828414513999E-2</v>
      </c>
      <c r="F1324">
        <v>-0.1219512195121952</v>
      </c>
      <c r="G1324">
        <v>4.4193295943856237E-2</v>
      </c>
      <c r="H1324">
        <v>1.4600036394764251</v>
      </c>
      <c r="I1324">
        <v>962.69608600000004</v>
      </c>
      <c r="J1324">
        <v>14.18274089159963</v>
      </c>
      <c r="K1324">
        <v>0.38320305498068902</v>
      </c>
      <c r="L1324">
        <v>0.65362912853634902</v>
      </c>
      <c r="M1324">
        <v>60.12</v>
      </c>
      <c r="N1324">
        <v>44.02</v>
      </c>
    </row>
    <row r="1325" spans="1:14" x14ac:dyDescent="0.35">
      <c r="A1325" s="1" t="s">
        <v>1337</v>
      </c>
      <c r="B1325" t="str">
        <f>HYPERLINK("https://www.suredividend.com/sure-analysis-research-database/","Rigetti Computing Inc")</f>
        <v>Rigetti Computing Inc</v>
      </c>
      <c r="C1325" t="s">
        <v>1798</v>
      </c>
      <c r="D1325">
        <v>1.4</v>
      </c>
      <c r="E1325">
        <v>0</v>
      </c>
      <c r="F1325" t="s">
        <v>1798</v>
      </c>
      <c r="G1325" t="s">
        <v>1798</v>
      </c>
      <c r="H1325">
        <v>0</v>
      </c>
      <c r="I1325">
        <v>186.18600000000001</v>
      </c>
      <c r="J1325" t="s">
        <v>1798</v>
      </c>
      <c r="K1325">
        <v>0</v>
      </c>
      <c r="L1325">
        <v>2.687586830120555</v>
      </c>
      <c r="M1325">
        <v>3.43</v>
      </c>
      <c r="N1325">
        <v>0.36009999999999998</v>
      </c>
    </row>
    <row r="1326" spans="1:14" x14ac:dyDescent="0.35">
      <c r="A1326" s="1" t="s">
        <v>1338</v>
      </c>
      <c r="B1326" t="str">
        <f>HYPERLINK("https://www.suredividend.com/sure-analysis-research-database/","Ryman Hospitality Properties Inc")</f>
        <v>Ryman Hospitality Properties Inc</v>
      </c>
      <c r="C1326" t="s">
        <v>1800</v>
      </c>
      <c r="D1326">
        <v>83.95</v>
      </c>
      <c r="E1326">
        <v>3.5289931385303001E-2</v>
      </c>
      <c r="F1326" t="s">
        <v>1798</v>
      </c>
      <c r="G1326" t="s">
        <v>1798</v>
      </c>
      <c r="H1326">
        <v>2.9625897397962642</v>
      </c>
      <c r="I1326">
        <v>5012.3596680000001</v>
      </c>
      <c r="J1326">
        <v>21.680412761632059</v>
      </c>
      <c r="K1326">
        <v>0.73880043386440508</v>
      </c>
      <c r="L1326">
        <v>1.013487859201001</v>
      </c>
      <c r="M1326">
        <v>97.32</v>
      </c>
      <c r="N1326">
        <v>74.739999999999995</v>
      </c>
    </row>
    <row r="1327" spans="1:14" x14ac:dyDescent="0.35">
      <c r="A1327" s="1" t="s">
        <v>1339</v>
      </c>
      <c r="B1327" t="str">
        <f>HYPERLINK("https://www.suredividend.com/sure-analysis-research-database/","RCI Hospitality Holdings Inc")</f>
        <v>RCI Hospitality Holdings Inc</v>
      </c>
      <c r="C1327" t="s">
        <v>1802</v>
      </c>
      <c r="D1327">
        <v>52.17</v>
      </c>
      <c r="E1327">
        <v>4.3984841040110006E-3</v>
      </c>
      <c r="F1327">
        <v>0.2</v>
      </c>
      <c r="G1327">
        <v>0.1486983549970351</v>
      </c>
      <c r="H1327">
        <v>0.22946891570629499</v>
      </c>
      <c r="I1327">
        <v>491.430183</v>
      </c>
      <c r="J1327">
        <v>13.04670357209228</v>
      </c>
      <c r="K1327">
        <v>5.6658991532418518E-2</v>
      </c>
      <c r="L1327">
        <v>0.89846782005957604</v>
      </c>
      <c r="M1327">
        <v>97.04</v>
      </c>
      <c r="N1327">
        <v>51.9</v>
      </c>
    </row>
    <row r="1328" spans="1:14" x14ac:dyDescent="0.35">
      <c r="A1328" s="1" t="s">
        <v>1340</v>
      </c>
      <c r="B1328" t="str">
        <f>HYPERLINK("https://www.suredividend.com/sure-analysis-research-database/","Lordstown Motors Corp.")</f>
        <v>Lordstown Motors Corp.</v>
      </c>
      <c r="C1328" t="s">
        <v>1798</v>
      </c>
      <c r="D1328">
        <v>2.2000000000000002</v>
      </c>
      <c r="E1328">
        <v>0</v>
      </c>
      <c r="F1328" t="s">
        <v>1798</v>
      </c>
      <c r="G1328" t="s">
        <v>1798</v>
      </c>
      <c r="H1328">
        <v>0</v>
      </c>
      <c r="I1328">
        <v>0</v>
      </c>
      <c r="J1328">
        <v>0</v>
      </c>
      <c r="K1328" t="s">
        <v>1798</v>
      </c>
    </row>
    <row r="1329" spans="1:14" x14ac:dyDescent="0.35">
      <c r="A1329" s="1" t="s">
        <v>1341</v>
      </c>
      <c r="B1329" t="str">
        <f>HYPERLINK("https://www.suredividend.com/sure-analysis-research-database/","Rigel Pharmaceuticals")</f>
        <v>Rigel Pharmaceuticals</v>
      </c>
      <c r="C1329" t="s">
        <v>1803</v>
      </c>
      <c r="D1329">
        <v>0.94020000000000004</v>
      </c>
      <c r="E1329">
        <v>0</v>
      </c>
      <c r="F1329" t="s">
        <v>1798</v>
      </c>
      <c r="G1329" t="s">
        <v>1798</v>
      </c>
      <c r="H1329">
        <v>0</v>
      </c>
      <c r="I1329">
        <v>163.93730199999999</v>
      </c>
      <c r="J1329" t="s">
        <v>1798</v>
      </c>
      <c r="K1329">
        <v>0</v>
      </c>
      <c r="L1329">
        <v>0.87708569044951101</v>
      </c>
      <c r="M1329">
        <v>2.04</v>
      </c>
      <c r="N1329">
        <v>0.66790000000000005</v>
      </c>
    </row>
    <row r="1330" spans="1:14" x14ac:dyDescent="0.35">
      <c r="A1330" s="1" t="s">
        <v>1342</v>
      </c>
      <c r="B1330" t="str">
        <f>HYPERLINK("https://www.suredividend.com/sure-analysis-research-database/","B. Riley Financial Inc")</f>
        <v>B. Riley Financial Inc</v>
      </c>
      <c r="C1330" t="s">
        <v>1801</v>
      </c>
      <c r="D1330">
        <v>39.799999999999997</v>
      </c>
      <c r="E1330">
        <v>9.4351382352713009E-2</v>
      </c>
      <c r="F1330">
        <v>0</v>
      </c>
      <c r="G1330">
        <v>0.5848931924611136</v>
      </c>
      <c r="H1330">
        <v>3.7551850176380079</v>
      </c>
      <c r="I1330">
        <v>1216.7568040000001</v>
      </c>
      <c r="J1330">
        <v>26.510595555265041</v>
      </c>
      <c r="K1330">
        <v>2.3469906360237549</v>
      </c>
      <c r="L1330">
        <v>2.2980410706532228</v>
      </c>
      <c r="M1330">
        <v>58.45</v>
      </c>
      <c r="N1330">
        <v>22.64</v>
      </c>
    </row>
    <row r="1331" spans="1:14" x14ac:dyDescent="0.35">
      <c r="A1331" s="1" t="s">
        <v>1343</v>
      </c>
      <c r="B1331" t="str">
        <f>HYPERLINK("https://www.suredividend.com/sure-analysis-research-database/","Riot Platforms Inc")</f>
        <v>Riot Platforms Inc</v>
      </c>
      <c r="C1331" t="s">
        <v>1804</v>
      </c>
      <c r="D1331">
        <v>9.15</v>
      </c>
      <c r="E1331">
        <v>0</v>
      </c>
      <c r="F1331" t="s">
        <v>1798</v>
      </c>
      <c r="G1331" t="s">
        <v>1798</v>
      </c>
      <c r="H1331">
        <v>0</v>
      </c>
      <c r="I1331">
        <v>1695.548354</v>
      </c>
      <c r="J1331">
        <v>0</v>
      </c>
      <c r="K1331" t="s">
        <v>1798</v>
      </c>
      <c r="L1331">
        <v>2.7631162034709358</v>
      </c>
      <c r="M1331">
        <v>20.65</v>
      </c>
      <c r="N1331">
        <v>3.25</v>
      </c>
    </row>
    <row r="1332" spans="1:14" x14ac:dyDescent="0.35">
      <c r="A1332" s="1" t="s">
        <v>1344</v>
      </c>
      <c r="B1332" t="str">
        <f>HYPERLINK("https://www.suredividend.com/sure-analysis-research-database/","Rocket Lab USA Inc")</f>
        <v>Rocket Lab USA Inc</v>
      </c>
      <c r="C1332" t="s">
        <v>1798</v>
      </c>
      <c r="D1332">
        <v>4.29</v>
      </c>
      <c r="E1332">
        <v>0</v>
      </c>
      <c r="F1332" t="s">
        <v>1798</v>
      </c>
      <c r="G1332" t="s">
        <v>1798</v>
      </c>
      <c r="H1332">
        <v>0</v>
      </c>
      <c r="I1332">
        <v>2073.4711739999998</v>
      </c>
      <c r="J1332" t="s">
        <v>1798</v>
      </c>
      <c r="K1332">
        <v>0</v>
      </c>
      <c r="L1332">
        <v>2.0501831236196542</v>
      </c>
      <c r="M1332">
        <v>8.0500000000000007</v>
      </c>
      <c r="N1332">
        <v>3.48</v>
      </c>
    </row>
    <row r="1333" spans="1:14" x14ac:dyDescent="0.35">
      <c r="A1333" s="1" t="s">
        <v>1345</v>
      </c>
      <c r="B1333" t="str">
        <f>HYPERLINK("https://www.suredividend.com/sure-analysis-research-database/","Relay Therapeutics Inc")</f>
        <v>Relay Therapeutics Inc</v>
      </c>
      <c r="C1333" t="s">
        <v>1798</v>
      </c>
      <c r="D1333">
        <v>7.74</v>
      </c>
      <c r="E1333">
        <v>0</v>
      </c>
      <c r="F1333" t="s">
        <v>1798</v>
      </c>
      <c r="G1333" t="s">
        <v>1798</v>
      </c>
      <c r="H1333">
        <v>0</v>
      </c>
      <c r="I1333">
        <v>945.31496200000004</v>
      </c>
      <c r="J1333" t="s">
        <v>1798</v>
      </c>
      <c r="K1333">
        <v>0</v>
      </c>
      <c r="L1333">
        <v>1.3574345079732231</v>
      </c>
      <c r="M1333">
        <v>23.18</v>
      </c>
      <c r="N1333">
        <v>7.26</v>
      </c>
    </row>
    <row r="1334" spans="1:14" x14ac:dyDescent="0.35">
      <c r="A1334" s="1" t="s">
        <v>1346</v>
      </c>
      <c r="B1334" t="str">
        <f>HYPERLINK("https://www.suredividend.com/sure-analysis-research-database/","Radiant Logistics, Inc.")</f>
        <v>Radiant Logistics, Inc.</v>
      </c>
      <c r="C1334" t="s">
        <v>1799</v>
      </c>
      <c r="D1334">
        <v>5.82</v>
      </c>
      <c r="E1334">
        <v>0</v>
      </c>
      <c r="F1334" t="s">
        <v>1798</v>
      </c>
      <c r="G1334" t="s">
        <v>1798</v>
      </c>
      <c r="H1334">
        <v>0</v>
      </c>
      <c r="I1334">
        <v>275.80386900000002</v>
      </c>
      <c r="J1334">
        <v>0</v>
      </c>
      <c r="K1334" t="s">
        <v>1798</v>
      </c>
      <c r="L1334">
        <v>0.86252503376914602</v>
      </c>
      <c r="M1334">
        <v>7.76</v>
      </c>
      <c r="N1334">
        <v>4.93</v>
      </c>
    </row>
    <row r="1335" spans="1:14" x14ac:dyDescent="0.35">
      <c r="A1335" s="1" t="s">
        <v>1347</v>
      </c>
      <c r="B1335" t="str">
        <f>HYPERLINK("https://www.suredividend.com/sure-analysis-RLI/","RLI Corp.")</f>
        <v>RLI Corp.</v>
      </c>
      <c r="C1335" t="s">
        <v>1801</v>
      </c>
      <c r="D1335">
        <v>134.91999999999999</v>
      </c>
      <c r="E1335">
        <v>8.004743551734363E-3</v>
      </c>
      <c r="F1335">
        <v>-0.96142857142857141</v>
      </c>
      <c r="G1335">
        <v>3.2588266169875757E-2</v>
      </c>
      <c r="H1335">
        <v>1.0567320001874989</v>
      </c>
      <c r="I1335">
        <v>6151.8387640000001</v>
      </c>
      <c r="J1335">
        <v>8.6137285096682952</v>
      </c>
      <c r="K1335">
        <v>6.8132301752901289E-2</v>
      </c>
      <c r="L1335">
        <v>0.48873340531331999</v>
      </c>
      <c r="M1335">
        <v>149.01</v>
      </c>
      <c r="N1335">
        <v>108.17</v>
      </c>
    </row>
    <row r="1336" spans="1:14" x14ac:dyDescent="0.35">
      <c r="A1336" s="1" t="s">
        <v>1348</v>
      </c>
      <c r="B1336" t="str">
        <f>HYPERLINK("https://www.suredividend.com/sure-analysis-research-database/","RLJ Lodging Trust")</f>
        <v>RLJ Lodging Trust</v>
      </c>
      <c r="C1336" t="s">
        <v>1800</v>
      </c>
      <c r="D1336">
        <v>9.58</v>
      </c>
      <c r="E1336">
        <v>3.1984735492893997E-2</v>
      </c>
      <c r="F1336">
        <v>1</v>
      </c>
      <c r="G1336">
        <v>-0.2124154064688504</v>
      </c>
      <c r="H1336">
        <v>0.30641376602192899</v>
      </c>
      <c r="I1336">
        <v>1508.6544429999999</v>
      </c>
      <c r="J1336">
        <v>29.86547448203504</v>
      </c>
      <c r="K1336">
        <v>0.96569103694273251</v>
      </c>
      <c r="L1336">
        <v>1.1444274231072169</v>
      </c>
      <c r="M1336">
        <v>12.58</v>
      </c>
      <c r="N1336">
        <v>9.0299999999999994</v>
      </c>
    </row>
    <row r="1337" spans="1:14" x14ac:dyDescent="0.35">
      <c r="A1337" s="1" t="s">
        <v>1349</v>
      </c>
      <c r="B1337" t="str">
        <f>HYPERLINK("https://www.suredividend.com/sure-analysis-research-database/","Relmada Therapeutics Inc")</f>
        <v>Relmada Therapeutics Inc</v>
      </c>
      <c r="C1337" t="s">
        <v>1803</v>
      </c>
      <c r="D1337">
        <v>3.1</v>
      </c>
      <c r="E1337">
        <v>0</v>
      </c>
      <c r="F1337" t="s">
        <v>1798</v>
      </c>
      <c r="G1337" t="s">
        <v>1798</v>
      </c>
      <c r="H1337">
        <v>0</v>
      </c>
      <c r="I1337">
        <v>93.307529000000002</v>
      </c>
      <c r="J1337">
        <v>0</v>
      </c>
      <c r="K1337" t="s">
        <v>1798</v>
      </c>
      <c r="L1337">
        <v>0.89170227658375212</v>
      </c>
      <c r="M1337">
        <v>7.97</v>
      </c>
      <c r="N1337">
        <v>1.81</v>
      </c>
    </row>
    <row r="1338" spans="1:14" x14ac:dyDescent="0.35">
      <c r="A1338" s="1" t="s">
        <v>1350</v>
      </c>
      <c r="B1338" t="str">
        <f>HYPERLINK("https://www.suredividend.com/sure-analysis-research-database/","Rallybio Corp")</f>
        <v>Rallybio Corp</v>
      </c>
      <c r="C1338" t="s">
        <v>1798</v>
      </c>
      <c r="D1338">
        <v>3.68</v>
      </c>
      <c r="E1338">
        <v>0</v>
      </c>
      <c r="F1338" t="s">
        <v>1798</v>
      </c>
      <c r="G1338" t="s">
        <v>1798</v>
      </c>
      <c r="H1338">
        <v>0</v>
      </c>
      <c r="I1338">
        <v>139.10714999999999</v>
      </c>
      <c r="J1338">
        <v>0</v>
      </c>
      <c r="K1338" t="s">
        <v>1798</v>
      </c>
      <c r="L1338">
        <v>0.61966503002928808</v>
      </c>
      <c r="M1338">
        <v>10.07</v>
      </c>
      <c r="N1338">
        <v>3.03</v>
      </c>
    </row>
    <row r="1339" spans="1:14" x14ac:dyDescent="0.35">
      <c r="A1339" s="1" t="s">
        <v>1351</v>
      </c>
      <c r="B1339" t="str">
        <f>HYPERLINK("https://www.suredividend.com/sure-analysis-research-database/","Regional Management Corp")</f>
        <v>Regional Management Corp</v>
      </c>
      <c r="C1339" t="s">
        <v>1801</v>
      </c>
      <c r="D1339">
        <v>25.42</v>
      </c>
      <c r="E1339">
        <v>4.6452378632918997E-2</v>
      </c>
      <c r="F1339" t="s">
        <v>1798</v>
      </c>
      <c r="G1339" t="s">
        <v>1798</v>
      </c>
      <c r="H1339">
        <v>1.1808194648488131</v>
      </c>
      <c r="I1339">
        <v>250.061116</v>
      </c>
      <c r="J1339">
        <v>0</v>
      </c>
      <c r="K1339" t="s">
        <v>1798</v>
      </c>
      <c r="L1339">
        <v>1.243888193606594</v>
      </c>
      <c r="M1339">
        <v>37.159999999999997</v>
      </c>
      <c r="N1339">
        <v>23.84</v>
      </c>
    </row>
    <row r="1340" spans="1:14" x14ac:dyDescent="0.35">
      <c r="A1340" s="1" t="s">
        <v>1352</v>
      </c>
      <c r="B1340" t="str">
        <f>HYPERLINK("https://www.suredividend.com/sure-analysis-research-database/","RE/MAX Holdings Inc")</f>
        <v>RE/MAX Holdings Inc</v>
      </c>
      <c r="C1340" t="s">
        <v>1800</v>
      </c>
      <c r="D1340">
        <v>11.25</v>
      </c>
      <c r="E1340">
        <v>8.0284288841847004E-2</v>
      </c>
      <c r="F1340">
        <v>0</v>
      </c>
      <c r="G1340">
        <v>2.834672210021361E-2</v>
      </c>
      <c r="H1340">
        <v>0.90319824947077909</v>
      </c>
      <c r="I1340">
        <v>203.92948100000001</v>
      </c>
      <c r="J1340">
        <v>1206.6833210059169</v>
      </c>
      <c r="K1340">
        <v>98.173722768562939</v>
      </c>
      <c r="L1340">
        <v>1.2642870344806509</v>
      </c>
      <c r="M1340">
        <v>23.39</v>
      </c>
      <c r="N1340">
        <v>11.23</v>
      </c>
    </row>
    <row r="1341" spans="1:14" x14ac:dyDescent="0.35">
      <c r="A1341" s="1" t="s">
        <v>1353</v>
      </c>
      <c r="B1341" t="str">
        <f>HYPERLINK("https://www.suredividend.com/sure-analysis-research-database/","RumbleON Inc")</f>
        <v>RumbleON Inc</v>
      </c>
      <c r="C1341" t="s">
        <v>1802</v>
      </c>
      <c r="D1341">
        <v>6.23</v>
      </c>
      <c r="E1341">
        <v>0</v>
      </c>
      <c r="F1341" t="s">
        <v>1798</v>
      </c>
      <c r="G1341" t="s">
        <v>1798</v>
      </c>
      <c r="H1341">
        <v>0</v>
      </c>
      <c r="I1341">
        <v>104.261486</v>
      </c>
      <c r="J1341">
        <v>0</v>
      </c>
      <c r="K1341" t="s">
        <v>1798</v>
      </c>
      <c r="L1341">
        <v>1.8052685395962249</v>
      </c>
      <c r="M1341">
        <v>17.82</v>
      </c>
      <c r="N1341">
        <v>5.0999999999999996</v>
      </c>
    </row>
    <row r="1342" spans="1:14" x14ac:dyDescent="0.35">
      <c r="A1342" s="1" t="s">
        <v>1354</v>
      </c>
      <c r="B1342" t="str">
        <f>HYPERLINK("https://www.suredividend.com/sure-analysis-research-database/","Rambus Inc.")</f>
        <v>Rambus Inc.</v>
      </c>
      <c r="C1342" t="s">
        <v>1804</v>
      </c>
      <c r="D1342">
        <v>57.23</v>
      </c>
      <c r="E1342">
        <v>0</v>
      </c>
      <c r="F1342" t="s">
        <v>1798</v>
      </c>
      <c r="G1342" t="s">
        <v>1798</v>
      </c>
      <c r="H1342">
        <v>0</v>
      </c>
      <c r="I1342">
        <v>6243.7929999999997</v>
      </c>
      <c r="J1342">
        <v>33.02737914508937</v>
      </c>
      <c r="K1342">
        <v>0</v>
      </c>
      <c r="L1342">
        <v>1.206251483813483</v>
      </c>
      <c r="M1342">
        <v>68.540000000000006</v>
      </c>
      <c r="N1342">
        <v>26.14</v>
      </c>
    </row>
    <row r="1343" spans="1:14" x14ac:dyDescent="0.35">
      <c r="A1343" s="1" t="s">
        <v>1355</v>
      </c>
      <c r="B1343" t="str">
        <f>HYPERLINK("https://www.suredividend.com/sure-analysis-research-database/","Rimini Street Inc.")</f>
        <v>Rimini Street Inc.</v>
      </c>
      <c r="C1343" t="s">
        <v>1804</v>
      </c>
      <c r="D1343">
        <v>2.0099999999999998</v>
      </c>
      <c r="E1343">
        <v>0</v>
      </c>
      <c r="F1343" t="s">
        <v>1798</v>
      </c>
      <c r="G1343" t="s">
        <v>1798</v>
      </c>
      <c r="H1343">
        <v>0</v>
      </c>
      <c r="I1343">
        <v>179.06487000000001</v>
      </c>
      <c r="J1343">
        <v>42.332120567375881</v>
      </c>
      <c r="K1343">
        <v>0</v>
      </c>
      <c r="L1343">
        <v>1.1907660021771369</v>
      </c>
      <c r="M1343">
        <v>5.83</v>
      </c>
      <c r="N1343">
        <v>2.0099999999999998</v>
      </c>
    </row>
    <row r="1344" spans="1:14" x14ac:dyDescent="0.35">
      <c r="A1344" s="1" t="s">
        <v>1356</v>
      </c>
      <c r="B1344" t="str">
        <f>HYPERLINK("https://www.suredividend.com/sure-analysis-research-database/","RMR Group Inc (The)")</f>
        <v>RMR Group Inc (The)</v>
      </c>
      <c r="C1344" t="s">
        <v>1800</v>
      </c>
      <c r="D1344">
        <v>23.48</v>
      </c>
      <c r="E1344">
        <v>6.5233825793902009E-2</v>
      </c>
      <c r="F1344">
        <v>0</v>
      </c>
      <c r="G1344">
        <v>2.7066087089351761E-2</v>
      </c>
      <c r="H1344">
        <v>1.5316902296408199</v>
      </c>
      <c r="I1344">
        <v>366.57396299999999</v>
      </c>
      <c r="J1344">
        <v>0</v>
      </c>
      <c r="K1344" t="s">
        <v>1798</v>
      </c>
      <c r="L1344">
        <v>0.72130576547063907</v>
      </c>
      <c r="M1344">
        <v>29.56</v>
      </c>
      <c r="N1344">
        <v>20.12</v>
      </c>
    </row>
    <row r="1345" spans="1:14" x14ac:dyDescent="0.35">
      <c r="A1345" s="1" t="s">
        <v>1357</v>
      </c>
      <c r="B1345" t="str">
        <f>HYPERLINK("https://www.suredividend.com/sure-analysis-research-database/","Avidity Biosciences Inc")</f>
        <v>Avidity Biosciences Inc</v>
      </c>
      <c r="C1345" t="s">
        <v>1798</v>
      </c>
      <c r="D1345">
        <v>6.18</v>
      </c>
      <c r="E1345">
        <v>0</v>
      </c>
      <c r="F1345" t="s">
        <v>1798</v>
      </c>
      <c r="G1345" t="s">
        <v>1798</v>
      </c>
      <c r="H1345">
        <v>0</v>
      </c>
      <c r="I1345">
        <v>457.914559</v>
      </c>
      <c r="J1345" t="s">
        <v>1798</v>
      </c>
      <c r="K1345">
        <v>0</v>
      </c>
      <c r="L1345">
        <v>0.57691257199439205</v>
      </c>
      <c r="M1345">
        <v>25.74</v>
      </c>
      <c r="N1345">
        <v>5.67</v>
      </c>
    </row>
    <row r="1346" spans="1:14" x14ac:dyDescent="0.35">
      <c r="A1346" s="1" t="s">
        <v>1358</v>
      </c>
      <c r="B1346" t="str">
        <f>HYPERLINK("https://www.suredividend.com/sure-analysis-research-database/","Renasant Corp.")</f>
        <v>Renasant Corp.</v>
      </c>
      <c r="C1346" t="s">
        <v>1801</v>
      </c>
      <c r="D1346">
        <v>24.92</v>
      </c>
      <c r="E1346">
        <v>3.4764426893867002E-2</v>
      </c>
      <c r="F1346">
        <v>0</v>
      </c>
      <c r="G1346">
        <v>9.3474199095688881E-3</v>
      </c>
      <c r="H1346">
        <v>0.86632951819517001</v>
      </c>
      <c r="I1346">
        <v>1398.9306260000001</v>
      </c>
      <c r="J1346">
        <v>8.3486347065002029</v>
      </c>
      <c r="K1346">
        <v>0.29071460342119798</v>
      </c>
      <c r="L1346">
        <v>1.0054062244978079</v>
      </c>
      <c r="M1346">
        <v>40.270000000000003</v>
      </c>
      <c r="N1346">
        <v>22.92</v>
      </c>
    </row>
    <row r="1347" spans="1:14" x14ac:dyDescent="0.35">
      <c r="A1347" s="1" t="s">
        <v>1359</v>
      </c>
      <c r="B1347" t="str">
        <f>HYPERLINK("https://www.suredividend.com/sure-analysis-research-database/","Construction Partners Inc")</f>
        <v>Construction Partners Inc</v>
      </c>
      <c r="C1347" t="s">
        <v>1799</v>
      </c>
      <c r="D1347">
        <v>39</v>
      </c>
      <c r="E1347">
        <v>0</v>
      </c>
      <c r="F1347" t="s">
        <v>1798</v>
      </c>
      <c r="G1347" t="s">
        <v>1798</v>
      </c>
      <c r="H1347">
        <v>0</v>
      </c>
      <c r="I1347">
        <v>1705.40409</v>
      </c>
      <c r="J1347">
        <v>54.65513219882704</v>
      </c>
      <c r="K1347">
        <v>0</v>
      </c>
      <c r="L1347">
        <v>1.187077132745104</v>
      </c>
      <c r="M1347">
        <v>40.75</v>
      </c>
      <c r="N1347">
        <v>24.12</v>
      </c>
    </row>
    <row r="1348" spans="1:14" x14ac:dyDescent="0.35">
      <c r="A1348" s="1" t="s">
        <v>1360</v>
      </c>
      <c r="B1348" t="str">
        <f>HYPERLINK("https://www.suredividend.com/sure-analysis-research-database/","Ranger Oil Corp")</f>
        <v>Ranger Oil Corp</v>
      </c>
      <c r="C1348" t="s">
        <v>1798</v>
      </c>
      <c r="D1348">
        <v>37.47</v>
      </c>
      <c r="E1348">
        <v>0</v>
      </c>
      <c r="F1348" t="s">
        <v>1798</v>
      </c>
      <c r="G1348" t="s">
        <v>1798</v>
      </c>
      <c r="H1348">
        <v>0.30000001192092801</v>
      </c>
      <c r="I1348">
        <v>0</v>
      </c>
      <c r="J1348">
        <v>0</v>
      </c>
      <c r="K1348">
        <v>2.1945867733791369E-2</v>
      </c>
    </row>
    <row r="1349" spans="1:14" x14ac:dyDescent="0.35">
      <c r="A1349" s="1" t="s">
        <v>1361</v>
      </c>
      <c r="B1349" t="str">
        <f>HYPERLINK("https://www.suredividend.com/sure-analysis-research-database/","Gibraltar Industries Inc.")</f>
        <v>Gibraltar Industries Inc.</v>
      </c>
      <c r="C1349" t="s">
        <v>1799</v>
      </c>
      <c r="D1349">
        <v>62.81</v>
      </c>
      <c r="E1349">
        <v>0</v>
      </c>
      <c r="F1349" t="s">
        <v>1798</v>
      </c>
      <c r="G1349" t="s">
        <v>1798</v>
      </c>
      <c r="H1349">
        <v>0</v>
      </c>
      <c r="I1349">
        <v>1910.9098959999999</v>
      </c>
      <c r="J1349">
        <v>21.35930135997317</v>
      </c>
      <c r="K1349">
        <v>0</v>
      </c>
      <c r="L1349">
        <v>1.146226273040142</v>
      </c>
      <c r="M1349">
        <v>77.099999999999994</v>
      </c>
      <c r="N1349">
        <v>44.28</v>
      </c>
    </row>
    <row r="1350" spans="1:14" x14ac:dyDescent="0.35">
      <c r="A1350" s="1" t="s">
        <v>1362</v>
      </c>
      <c r="B1350" t="str">
        <f>HYPERLINK("https://www.suredividend.com/sure-analysis-research-database/","Rogers Corp.")</f>
        <v>Rogers Corp.</v>
      </c>
      <c r="C1350" t="s">
        <v>1804</v>
      </c>
      <c r="D1350">
        <v>123.06</v>
      </c>
      <c r="E1350">
        <v>0</v>
      </c>
      <c r="F1350" t="s">
        <v>1798</v>
      </c>
      <c r="G1350" t="s">
        <v>1798</v>
      </c>
      <c r="H1350">
        <v>0</v>
      </c>
      <c r="I1350">
        <v>2290.890621</v>
      </c>
      <c r="J1350">
        <v>23.738569201181281</v>
      </c>
      <c r="K1350">
        <v>0</v>
      </c>
      <c r="L1350">
        <v>1.3040706006152889</v>
      </c>
      <c r="M1350">
        <v>240.97</v>
      </c>
      <c r="N1350">
        <v>98.45</v>
      </c>
    </row>
    <row r="1351" spans="1:14" x14ac:dyDescent="0.35">
      <c r="A1351" s="1" t="s">
        <v>1363</v>
      </c>
      <c r="B1351" t="str">
        <f>HYPERLINK("https://www.suredividend.com/sure-analysis-research-database/","Retail Opportunity Investments Corp")</f>
        <v>Retail Opportunity Investments Corp</v>
      </c>
      <c r="C1351" t="s">
        <v>1800</v>
      </c>
      <c r="D1351">
        <v>11.75</v>
      </c>
      <c r="E1351">
        <v>4.9544966430431013E-2</v>
      </c>
      <c r="F1351" t="s">
        <v>1798</v>
      </c>
      <c r="G1351" t="s">
        <v>1798</v>
      </c>
      <c r="H1351">
        <v>0.58215335555757308</v>
      </c>
      <c r="I1351">
        <v>1480.5445910000001</v>
      </c>
      <c r="J1351">
        <v>31.937197274472581</v>
      </c>
      <c r="K1351">
        <v>1.667583373123956</v>
      </c>
      <c r="L1351">
        <v>0.97277763328381406</v>
      </c>
      <c r="M1351">
        <v>15.48</v>
      </c>
      <c r="N1351">
        <v>11.34</v>
      </c>
    </row>
    <row r="1352" spans="1:14" x14ac:dyDescent="0.35">
      <c r="A1352" s="1" t="s">
        <v>1364</v>
      </c>
      <c r="B1352" t="str">
        <f>HYPERLINK("https://www.suredividend.com/sure-analysis-research-database/","Root Inc")</f>
        <v>Root Inc</v>
      </c>
      <c r="C1352" t="s">
        <v>1798</v>
      </c>
      <c r="D1352">
        <v>9.6300000000000008</v>
      </c>
      <c r="E1352">
        <v>0</v>
      </c>
      <c r="F1352" t="s">
        <v>1798</v>
      </c>
      <c r="G1352" t="s">
        <v>1798</v>
      </c>
      <c r="H1352">
        <v>0</v>
      </c>
      <c r="I1352">
        <v>91.484999999999999</v>
      </c>
      <c r="J1352" t="s">
        <v>1798</v>
      </c>
      <c r="K1352">
        <v>0</v>
      </c>
      <c r="L1352">
        <v>2.3411246918077069</v>
      </c>
      <c r="M1352">
        <v>14.8</v>
      </c>
      <c r="N1352">
        <v>3.31</v>
      </c>
    </row>
    <row r="1353" spans="1:14" x14ac:dyDescent="0.35">
      <c r="A1353" s="1" t="s">
        <v>1365</v>
      </c>
      <c r="B1353" t="str">
        <f>HYPERLINK("https://www.suredividend.com/sure-analysis-research-database/","Rover Group Inc")</f>
        <v>Rover Group Inc</v>
      </c>
      <c r="C1353" t="s">
        <v>1798</v>
      </c>
      <c r="D1353">
        <v>6.55</v>
      </c>
      <c r="E1353">
        <v>0</v>
      </c>
      <c r="F1353" t="s">
        <v>1798</v>
      </c>
      <c r="G1353" t="s">
        <v>1798</v>
      </c>
      <c r="H1353">
        <v>0</v>
      </c>
      <c r="I1353">
        <v>1191.311557</v>
      </c>
      <c r="J1353" t="s">
        <v>1798</v>
      </c>
      <c r="K1353">
        <v>0</v>
      </c>
      <c r="L1353">
        <v>1.099114882997579</v>
      </c>
      <c r="M1353">
        <v>7</v>
      </c>
      <c r="N1353">
        <v>3.38</v>
      </c>
    </row>
    <row r="1354" spans="1:14" x14ac:dyDescent="0.35">
      <c r="A1354" s="1" t="s">
        <v>1366</v>
      </c>
      <c r="B1354" t="str">
        <f>HYPERLINK("https://www.suredividend.com/sure-analysis-research-database/","Repay Holdings Corporation")</f>
        <v>Repay Holdings Corporation</v>
      </c>
      <c r="C1354" t="s">
        <v>1804</v>
      </c>
      <c r="D1354">
        <v>6.22</v>
      </c>
      <c r="E1354">
        <v>0</v>
      </c>
      <c r="F1354" t="s">
        <v>1798</v>
      </c>
      <c r="G1354" t="s">
        <v>1798</v>
      </c>
      <c r="H1354">
        <v>0</v>
      </c>
      <c r="I1354">
        <v>589.03938700000003</v>
      </c>
      <c r="J1354">
        <v>0</v>
      </c>
      <c r="K1354" t="s">
        <v>1798</v>
      </c>
      <c r="L1354">
        <v>2.7081568760892041</v>
      </c>
      <c r="M1354">
        <v>10.43</v>
      </c>
      <c r="N1354">
        <v>4.37</v>
      </c>
    </row>
    <row r="1355" spans="1:14" x14ac:dyDescent="0.35">
      <c r="A1355" s="1" t="s">
        <v>1367</v>
      </c>
      <c r="B1355" t="str">
        <f>HYPERLINK("https://www.suredividend.com/sure-analysis-research-database/","Rapid7 Inc")</f>
        <v>Rapid7 Inc</v>
      </c>
      <c r="C1355" t="s">
        <v>1804</v>
      </c>
      <c r="D1355">
        <v>49.33</v>
      </c>
      <c r="E1355">
        <v>0</v>
      </c>
      <c r="F1355" t="s">
        <v>1798</v>
      </c>
      <c r="G1355" t="s">
        <v>1798</v>
      </c>
      <c r="H1355">
        <v>0</v>
      </c>
      <c r="I1355">
        <v>3009.13</v>
      </c>
      <c r="J1355" t="s">
        <v>1798</v>
      </c>
      <c r="K1355">
        <v>0</v>
      </c>
      <c r="L1355">
        <v>1.87310872882157</v>
      </c>
      <c r="M1355">
        <v>55.61</v>
      </c>
      <c r="N1355">
        <v>26.49</v>
      </c>
    </row>
    <row r="1356" spans="1:14" x14ac:dyDescent="0.35">
      <c r="A1356" s="1" t="s">
        <v>1368</v>
      </c>
      <c r="B1356" t="str">
        <f>HYPERLINK("https://www.suredividend.com/sure-analysis-RPT/","RPT Realty")</f>
        <v>RPT Realty</v>
      </c>
      <c r="C1356" t="s">
        <v>1800</v>
      </c>
      <c r="D1356">
        <v>10.33</v>
      </c>
      <c r="E1356">
        <v>5.4211035818005807E-2</v>
      </c>
      <c r="F1356" t="s">
        <v>1798</v>
      </c>
      <c r="G1356" t="s">
        <v>1798</v>
      </c>
      <c r="H1356">
        <v>0.53941751290744999</v>
      </c>
      <c r="I1356">
        <v>896.31250999999997</v>
      </c>
      <c r="J1356">
        <v>13.7412232522843</v>
      </c>
      <c r="K1356">
        <v>0.70761840864154524</v>
      </c>
      <c r="L1356">
        <v>1.1451012447818829</v>
      </c>
      <c r="M1356">
        <v>11.53</v>
      </c>
      <c r="N1356">
        <v>7.97</v>
      </c>
    </row>
    <row r="1357" spans="1:14" x14ac:dyDescent="0.35">
      <c r="A1357" s="1" t="s">
        <v>1369</v>
      </c>
      <c r="B1357" t="str">
        <f>HYPERLINK("https://www.suredividend.com/sure-analysis-research-database/","Red River Bancshares Inc")</f>
        <v>Red River Bancshares Inc</v>
      </c>
      <c r="C1357" t="s">
        <v>1801</v>
      </c>
      <c r="D1357">
        <v>46.57</v>
      </c>
      <c r="E1357">
        <v>6.6276096026960003E-3</v>
      </c>
      <c r="F1357" t="s">
        <v>1798</v>
      </c>
      <c r="G1357" t="s">
        <v>1798</v>
      </c>
      <c r="H1357">
        <v>0.30864777919758202</v>
      </c>
      <c r="I1357">
        <v>334.142358</v>
      </c>
      <c r="J1357">
        <v>0</v>
      </c>
      <c r="K1357" t="s">
        <v>1798</v>
      </c>
      <c r="L1357">
        <v>0.66057433241961505</v>
      </c>
      <c r="M1357">
        <v>60</v>
      </c>
      <c r="N1357">
        <v>43.22</v>
      </c>
    </row>
    <row r="1358" spans="1:14" x14ac:dyDescent="0.35">
      <c r="A1358" s="1" t="s">
        <v>1370</v>
      </c>
      <c r="B1358" t="str">
        <f>HYPERLINK("https://www.suredividend.com/sure-analysis-research-database/","Red Rock Resorts Inc")</f>
        <v>Red Rock Resorts Inc</v>
      </c>
      <c r="C1358" t="s">
        <v>1802</v>
      </c>
      <c r="D1358">
        <v>40.47</v>
      </c>
      <c r="E1358">
        <v>2.4339211412808998E-2</v>
      </c>
      <c r="F1358" t="s">
        <v>1798</v>
      </c>
      <c r="G1358" t="s">
        <v>1798</v>
      </c>
      <c r="H1358">
        <v>0.9850078858763931</v>
      </c>
      <c r="I1358">
        <v>2363.0774160000001</v>
      </c>
      <c r="J1358">
        <v>10.476863056900401</v>
      </c>
      <c r="K1358">
        <v>0.49747873024060257</v>
      </c>
      <c r="L1358">
        <v>1.037224474558027</v>
      </c>
      <c r="M1358">
        <v>50.77</v>
      </c>
      <c r="N1358">
        <v>35.549999999999997</v>
      </c>
    </row>
    <row r="1359" spans="1:14" x14ac:dyDescent="0.35">
      <c r="A1359" s="1" t="s">
        <v>1371</v>
      </c>
      <c r="B1359" t="str">
        <f>HYPERLINK("https://www.suredividend.com/sure-analysis-research-database/","Rush Street Interactive Inc")</f>
        <v>Rush Street Interactive Inc</v>
      </c>
      <c r="C1359" t="s">
        <v>1798</v>
      </c>
      <c r="D1359">
        <v>3.78</v>
      </c>
      <c r="E1359">
        <v>0</v>
      </c>
      <c r="F1359" t="s">
        <v>1798</v>
      </c>
      <c r="G1359" t="s">
        <v>1798</v>
      </c>
      <c r="H1359">
        <v>0</v>
      </c>
      <c r="I1359">
        <v>261.23358500000001</v>
      </c>
      <c r="J1359" t="s">
        <v>1798</v>
      </c>
      <c r="K1359">
        <v>0</v>
      </c>
      <c r="L1359">
        <v>1.784254085484982</v>
      </c>
      <c r="M1359">
        <v>5.48</v>
      </c>
      <c r="N1359">
        <v>2.77</v>
      </c>
    </row>
    <row r="1360" spans="1:14" x14ac:dyDescent="0.35">
      <c r="A1360" s="1" t="s">
        <v>1372</v>
      </c>
      <c r="B1360" t="str">
        <f>HYPERLINK("https://www.suredividend.com/sure-analysis-research-database/","Reservoir Media Inc")</f>
        <v>Reservoir Media Inc</v>
      </c>
      <c r="C1360" t="s">
        <v>1798</v>
      </c>
      <c r="D1360">
        <v>5.83</v>
      </c>
      <c r="E1360">
        <v>0</v>
      </c>
      <c r="F1360" t="s">
        <v>1798</v>
      </c>
      <c r="G1360" t="s">
        <v>1798</v>
      </c>
      <c r="H1360">
        <v>0</v>
      </c>
      <c r="I1360">
        <v>377.232733</v>
      </c>
      <c r="J1360">
        <v>137.65131214981241</v>
      </c>
      <c r="K1360">
        <v>0</v>
      </c>
      <c r="L1360">
        <v>0.96399329050591109</v>
      </c>
      <c r="M1360">
        <v>7.77</v>
      </c>
      <c r="N1360">
        <v>4.53</v>
      </c>
    </row>
    <row r="1361" spans="1:14" x14ac:dyDescent="0.35">
      <c r="A1361" s="1" t="s">
        <v>1373</v>
      </c>
      <c r="B1361" t="str">
        <f>HYPERLINK("https://www.suredividend.com/sure-analysis-RTL/","Necessity Retail REIT Inc (The)")</f>
        <v>Necessity Retail REIT Inc (The)</v>
      </c>
      <c r="D1361">
        <v>7.61</v>
      </c>
      <c r="E1361">
        <v>0.11169513797634691</v>
      </c>
      <c r="F1361" t="s">
        <v>1798</v>
      </c>
      <c r="G1361" t="s">
        <v>1798</v>
      </c>
      <c r="H1361">
        <v>0.85000002384185702</v>
      </c>
      <c r="I1361">
        <v>0</v>
      </c>
      <c r="J1361">
        <v>0</v>
      </c>
      <c r="K1361" t="s">
        <v>1798</v>
      </c>
    </row>
    <row r="1362" spans="1:14" x14ac:dyDescent="0.35">
      <c r="A1362" s="1" t="s">
        <v>1374</v>
      </c>
      <c r="B1362" t="str">
        <f>HYPERLINK("https://www.suredividend.com/sure-analysis-research-database/","Rush Enterprises Inc")</f>
        <v>Rush Enterprises Inc</v>
      </c>
      <c r="C1362" t="s">
        <v>1802</v>
      </c>
      <c r="D1362">
        <v>39.83</v>
      </c>
      <c r="E1362">
        <v>1.4698578650912E-2</v>
      </c>
      <c r="F1362">
        <v>-0.19047619047619041</v>
      </c>
      <c r="G1362">
        <v>7.2145025900850923E-2</v>
      </c>
      <c r="H1362">
        <v>0.58544438766585605</v>
      </c>
      <c r="I1362">
        <v>2215.0437529999999</v>
      </c>
      <c r="J1362">
        <v>5.8665777274412694</v>
      </c>
      <c r="K1362">
        <v>8.7641375399080249E-2</v>
      </c>
      <c r="L1362">
        <v>0.85743815016805403</v>
      </c>
      <c r="M1362">
        <v>46.11</v>
      </c>
      <c r="N1362">
        <v>30.41</v>
      </c>
    </row>
    <row r="1363" spans="1:14" x14ac:dyDescent="0.35">
      <c r="A1363" s="1" t="s">
        <v>1375</v>
      </c>
      <c r="B1363" t="str">
        <f>HYPERLINK("https://www.suredividend.com/sure-analysis-research-database/","Rush Enterprises Inc")</f>
        <v>Rush Enterprises Inc</v>
      </c>
      <c r="C1363" t="s">
        <v>1802</v>
      </c>
      <c r="D1363">
        <v>45.66</v>
      </c>
      <c r="E1363">
        <v>1.2829451447402E-2</v>
      </c>
      <c r="F1363">
        <v>-0.19047619047619041</v>
      </c>
      <c r="G1363">
        <v>7.2145025900850923E-2</v>
      </c>
      <c r="H1363">
        <v>0.58579275308838707</v>
      </c>
      <c r="I1363">
        <v>2215.0437529999999</v>
      </c>
      <c r="J1363">
        <v>5.8665777274412703</v>
      </c>
      <c r="K1363">
        <v>8.7693525911435199E-2</v>
      </c>
      <c r="L1363">
        <v>0.94711563732388504</v>
      </c>
      <c r="M1363">
        <v>49.86</v>
      </c>
      <c r="N1363">
        <v>32.58</v>
      </c>
    </row>
    <row r="1364" spans="1:14" x14ac:dyDescent="0.35">
      <c r="A1364" s="1" t="s">
        <v>1376</v>
      </c>
      <c r="B1364" t="str">
        <f>HYPERLINK("https://www.suredividend.com/sure-analysis-research-database/","Revolve Group Inc")</f>
        <v>Revolve Group Inc</v>
      </c>
      <c r="C1364" t="s">
        <v>1802</v>
      </c>
      <c r="D1364">
        <v>14.51</v>
      </c>
      <c r="E1364">
        <v>0</v>
      </c>
      <c r="F1364" t="s">
        <v>1798</v>
      </c>
      <c r="G1364" t="s">
        <v>1798</v>
      </c>
      <c r="H1364">
        <v>0</v>
      </c>
      <c r="I1364">
        <v>593.187634</v>
      </c>
      <c r="J1364">
        <v>14.352123925866779</v>
      </c>
      <c r="K1364">
        <v>0</v>
      </c>
      <c r="L1364">
        <v>1.9866498974068321</v>
      </c>
      <c r="M1364">
        <v>32.590000000000003</v>
      </c>
      <c r="N1364">
        <v>12.25</v>
      </c>
    </row>
    <row r="1365" spans="1:14" x14ac:dyDescent="0.35">
      <c r="A1365" s="1" t="s">
        <v>1377</v>
      </c>
      <c r="B1365" t="str">
        <f>HYPERLINK("https://www.suredividend.com/sure-analysis-research-database/","Revolution Medicines Inc")</f>
        <v>Revolution Medicines Inc</v>
      </c>
      <c r="C1365" t="s">
        <v>1803</v>
      </c>
      <c r="D1365">
        <v>29.91</v>
      </c>
      <c r="E1365">
        <v>0</v>
      </c>
      <c r="F1365" t="s">
        <v>1798</v>
      </c>
      <c r="G1365" t="s">
        <v>1798</v>
      </c>
      <c r="H1365">
        <v>0</v>
      </c>
      <c r="I1365">
        <v>3265.2716190000001</v>
      </c>
      <c r="J1365" t="s">
        <v>1798</v>
      </c>
      <c r="K1365">
        <v>0</v>
      </c>
      <c r="L1365">
        <v>1.2029873753329949</v>
      </c>
      <c r="M1365">
        <v>35.5</v>
      </c>
      <c r="N1365">
        <v>17.47</v>
      </c>
    </row>
    <row r="1366" spans="1:14" x14ac:dyDescent="0.35">
      <c r="A1366" s="1" t="s">
        <v>1378</v>
      </c>
      <c r="B1366" t="str">
        <f>HYPERLINK("https://www.suredividend.com/sure-analysis-research-database/","Revance Therapeutics Inc")</f>
        <v>Revance Therapeutics Inc</v>
      </c>
      <c r="C1366" t="s">
        <v>1803</v>
      </c>
      <c r="D1366">
        <v>8.64</v>
      </c>
      <c r="E1366">
        <v>0</v>
      </c>
      <c r="F1366" t="s">
        <v>1798</v>
      </c>
      <c r="G1366" t="s">
        <v>1798</v>
      </c>
      <c r="H1366">
        <v>0</v>
      </c>
      <c r="I1366">
        <v>759.93428400000005</v>
      </c>
      <c r="J1366">
        <v>0</v>
      </c>
      <c r="K1366" t="s">
        <v>1798</v>
      </c>
      <c r="L1366">
        <v>1.1382360212782361</v>
      </c>
      <c r="M1366">
        <v>37.979999999999997</v>
      </c>
      <c r="N1366">
        <v>8.14</v>
      </c>
    </row>
    <row r="1367" spans="1:14" x14ac:dyDescent="0.35">
      <c r="A1367" s="1" t="s">
        <v>1379</v>
      </c>
      <c r="B1367" t="str">
        <f>HYPERLINK("https://www.suredividend.com/sure-analysis-research-database/","Redwood Trust Inc.")</f>
        <v>Redwood Trust Inc.</v>
      </c>
      <c r="C1367" t="s">
        <v>1800</v>
      </c>
      <c r="D1367">
        <v>7.04</v>
      </c>
      <c r="E1367">
        <v>0.106245361347481</v>
      </c>
      <c r="F1367">
        <v>-0.30434782608695649</v>
      </c>
      <c r="G1367">
        <v>-0.1181397937782795</v>
      </c>
      <c r="H1367">
        <v>0.74796734388626607</v>
      </c>
      <c r="I1367">
        <v>804.21188700000005</v>
      </c>
      <c r="J1367" t="s">
        <v>1798</v>
      </c>
      <c r="K1367" t="s">
        <v>1798</v>
      </c>
      <c r="L1367">
        <v>1.259581640670119</v>
      </c>
      <c r="M1367">
        <v>8.1199999999999992</v>
      </c>
      <c r="N1367">
        <v>5.22</v>
      </c>
    </row>
    <row r="1368" spans="1:14" x14ac:dyDescent="0.35">
      <c r="A1368" s="1" t="s">
        <v>1380</v>
      </c>
      <c r="B1368" t="str">
        <f>HYPERLINK("https://www.suredividend.com/sure-analysis-research-database/","Prometheus Biosciences Inc")</f>
        <v>Prometheus Biosciences Inc</v>
      </c>
      <c r="C1368" t="s">
        <v>1798</v>
      </c>
      <c r="D1368">
        <v>199.92</v>
      </c>
      <c r="E1368">
        <v>0</v>
      </c>
      <c r="F1368" t="s">
        <v>1798</v>
      </c>
      <c r="G1368" t="s">
        <v>1798</v>
      </c>
      <c r="H1368">
        <v>0</v>
      </c>
      <c r="I1368">
        <v>0</v>
      </c>
      <c r="J1368">
        <v>0</v>
      </c>
      <c r="K1368" t="s">
        <v>1798</v>
      </c>
    </row>
    <row r="1369" spans="1:14" x14ac:dyDescent="0.35">
      <c r="A1369" s="1" t="s">
        <v>1381</v>
      </c>
      <c r="B1369" t="str">
        <f>HYPERLINK("https://www.suredividend.com/sure-analysis-research-database/","Recursion Pharmaceuticals Inc")</f>
        <v>Recursion Pharmaceuticals Inc</v>
      </c>
      <c r="C1369" t="s">
        <v>1798</v>
      </c>
      <c r="D1369">
        <v>6.38</v>
      </c>
      <c r="E1369">
        <v>0</v>
      </c>
      <c r="F1369" t="s">
        <v>1798</v>
      </c>
      <c r="G1369" t="s">
        <v>1798</v>
      </c>
      <c r="H1369">
        <v>0</v>
      </c>
      <c r="I1369">
        <v>1301.7645580000001</v>
      </c>
      <c r="J1369" t="s">
        <v>1798</v>
      </c>
      <c r="K1369">
        <v>0</v>
      </c>
      <c r="L1369">
        <v>1.8012385763090979</v>
      </c>
      <c r="M1369">
        <v>16.75</v>
      </c>
      <c r="N1369">
        <v>4.54</v>
      </c>
    </row>
    <row r="1370" spans="1:14" x14ac:dyDescent="0.35">
      <c r="A1370" s="1" t="s">
        <v>1382</v>
      </c>
      <c r="B1370" t="str">
        <f>HYPERLINK("https://www.suredividend.com/sure-analysis-research-database/","RxSight Inc")</f>
        <v>RxSight Inc</v>
      </c>
      <c r="C1370" t="s">
        <v>1798</v>
      </c>
      <c r="D1370">
        <v>24.21</v>
      </c>
      <c r="E1370">
        <v>0</v>
      </c>
      <c r="F1370" t="s">
        <v>1798</v>
      </c>
      <c r="G1370" t="s">
        <v>1798</v>
      </c>
      <c r="H1370">
        <v>0</v>
      </c>
      <c r="I1370">
        <v>862.93322599999999</v>
      </c>
      <c r="J1370">
        <v>0</v>
      </c>
      <c r="K1370" t="s">
        <v>1798</v>
      </c>
      <c r="L1370">
        <v>1.1332024923386479</v>
      </c>
      <c r="M1370">
        <v>33.770000000000003</v>
      </c>
      <c r="N1370">
        <v>10.29</v>
      </c>
    </row>
    <row r="1371" spans="1:14" x14ac:dyDescent="0.35">
      <c r="A1371" s="1" t="s">
        <v>1383</v>
      </c>
      <c r="B1371" t="str">
        <f>HYPERLINK("https://www.suredividend.com/sure-analysis-research-database/","Rackspace Technology Inc")</f>
        <v>Rackspace Technology Inc</v>
      </c>
      <c r="C1371" t="s">
        <v>1798</v>
      </c>
      <c r="D1371">
        <v>1.345</v>
      </c>
      <c r="E1371">
        <v>0</v>
      </c>
      <c r="F1371" t="s">
        <v>1798</v>
      </c>
      <c r="G1371" t="s">
        <v>1798</v>
      </c>
      <c r="H1371">
        <v>0</v>
      </c>
      <c r="I1371">
        <v>290.37392499999999</v>
      </c>
      <c r="J1371" t="s">
        <v>1798</v>
      </c>
      <c r="K1371">
        <v>0</v>
      </c>
      <c r="L1371">
        <v>3.079694936547293</v>
      </c>
      <c r="M1371">
        <v>6.07</v>
      </c>
      <c r="N1371">
        <v>1.05</v>
      </c>
    </row>
    <row r="1372" spans="1:14" x14ac:dyDescent="0.35">
      <c r="A1372" s="1" t="s">
        <v>1384</v>
      </c>
      <c r="B1372" t="str">
        <f>HYPERLINK("https://www.suredividend.com/sure-analysis-research-database/","Rayonier Advanced Materials Inc")</f>
        <v>Rayonier Advanced Materials Inc</v>
      </c>
      <c r="C1372" t="s">
        <v>1809</v>
      </c>
      <c r="D1372">
        <v>2.81</v>
      </c>
      <c r="E1372">
        <v>0</v>
      </c>
      <c r="F1372" t="s">
        <v>1798</v>
      </c>
      <c r="G1372" t="s">
        <v>1798</v>
      </c>
      <c r="H1372">
        <v>0</v>
      </c>
      <c r="I1372">
        <v>183.615005</v>
      </c>
      <c r="J1372">
        <v>10.16919608883474</v>
      </c>
      <c r="K1372">
        <v>0</v>
      </c>
      <c r="L1372">
        <v>1.534338859028533</v>
      </c>
      <c r="M1372">
        <v>9.84</v>
      </c>
      <c r="N1372">
        <v>2.75</v>
      </c>
    </row>
    <row r="1373" spans="1:14" x14ac:dyDescent="0.35">
      <c r="A1373" s="1" t="s">
        <v>1385</v>
      </c>
      <c r="B1373" t="str">
        <f>HYPERLINK("https://www.suredividend.com/sure-analysis-research-database/","Ryerson Holding Corp.")</f>
        <v>Ryerson Holding Corp.</v>
      </c>
      <c r="C1373" t="s">
        <v>1799</v>
      </c>
      <c r="D1373">
        <v>27.74</v>
      </c>
      <c r="E1373">
        <v>2.4766797061403001E-2</v>
      </c>
      <c r="F1373" t="s">
        <v>1798</v>
      </c>
      <c r="G1373" t="s">
        <v>1798</v>
      </c>
      <c r="H1373">
        <v>0.68703095048331908</v>
      </c>
      <c r="I1373">
        <v>953.951775</v>
      </c>
      <c r="J1373">
        <v>8.2308177344262283</v>
      </c>
      <c r="K1373">
        <v>0.21949870622470261</v>
      </c>
      <c r="L1373">
        <v>1.3757572419118489</v>
      </c>
      <c r="M1373">
        <v>44.43</v>
      </c>
      <c r="N1373">
        <v>23.5</v>
      </c>
    </row>
    <row r="1374" spans="1:14" x14ac:dyDescent="0.35">
      <c r="A1374" s="1" t="s">
        <v>1386</v>
      </c>
      <c r="B1374" t="str">
        <f>HYPERLINK("https://www.suredividend.com/sure-analysis-research-database/","Sabre Corp")</f>
        <v>Sabre Corp</v>
      </c>
      <c r="C1374" t="s">
        <v>1804</v>
      </c>
      <c r="D1374">
        <v>3.7</v>
      </c>
      <c r="E1374">
        <v>0</v>
      </c>
      <c r="F1374" t="s">
        <v>1798</v>
      </c>
      <c r="G1374" t="s">
        <v>1798</v>
      </c>
      <c r="H1374">
        <v>0</v>
      </c>
      <c r="I1374">
        <v>1229.6270939999999</v>
      </c>
      <c r="J1374" t="s">
        <v>1798</v>
      </c>
      <c r="K1374">
        <v>0</v>
      </c>
      <c r="L1374">
        <v>1.7430168938158901</v>
      </c>
      <c r="M1374">
        <v>7.92</v>
      </c>
      <c r="N1374">
        <v>2.99</v>
      </c>
    </row>
    <row r="1375" spans="1:14" x14ac:dyDescent="0.35">
      <c r="A1375" s="1" t="s">
        <v>1387</v>
      </c>
      <c r="B1375" t="str">
        <f>HYPERLINK("https://www.suredividend.com/sure-analysis-SAFE/","Safehold Inc.")</f>
        <v>Safehold Inc.</v>
      </c>
      <c r="C1375" t="s">
        <v>1800</v>
      </c>
      <c r="D1375">
        <v>16.420000000000002</v>
      </c>
      <c r="E1375">
        <v>4.3239951278928129E-2</v>
      </c>
      <c r="F1375">
        <v>0</v>
      </c>
      <c r="G1375">
        <v>3.3656884345193427E-2</v>
      </c>
      <c r="H1375">
        <v>0.52921770620393904</v>
      </c>
      <c r="I1375">
        <v>1050.3152339999999</v>
      </c>
      <c r="J1375" t="s">
        <v>1798</v>
      </c>
      <c r="K1375" t="s">
        <v>1798</v>
      </c>
      <c r="L1375">
        <v>3.1906609679319509</v>
      </c>
      <c r="M1375">
        <v>29.75</v>
      </c>
      <c r="N1375">
        <v>6.55</v>
      </c>
    </row>
    <row r="1376" spans="1:14" x14ac:dyDescent="0.35">
      <c r="A1376" s="1" t="s">
        <v>1388</v>
      </c>
      <c r="B1376" t="str">
        <f>HYPERLINK("https://www.suredividend.com/sure-analysis-research-database/","Safety Insurance Group, Inc.")</f>
        <v>Safety Insurance Group, Inc.</v>
      </c>
      <c r="C1376" t="s">
        <v>1801</v>
      </c>
      <c r="D1376">
        <v>70.25</v>
      </c>
      <c r="E1376">
        <v>4.9517941992577003E-2</v>
      </c>
      <c r="F1376">
        <v>0</v>
      </c>
      <c r="G1376">
        <v>2.383625553960966E-2</v>
      </c>
      <c r="H1376">
        <v>3.478635424978584</v>
      </c>
      <c r="I1376">
        <v>1039.1314669999999</v>
      </c>
      <c r="J1376">
        <v>29.458849768951641</v>
      </c>
      <c r="K1376">
        <v>1.44943142707441</v>
      </c>
      <c r="L1376">
        <v>0.47884097312949903</v>
      </c>
      <c r="M1376">
        <v>86.52</v>
      </c>
      <c r="N1376">
        <v>64.31</v>
      </c>
    </row>
    <row r="1377" spans="1:14" x14ac:dyDescent="0.35">
      <c r="A1377" s="1" t="s">
        <v>1389</v>
      </c>
      <c r="B1377" t="str">
        <f>HYPERLINK("https://www.suredividend.com/sure-analysis-research-database/","Sage Therapeutics Inc")</f>
        <v>Sage Therapeutics Inc</v>
      </c>
      <c r="C1377" t="s">
        <v>1803</v>
      </c>
      <c r="D1377">
        <v>19.579999999999998</v>
      </c>
      <c r="E1377">
        <v>0</v>
      </c>
      <c r="F1377" t="s">
        <v>1798</v>
      </c>
      <c r="G1377" t="s">
        <v>1798</v>
      </c>
      <c r="H1377">
        <v>0</v>
      </c>
      <c r="I1377">
        <v>1172.5276040000001</v>
      </c>
      <c r="J1377" t="s">
        <v>1798</v>
      </c>
      <c r="K1377">
        <v>0</v>
      </c>
      <c r="L1377">
        <v>0.70747183724461404</v>
      </c>
      <c r="M1377">
        <v>59.99</v>
      </c>
      <c r="N1377">
        <v>16.52</v>
      </c>
    </row>
    <row r="1378" spans="1:14" x14ac:dyDescent="0.35">
      <c r="A1378" s="1" t="s">
        <v>1390</v>
      </c>
      <c r="B1378" t="str">
        <f>HYPERLINK("https://www.suredividend.com/sure-analysis-research-database/","Sonic Automotive, Inc.")</f>
        <v>Sonic Automotive, Inc.</v>
      </c>
      <c r="C1378" t="s">
        <v>1802</v>
      </c>
      <c r="D1378">
        <v>41.84</v>
      </c>
      <c r="E1378">
        <v>2.7014741756052001E-2</v>
      </c>
      <c r="F1378">
        <v>0.15999999999999989</v>
      </c>
      <c r="G1378">
        <v>0.37040630950593201</v>
      </c>
      <c r="H1378">
        <v>1.130296795073255</v>
      </c>
      <c r="I1378">
        <v>979.58360200000004</v>
      </c>
      <c r="J1378" t="s">
        <v>1798</v>
      </c>
      <c r="K1378" t="s">
        <v>1798</v>
      </c>
      <c r="L1378">
        <v>1.0679020705212789</v>
      </c>
      <c r="M1378">
        <v>61.2</v>
      </c>
      <c r="N1378">
        <v>38.56</v>
      </c>
    </row>
    <row r="1379" spans="1:14" x14ac:dyDescent="0.35">
      <c r="A1379" s="1" t="s">
        <v>1391</v>
      </c>
      <c r="B1379" t="str">
        <f>HYPERLINK("https://www.suredividend.com/sure-analysis-research-database/","Saia Inc.")</f>
        <v>Saia Inc.</v>
      </c>
      <c r="C1379" t="s">
        <v>1799</v>
      </c>
      <c r="D1379">
        <v>391.07</v>
      </c>
      <c r="E1379">
        <v>0</v>
      </c>
      <c r="F1379" t="s">
        <v>1798</v>
      </c>
      <c r="G1379" t="s">
        <v>1798</v>
      </c>
      <c r="H1379">
        <v>0</v>
      </c>
      <c r="I1379">
        <v>10377.191838999999</v>
      </c>
      <c r="J1379">
        <v>30.868973161534822</v>
      </c>
      <c r="K1379">
        <v>0</v>
      </c>
      <c r="L1379">
        <v>1.5822678311062419</v>
      </c>
      <c r="M1379">
        <v>443.85</v>
      </c>
      <c r="N1379">
        <v>180.17</v>
      </c>
    </row>
    <row r="1380" spans="1:14" x14ac:dyDescent="0.35">
      <c r="A1380" s="1" t="s">
        <v>1392</v>
      </c>
      <c r="B1380" t="str">
        <f>HYPERLINK("https://www.suredividend.com/sure-analysis-research-database/","Silvercrest Asset Management Group Inc")</f>
        <v>Silvercrest Asset Management Group Inc</v>
      </c>
      <c r="C1380" t="s">
        <v>1801</v>
      </c>
      <c r="D1380">
        <v>16.21</v>
      </c>
      <c r="E1380">
        <v>4.3889420079898003E-2</v>
      </c>
      <c r="F1380">
        <v>5.555555555555558E-2</v>
      </c>
      <c r="G1380">
        <v>6.2980048262344379E-2</v>
      </c>
      <c r="H1380">
        <v>0.71144749949515007</v>
      </c>
      <c r="I1380">
        <v>151.943511</v>
      </c>
      <c r="J1380">
        <v>0</v>
      </c>
      <c r="K1380" t="s">
        <v>1798</v>
      </c>
      <c r="L1380">
        <v>0.92798601823021709</v>
      </c>
      <c r="M1380">
        <v>22.74</v>
      </c>
      <c r="N1380">
        <v>14.39</v>
      </c>
    </row>
    <row r="1381" spans="1:14" x14ac:dyDescent="0.35">
      <c r="A1381" s="1" t="s">
        <v>1393</v>
      </c>
      <c r="B1381" t="str">
        <f>HYPERLINK("https://www.suredividend.com/sure-analysis-research-database/","Sana Biotechnology Inc")</f>
        <v>Sana Biotechnology Inc</v>
      </c>
      <c r="C1381" t="s">
        <v>1798</v>
      </c>
      <c r="D1381">
        <v>3.35</v>
      </c>
      <c r="E1381">
        <v>0</v>
      </c>
      <c r="F1381" t="s">
        <v>1798</v>
      </c>
      <c r="G1381" t="s">
        <v>1798</v>
      </c>
      <c r="H1381">
        <v>0</v>
      </c>
      <c r="I1381">
        <v>659.75591799999995</v>
      </c>
      <c r="J1381">
        <v>0</v>
      </c>
      <c r="K1381" t="s">
        <v>1798</v>
      </c>
      <c r="L1381">
        <v>2.0078419789595392</v>
      </c>
      <c r="M1381">
        <v>8.01</v>
      </c>
      <c r="N1381">
        <v>2.99</v>
      </c>
    </row>
    <row r="1382" spans="1:14" x14ac:dyDescent="0.35">
      <c r="A1382" s="1" t="s">
        <v>1394</v>
      </c>
      <c r="B1382" t="str">
        <f>HYPERLINK("https://www.suredividend.com/sure-analysis-research-database/","Sanmina Corp")</f>
        <v>Sanmina Corp</v>
      </c>
      <c r="C1382" t="s">
        <v>1804</v>
      </c>
      <c r="D1382">
        <v>52.81</v>
      </c>
      <c r="E1382">
        <v>0</v>
      </c>
      <c r="F1382" t="s">
        <v>1798</v>
      </c>
      <c r="G1382" t="s">
        <v>1798</v>
      </c>
      <c r="H1382">
        <v>0</v>
      </c>
      <c r="I1382">
        <v>3073.5419999999999</v>
      </c>
      <c r="J1382">
        <v>10.344585952961131</v>
      </c>
      <c r="K1382">
        <v>0</v>
      </c>
      <c r="L1382">
        <v>1.104969956658751</v>
      </c>
      <c r="M1382">
        <v>69.28</v>
      </c>
      <c r="N1382">
        <v>49.07</v>
      </c>
    </row>
    <row r="1383" spans="1:14" x14ac:dyDescent="0.35">
      <c r="A1383" s="1" t="s">
        <v>1395</v>
      </c>
      <c r="B1383" t="str">
        <f>HYPERLINK("https://www.suredividend.com/sure-analysis-research-database/","Sandy Spring Bancorp")</f>
        <v>Sandy Spring Bancorp</v>
      </c>
      <c r="C1383" t="s">
        <v>1801</v>
      </c>
      <c r="D1383">
        <v>20.420000000000002</v>
      </c>
      <c r="E1383">
        <v>6.4064634199156006E-2</v>
      </c>
      <c r="F1383">
        <v>0</v>
      </c>
      <c r="G1383">
        <v>3.9594988207552577E-2</v>
      </c>
      <c r="H1383">
        <v>1.3081998303467799</v>
      </c>
      <c r="I1383">
        <v>916.08957499999997</v>
      </c>
      <c r="J1383">
        <v>6.3999104028894589</v>
      </c>
      <c r="K1383">
        <v>0.41009399070431968</v>
      </c>
      <c r="L1383">
        <v>0.92719982106301813</v>
      </c>
      <c r="M1383">
        <v>36.01</v>
      </c>
      <c r="N1383">
        <v>18.63</v>
      </c>
    </row>
    <row r="1384" spans="1:14" x14ac:dyDescent="0.35">
      <c r="A1384" s="1" t="s">
        <v>1396</v>
      </c>
      <c r="B1384" t="str">
        <f>HYPERLINK("https://www.suredividend.com/sure-analysis-research-database/","EchoStar Corp")</f>
        <v>EchoStar Corp</v>
      </c>
      <c r="C1384" t="s">
        <v>1804</v>
      </c>
      <c r="D1384">
        <v>14.51</v>
      </c>
      <c r="E1384">
        <v>0</v>
      </c>
      <c r="F1384" t="s">
        <v>1798</v>
      </c>
      <c r="G1384" t="s">
        <v>1798</v>
      </c>
      <c r="H1384">
        <v>0</v>
      </c>
      <c r="I1384">
        <v>524.71471199999996</v>
      </c>
      <c r="J1384">
        <v>4.6871289511201626</v>
      </c>
      <c r="K1384">
        <v>0</v>
      </c>
      <c r="L1384">
        <v>1.0093863237496701</v>
      </c>
      <c r="M1384">
        <v>24.8</v>
      </c>
      <c r="N1384">
        <v>13.95</v>
      </c>
    </row>
    <row r="1385" spans="1:14" x14ac:dyDescent="0.35">
      <c r="A1385" s="1" t="s">
        <v>1397</v>
      </c>
      <c r="B1385" t="str">
        <f>HYPERLINK("https://www.suredividend.com/sure-analysis-research-database/","Cassava Sciences Inc")</f>
        <v>Cassava Sciences Inc</v>
      </c>
      <c r="C1385" t="s">
        <v>1803</v>
      </c>
      <c r="D1385">
        <v>14.86</v>
      </c>
      <c r="E1385">
        <v>0</v>
      </c>
      <c r="F1385" t="s">
        <v>1798</v>
      </c>
      <c r="G1385" t="s">
        <v>1798</v>
      </c>
      <c r="H1385">
        <v>0</v>
      </c>
      <c r="I1385">
        <v>623.67411100000004</v>
      </c>
      <c r="J1385">
        <v>0</v>
      </c>
      <c r="K1385" t="s">
        <v>1798</v>
      </c>
      <c r="L1385">
        <v>1.45298616105352</v>
      </c>
      <c r="M1385">
        <v>45.43</v>
      </c>
      <c r="N1385">
        <v>12.32</v>
      </c>
    </row>
    <row r="1386" spans="1:14" x14ac:dyDescent="0.35">
      <c r="A1386" s="1" t="s">
        <v>1398</v>
      </c>
      <c r="B1386" t="str">
        <f>HYPERLINK("https://www.suredividend.com/sure-analysis-research-database/","Spirit Airlines Inc")</f>
        <v>Spirit Airlines Inc</v>
      </c>
      <c r="C1386" t="s">
        <v>1799</v>
      </c>
      <c r="D1386">
        <v>15.93</v>
      </c>
      <c r="E1386">
        <v>0</v>
      </c>
      <c r="F1386" t="s">
        <v>1798</v>
      </c>
      <c r="G1386" t="s">
        <v>1798</v>
      </c>
      <c r="H1386">
        <v>0</v>
      </c>
      <c r="I1386">
        <v>1738.9342039999999</v>
      </c>
      <c r="J1386" t="s">
        <v>1798</v>
      </c>
      <c r="K1386">
        <v>0</v>
      </c>
      <c r="L1386">
        <v>0.63718621397524</v>
      </c>
      <c r="M1386">
        <v>21.55</v>
      </c>
      <c r="N1386">
        <v>14.08</v>
      </c>
    </row>
    <row r="1387" spans="1:14" x14ac:dyDescent="0.35">
      <c r="A1387" s="1" t="s">
        <v>1399</v>
      </c>
      <c r="B1387" t="str">
        <f>HYPERLINK("https://www.suredividend.com/sure-analysis-research-database/","Safe Bulkers, Inc")</f>
        <v>Safe Bulkers, Inc</v>
      </c>
      <c r="C1387" t="s">
        <v>1799</v>
      </c>
      <c r="D1387">
        <v>3.31</v>
      </c>
      <c r="E1387">
        <v>5.9124982384206007E-2</v>
      </c>
      <c r="F1387" t="s">
        <v>1798</v>
      </c>
      <c r="G1387" t="s">
        <v>1798</v>
      </c>
      <c r="H1387">
        <v>0.195703691691722</v>
      </c>
      <c r="I1387">
        <v>369.34540299999998</v>
      </c>
      <c r="J1387">
        <v>2.8661865961525028</v>
      </c>
      <c r="K1387">
        <v>0.1795446712768092</v>
      </c>
      <c r="L1387">
        <v>1.1212436287916461</v>
      </c>
      <c r="M1387">
        <v>3.74</v>
      </c>
      <c r="N1387">
        <v>2.36</v>
      </c>
    </row>
    <row r="1388" spans="1:14" x14ac:dyDescent="0.35">
      <c r="A1388" s="1" t="s">
        <v>1400</v>
      </c>
      <c r="B1388" t="str">
        <f>HYPERLINK("https://www.suredividend.com/sure-analysis-research-database/","Seacoast Banking Corp. Of Florida")</f>
        <v>Seacoast Banking Corp. Of Florida</v>
      </c>
      <c r="C1388" t="s">
        <v>1801</v>
      </c>
      <c r="D1388">
        <v>20.65</v>
      </c>
      <c r="E1388">
        <v>3.3191976631631002E-2</v>
      </c>
      <c r="F1388" t="s">
        <v>1798</v>
      </c>
      <c r="G1388" t="s">
        <v>1798</v>
      </c>
      <c r="H1388">
        <v>0.68541431744319703</v>
      </c>
      <c r="I1388">
        <v>1744.925</v>
      </c>
      <c r="J1388">
        <v>18.130974646716549</v>
      </c>
      <c r="K1388">
        <v>0.53547993550249762</v>
      </c>
      <c r="L1388">
        <v>1.3632674970698579</v>
      </c>
      <c r="M1388">
        <v>33.44</v>
      </c>
      <c r="N1388">
        <v>17.38</v>
      </c>
    </row>
    <row r="1389" spans="1:14" x14ac:dyDescent="0.35">
      <c r="A1389" s="1" t="s">
        <v>1401</v>
      </c>
      <c r="B1389" t="str">
        <f>HYPERLINK("https://www.suredividend.com/sure-analysis-research-database/","Sinclair Inc")</f>
        <v>Sinclair Inc</v>
      </c>
      <c r="C1389" t="s">
        <v>1807</v>
      </c>
      <c r="D1389">
        <v>9.73</v>
      </c>
      <c r="E1389">
        <v>2.5693730729700999E-2</v>
      </c>
      <c r="F1389">
        <v>0</v>
      </c>
      <c r="G1389">
        <v>4.5639552591273169E-2</v>
      </c>
      <c r="H1389">
        <v>0.25</v>
      </c>
      <c r="I1389">
        <v>385.78728999999998</v>
      </c>
      <c r="J1389">
        <v>0</v>
      </c>
      <c r="K1389" t="s">
        <v>1798</v>
      </c>
      <c r="L1389">
        <v>0.49270615567925902</v>
      </c>
      <c r="M1389">
        <v>15.86</v>
      </c>
      <c r="N1389">
        <v>9.39</v>
      </c>
    </row>
    <row r="1390" spans="1:14" x14ac:dyDescent="0.35">
      <c r="A1390" s="1" t="s">
        <v>1402</v>
      </c>
      <c r="B1390" t="str">
        <f>HYPERLINK("https://www.suredividend.com/sure-analysis-research-database/","Sally Beauty Holdings Inc")</f>
        <v>Sally Beauty Holdings Inc</v>
      </c>
      <c r="C1390" t="s">
        <v>1802</v>
      </c>
      <c r="D1390">
        <v>7.26</v>
      </c>
      <c r="E1390">
        <v>0</v>
      </c>
      <c r="F1390" t="s">
        <v>1798</v>
      </c>
      <c r="G1390" t="s">
        <v>1798</v>
      </c>
      <c r="H1390">
        <v>0</v>
      </c>
      <c r="I1390">
        <v>782.40695500000004</v>
      </c>
      <c r="J1390">
        <v>4.7894940271426734</v>
      </c>
      <c r="K1390">
        <v>0</v>
      </c>
      <c r="L1390">
        <v>1.1722395515257049</v>
      </c>
      <c r="M1390">
        <v>18.420000000000002</v>
      </c>
      <c r="N1390">
        <v>7.21</v>
      </c>
    </row>
    <row r="1391" spans="1:14" x14ac:dyDescent="0.35">
      <c r="A1391" s="1" t="s">
        <v>1403</v>
      </c>
      <c r="B1391" t="str">
        <f>HYPERLINK("https://www.suredividend.com/sure-analysis-research-database/","SilverBow Resources Inc")</f>
        <v>SilverBow Resources Inc</v>
      </c>
      <c r="C1391" t="s">
        <v>1808</v>
      </c>
      <c r="D1391">
        <v>34.6</v>
      </c>
      <c r="E1391">
        <v>0</v>
      </c>
      <c r="F1391" t="s">
        <v>1798</v>
      </c>
      <c r="G1391" t="s">
        <v>1798</v>
      </c>
      <c r="H1391">
        <v>0</v>
      </c>
      <c r="I1391">
        <v>782.59494500000005</v>
      </c>
      <c r="J1391">
        <v>0</v>
      </c>
      <c r="K1391" t="s">
        <v>1798</v>
      </c>
      <c r="L1391">
        <v>1.5592110284801439</v>
      </c>
      <c r="M1391">
        <v>43.95</v>
      </c>
      <c r="N1391">
        <v>19.13</v>
      </c>
    </row>
    <row r="1392" spans="1:14" x14ac:dyDescent="0.35">
      <c r="A1392" s="1" t="s">
        <v>1404</v>
      </c>
      <c r="B1392" t="str">
        <f>HYPERLINK("https://www.suredividend.com/sure-analysis-SBRA/","Sabra Healthcare REIT Inc")</f>
        <v>Sabra Healthcare REIT Inc</v>
      </c>
      <c r="C1392" t="s">
        <v>1800</v>
      </c>
      <c r="D1392">
        <v>14.23</v>
      </c>
      <c r="E1392">
        <v>8.4328882642304981E-2</v>
      </c>
      <c r="F1392">
        <v>0</v>
      </c>
      <c r="G1392">
        <v>-7.7892088518272229E-2</v>
      </c>
      <c r="H1392">
        <v>1.156497776365832</v>
      </c>
      <c r="I1392">
        <v>3290.2415030000002</v>
      </c>
      <c r="J1392" t="s">
        <v>1798</v>
      </c>
      <c r="K1392" t="s">
        <v>1798</v>
      </c>
      <c r="L1392">
        <v>0.77471101870207104</v>
      </c>
      <c r="M1392">
        <v>14.5</v>
      </c>
      <c r="N1392">
        <v>9.58</v>
      </c>
    </row>
    <row r="1393" spans="1:14" x14ac:dyDescent="0.35">
      <c r="A1393" s="1" t="s">
        <v>1405</v>
      </c>
      <c r="B1393" t="str">
        <f>HYPERLINK("https://www.suredividend.com/sure-analysis-SBSI/","Southside Bancshares Inc")</f>
        <v>Southside Bancshares Inc</v>
      </c>
      <c r="C1393" t="s">
        <v>1801</v>
      </c>
      <c r="D1393">
        <v>27.97</v>
      </c>
      <c r="E1393">
        <v>5.0053628888094392E-2</v>
      </c>
      <c r="F1393">
        <v>7.75</v>
      </c>
      <c r="G1393">
        <v>2.4569138363080611E-2</v>
      </c>
      <c r="H1393">
        <v>1.366821737231763</v>
      </c>
      <c r="I1393">
        <v>853.08500000000004</v>
      </c>
      <c r="J1393">
        <v>8.0825895817937194</v>
      </c>
      <c r="K1393">
        <v>0.40922806503944997</v>
      </c>
      <c r="L1393">
        <v>0.7618445438759851</v>
      </c>
      <c r="M1393">
        <v>39.07</v>
      </c>
      <c r="N1393">
        <v>25.1</v>
      </c>
    </row>
    <row r="1394" spans="1:14" x14ac:dyDescent="0.35">
      <c r="A1394" s="1" t="s">
        <v>1406</v>
      </c>
      <c r="B1394" t="str">
        <f>HYPERLINK("https://www.suredividend.com/sure-analysis-research-database/","Sterling Bancorp Inc")</f>
        <v>Sterling Bancorp Inc</v>
      </c>
      <c r="C1394" t="s">
        <v>1801</v>
      </c>
      <c r="D1394">
        <v>5.77</v>
      </c>
      <c r="E1394">
        <v>0</v>
      </c>
      <c r="F1394" t="s">
        <v>1798</v>
      </c>
      <c r="G1394" t="s">
        <v>1798</v>
      </c>
      <c r="H1394">
        <v>0</v>
      </c>
      <c r="I1394">
        <v>300.478993</v>
      </c>
      <c r="J1394">
        <v>0</v>
      </c>
      <c r="K1394" t="s">
        <v>1798</v>
      </c>
      <c r="L1394">
        <v>0.6624218514897271</v>
      </c>
      <c r="M1394">
        <v>6.76</v>
      </c>
      <c r="N1394">
        <v>4.22</v>
      </c>
    </row>
    <row r="1395" spans="1:14" x14ac:dyDescent="0.35">
      <c r="A1395" s="1" t="s">
        <v>1407</v>
      </c>
      <c r="B1395" t="str">
        <f>HYPERLINK("https://www.suredividend.com/sure-analysis-SCHL/","Scholastic Corp.")</f>
        <v>Scholastic Corp.</v>
      </c>
      <c r="C1395" t="s">
        <v>1807</v>
      </c>
      <c r="D1395">
        <v>37.130000000000003</v>
      </c>
      <c r="E1395">
        <v>2.1545919741448961E-2</v>
      </c>
      <c r="F1395">
        <v>0</v>
      </c>
      <c r="G1395">
        <v>5.9223841048812183E-2</v>
      </c>
      <c r="H1395">
        <v>0.7914624941567171</v>
      </c>
      <c r="I1395">
        <v>1090.135389</v>
      </c>
      <c r="J1395">
        <v>18.925961615624999</v>
      </c>
      <c r="K1395">
        <v>0.46832100245959601</v>
      </c>
      <c r="L1395">
        <v>0.7347613740103931</v>
      </c>
      <c r="M1395">
        <v>46.56</v>
      </c>
      <c r="N1395">
        <v>30.06</v>
      </c>
    </row>
    <row r="1396" spans="1:14" x14ac:dyDescent="0.35">
      <c r="A1396" s="1" t="s">
        <v>1408</v>
      </c>
      <c r="B1396" t="str">
        <f>HYPERLINK("https://www.suredividend.com/sure-analysis-SCL/","Stepan Co.")</f>
        <v>Stepan Co.</v>
      </c>
      <c r="C1396" t="s">
        <v>1809</v>
      </c>
      <c r="D1396">
        <v>63.66</v>
      </c>
      <c r="E1396">
        <v>2.293433867420672E-2</v>
      </c>
      <c r="F1396">
        <v>0</v>
      </c>
      <c r="G1396">
        <v>7.8625221439269977E-2</v>
      </c>
      <c r="H1396">
        <v>1.4513262698070459</v>
      </c>
      <c r="I1396">
        <v>1422.8753549999999</v>
      </c>
      <c r="J1396">
        <v>18.001054537725821</v>
      </c>
      <c r="K1396">
        <v>0.42189717145553662</v>
      </c>
      <c r="L1396">
        <v>0.96329787195705008</v>
      </c>
      <c r="M1396">
        <v>113.64</v>
      </c>
      <c r="N1396">
        <v>63.6</v>
      </c>
    </row>
    <row r="1397" spans="1:14" x14ac:dyDescent="0.35">
      <c r="A1397" s="1" t="s">
        <v>1409</v>
      </c>
      <c r="B1397" t="str">
        <f>HYPERLINK("https://www.suredividend.com/sure-analysis-research-database/","Steelcase, Inc.")</f>
        <v>Steelcase, Inc.</v>
      </c>
      <c r="C1397" t="s">
        <v>1799</v>
      </c>
      <c r="D1397">
        <v>11.48</v>
      </c>
      <c r="E1397">
        <v>3.4290914917734998E-2</v>
      </c>
      <c r="F1397">
        <v>0</v>
      </c>
      <c r="G1397">
        <v>-5.8255166501744338E-2</v>
      </c>
      <c r="H1397">
        <v>0.39365970325559801</v>
      </c>
      <c r="I1397">
        <v>1075.071222</v>
      </c>
      <c r="J1397">
        <v>19.945662748051951</v>
      </c>
      <c r="K1397">
        <v>0.83243752010065131</v>
      </c>
      <c r="L1397">
        <v>1.0122783957240209</v>
      </c>
      <c r="M1397">
        <v>11.85</v>
      </c>
      <c r="N1397">
        <v>5.91</v>
      </c>
    </row>
    <row r="1398" spans="1:14" x14ac:dyDescent="0.35">
      <c r="A1398" s="1" t="s">
        <v>1410</v>
      </c>
      <c r="B1398" t="str">
        <f>HYPERLINK("https://www.suredividend.com/sure-analysis-research-database/","Scansource, Inc.")</f>
        <v>Scansource, Inc.</v>
      </c>
      <c r="C1398" t="s">
        <v>1804</v>
      </c>
      <c r="D1398">
        <v>32.11</v>
      </c>
      <c r="E1398">
        <v>0</v>
      </c>
      <c r="F1398" t="s">
        <v>1798</v>
      </c>
      <c r="G1398" t="s">
        <v>1798</v>
      </c>
      <c r="H1398">
        <v>0</v>
      </c>
      <c r="I1398">
        <v>797.74735799999996</v>
      </c>
      <c r="J1398">
        <v>8.8827106228774397</v>
      </c>
      <c r="K1398">
        <v>0</v>
      </c>
      <c r="L1398">
        <v>0.82778576997103603</v>
      </c>
      <c r="M1398">
        <v>35.5</v>
      </c>
      <c r="N1398">
        <v>26.14</v>
      </c>
    </row>
    <row r="1399" spans="1:14" x14ac:dyDescent="0.35">
      <c r="A1399" s="1" t="s">
        <v>1411</v>
      </c>
      <c r="B1399" t="str">
        <f>HYPERLINK("https://www.suredividend.com/sure-analysis-research-database/","Sculptor Capital Management Inc")</f>
        <v>Sculptor Capital Management Inc</v>
      </c>
      <c r="C1399" t="s">
        <v>1801</v>
      </c>
      <c r="D1399">
        <v>12.22</v>
      </c>
      <c r="E1399">
        <v>2.1949267009482E-2</v>
      </c>
      <c r="F1399" t="s">
        <v>1798</v>
      </c>
      <c r="G1399" t="s">
        <v>1798</v>
      </c>
      <c r="H1399">
        <v>0.26822004285588003</v>
      </c>
      <c r="I1399">
        <v>305.46049299999999</v>
      </c>
      <c r="J1399" t="s">
        <v>1798</v>
      </c>
      <c r="K1399" t="s">
        <v>1798</v>
      </c>
      <c r="L1399">
        <v>1.090005533054816</v>
      </c>
      <c r="M1399">
        <v>12.4</v>
      </c>
      <c r="N1399">
        <v>7.76</v>
      </c>
    </row>
    <row r="1400" spans="1:14" x14ac:dyDescent="0.35">
      <c r="A1400" s="1" t="s">
        <v>1412</v>
      </c>
      <c r="B1400" t="str">
        <f>HYPERLINK("https://www.suredividend.com/sure-analysis-research-database/","Shoe Carnival, Inc.")</f>
        <v>Shoe Carnival, Inc.</v>
      </c>
      <c r="C1400" t="s">
        <v>1802</v>
      </c>
      <c r="D1400">
        <v>23.67</v>
      </c>
      <c r="E1400">
        <v>2.0835193143598E-2</v>
      </c>
      <c r="F1400">
        <v>0.33333333333333331</v>
      </c>
      <c r="G1400">
        <v>8.4471771197698553E-2</v>
      </c>
      <c r="H1400">
        <v>0.49316902170898502</v>
      </c>
      <c r="I1400">
        <v>647.60402799999997</v>
      </c>
      <c r="J1400">
        <v>7.1773379732680187</v>
      </c>
      <c r="K1400">
        <v>0.15035640905761741</v>
      </c>
      <c r="L1400">
        <v>1.20014603718937</v>
      </c>
      <c r="M1400">
        <v>28.82</v>
      </c>
      <c r="N1400">
        <v>18.89</v>
      </c>
    </row>
    <row r="1401" spans="1:14" x14ac:dyDescent="0.35">
      <c r="A1401" s="1" t="s">
        <v>1413</v>
      </c>
      <c r="B1401" t="str">
        <f>HYPERLINK("https://www.suredividend.com/sure-analysis-research-database/","SecureWorks Corp")</f>
        <v>SecureWorks Corp</v>
      </c>
      <c r="C1401" t="s">
        <v>1804</v>
      </c>
      <c r="D1401">
        <v>5.75</v>
      </c>
      <c r="E1401">
        <v>0</v>
      </c>
      <c r="F1401" t="s">
        <v>1798</v>
      </c>
      <c r="G1401" t="s">
        <v>1798</v>
      </c>
      <c r="H1401">
        <v>0</v>
      </c>
      <c r="I1401">
        <v>93.353032999999996</v>
      </c>
      <c r="J1401" t="s">
        <v>1798</v>
      </c>
      <c r="K1401">
        <v>0</v>
      </c>
      <c r="L1401">
        <v>1.3733672394295771</v>
      </c>
      <c r="M1401">
        <v>10.06</v>
      </c>
      <c r="N1401">
        <v>5.28</v>
      </c>
    </row>
    <row r="1402" spans="1:14" x14ac:dyDescent="0.35">
      <c r="A1402" s="1" t="s">
        <v>1414</v>
      </c>
      <c r="B1402" t="str">
        <f>HYPERLINK("https://www.suredividend.com/sure-analysis-research-database/","Sandridge Energy Inc")</f>
        <v>Sandridge Energy Inc</v>
      </c>
      <c r="C1402" t="s">
        <v>1808</v>
      </c>
      <c r="D1402">
        <v>16.260000000000002</v>
      </c>
      <c r="E1402">
        <v>6.1500615922580014E-3</v>
      </c>
      <c r="F1402" t="s">
        <v>1798</v>
      </c>
      <c r="G1402" t="s">
        <v>1798</v>
      </c>
      <c r="H1402">
        <v>0.10000000149011599</v>
      </c>
      <c r="I1402">
        <v>601.06208700000002</v>
      </c>
      <c r="J1402">
        <v>0</v>
      </c>
      <c r="K1402" t="s">
        <v>1798</v>
      </c>
      <c r="L1402">
        <v>1.198509343148181</v>
      </c>
      <c r="M1402">
        <v>19.420000000000002</v>
      </c>
      <c r="N1402">
        <v>11.11</v>
      </c>
    </row>
    <row r="1403" spans="1:14" x14ac:dyDescent="0.35">
      <c r="A1403" s="1" t="s">
        <v>1415</v>
      </c>
      <c r="B1403" t="str">
        <f>HYPERLINK("https://www.suredividend.com/sure-analysis-research-database/","Schrodinger Inc")</f>
        <v>Schrodinger Inc</v>
      </c>
      <c r="C1403" t="s">
        <v>1803</v>
      </c>
      <c r="D1403">
        <v>23.45</v>
      </c>
      <c r="E1403">
        <v>0</v>
      </c>
      <c r="F1403" t="s">
        <v>1798</v>
      </c>
      <c r="G1403" t="s">
        <v>1798</v>
      </c>
      <c r="H1403">
        <v>0</v>
      </c>
      <c r="I1403">
        <v>1470.693718</v>
      </c>
      <c r="J1403">
        <v>22.164356594930229</v>
      </c>
      <c r="K1403">
        <v>0</v>
      </c>
      <c r="L1403">
        <v>1.6631636724043619</v>
      </c>
      <c r="M1403">
        <v>59.24</v>
      </c>
      <c r="N1403">
        <v>15.85</v>
      </c>
    </row>
    <row r="1404" spans="1:14" x14ac:dyDescent="0.35">
      <c r="A1404" s="1" t="s">
        <v>1416</v>
      </c>
      <c r="B1404" t="str">
        <f>HYPERLINK("https://www.suredividend.com/sure-analysis-research-database/","SeaWorld Entertainment Inc")</f>
        <v>SeaWorld Entertainment Inc</v>
      </c>
      <c r="C1404" t="s">
        <v>1802</v>
      </c>
      <c r="D1404">
        <v>42.49</v>
      </c>
      <c r="E1404">
        <v>0</v>
      </c>
      <c r="F1404" t="s">
        <v>1798</v>
      </c>
      <c r="G1404" t="s">
        <v>1798</v>
      </c>
      <c r="H1404">
        <v>0</v>
      </c>
      <c r="I1404">
        <v>2718.1439359999999</v>
      </c>
      <c r="J1404">
        <v>10.694827708288249</v>
      </c>
      <c r="K1404">
        <v>0</v>
      </c>
      <c r="L1404">
        <v>1.3835081222621379</v>
      </c>
      <c r="M1404">
        <v>68.19</v>
      </c>
      <c r="N1404">
        <v>42.24</v>
      </c>
    </row>
    <row r="1405" spans="1:14" x14ac:dyDescent="0.35">
      <c r="A1405" s="1" t="s">
        <v>1417</v>
      </c>
      <c r="B1405" t="str">
        <f>HYPERLINK("https://www.suredividend.com/sure-analysis-research-database/","Vivid Seats Inc")</f>
        <v>Vivid Seats Inc</v>
      </c>
      <c r="C1405" t="s">
        <v>1798</v>
      </c>
      <c r="D1405">
        <v>6.49</v>
      </c>
      <c r="E1405">
        <v>0</v>
      </c>
      <c r="F1405" t="s">
        <v>1798</v>
      </c>
      <c r="G1405" t="s">
        <v>1798</v>
      </c>
      <c r="H1405">
        <v>0</v>
      </c>
      <c r="I1405">
        <v>625.53341899999998</v>
      </c>
      <c r="J1405">
        <v>10.315184510075531</v>
      </c>
      <c r="K1405">
        <v>0</v>
      </c>
      <c r="L1405">
        <v>1.0008166899442721</v>
      </c>
      <c r="M1405">
        <v>9.89</v>
      </c>
      <c r="N1405">
        <v>6.06</v>
      </c>
    </row>
    <row r="1406" spans="1:14" x14ac:dyDescent="0.35">
      <c r="A1406" s="1" t="s">
        <v>1418</v>
      </c>
      <c r="B1406" t="str">
        <f>HYPERLINK("https://www.suredividend.com/sure-analysis-research-database/","Seer Inc")</f>
        <v>Seer Inc</v>
      </c>
      <c r="C1406" t="s">
        <v>1798</v>
      </c>
      <c r="D1406">
        <v>1.81</v>
      </c>
      <c r="E1406">
        <v>0</v>
      </c>
      <c r="F1406" t="s">
        <v>1798</v>
      </c>
      <c r="G1406" t="s">
        <v>1798</v>
      </c>
      <c r="H1406">
        <v>0</v>
      </c>
      <c r="I1406">
        <v>108.409954</v>
      </c>
      <c r="J1406" t="s">
        <v>1798</v>
      </c>
      <c r="K1406">
        <v>0</v>
      </c>
      <c r="L1406">
        <v>2.4356775900815539</v>
      </c>
      <c r="M1406">
        <v>8.74</v>
      </c>
      <c r="N1406">
        <v>1.76</v>
      </c>
    </row>
    <row r="1407" spans="1:14" x14ac:dyDescent="0.35">
      <c r="A1407" s="1" t="s">
        <v>1419</v>
      </c>
      <c r="B1407" t="str">
        <f>HYPERLINK("https://www.suredividend.com/sure-analysis-research-database/","Select Medical Holdings Corporation")</f>
        <v>Select Medical Holdings Corporation</v>
      </c>
      <c r="C1407" t="s">
        <v>1803</v>
      </c>
      <c r="D1407">
        <v>23.17</v>
      </c>
      <c r="E1407">
        <v>2.1436624622434002E-2</v>
      </c>
      <c r="F1407" t="s">
        <v>1798</v>
      </c>
      <c r="G1407" t="s">
        <v>1798</v>
      </c>
      <c r="H1407">
        <v>0.49668659250181002</v>
      </c>
      <c r="I1407">
        <v>2945.9129720000001</v>
      </c>
      <c r="J1407">
        <v>15.013622599023529</v>
      </c>
      <c r="K1407">
        <v>0.31636088694382802</v>
      </c>
      <c r="L1407">
        <v>1.190092747127218</v>
      </c>
      <c r="M1407">
        <v>33.369999999999997</v>
      </c>
      <c r="N1407">
        <v>18.510000000000002</v>
      </c>
    </row>
    <row r="1408" spans="1:14" x14ac:dyDescent="0.35">
      <c r="A1408" s="1" t="s">
        <v>1420</v>
      </c>
      <c r="B1408" t="str">
        <f>HYPERLINK("https://www.suredividend.com/sure-analysis-research-database/","Seneca Foods Corp.")</f>
        <v>Seneca Foods Corp.</v>
      </c>
      <c r="C1408" t="s">
        <v>1805</v>
      </c>
      <c r="D1408">
        <v>53.56</v>
      </c>
      <c r="E1408">
        <v>0</v>
      </c>
      <c r="F1408" t="s">
        <v>1798</v>
      </c>
      <c r="G1408" t="s">
        <v>1798</v>
      </c>
      <c r="H1408">
        <v>0</v>
      </c>
      <c r="I1408">
        <v>405.92910499999999</v>
      </c>
      <c r="J1408">
        <v>14.93429619587212</v>
      </c>
      <c r="K1408">
        <v>0</v>
      </c>
      <c r="L1408">
        <v>0.56966666248144204</v>
      </c>
      <c r="M1408">
        <v>68.739999999999995</v>
      </c>
      <c r="N1408">
        <v>32.5</v>
      </c>
    </row>
    <row r="1409" spans="1:14" x14ac:dyDescent="0.35">
      <c r="A1409" s="1" t="s">
        <v>1421</v>
      </c>
      <c r="B1409" t="str">
        <f>HYPERLINK("https://www.suredividend.com/sure-analysis-research-database/","Senseonics Holdings Inc")</f>
        <v>Senseonics Holdings Inc</v>
      </c>
      <c r="C1409" t="s">
        <v>1803</v>
      </c>
      <c r="D1409">
        <v>0.55110000000000003</v>
      </c>
      <c r="E1409">
        <v>0</v>
      </c>
      <c r="F1409" t="s">
        <v>1798</v>
      </c>
      <c r="G1409" t="s">
        <v>1798</v>
      </c>
      <c r="H1409">
        <v>0</v>
      </c>
      <c r="I1409">
        <v>291.077944</v>
      </c>
      <c r="J1409">
        <v>0</v>
      </c>
      <c r="K1409" t="s">
        <v>1798</v>
      </c>
      <c r="L1409">
        <v>2.204507277060213</v>
      </c>
      <c r="M1409">
        <v>1.3</v>
      </c>
      <c r="N1409">
        <v>0.49</v>
      </c>
    </row>
    <row r="1410" spans="1:14" x14ac:dyDescent="0.35">
      <c r="A1410" s="1" t="s">
        <v>1422</v>
      </c>
      <c r="B1410" t="str">
        <f>HYPERLINK("https://www.suredividend.com/sure-analysis-research-database/","ServisFirst Bancshares Inc")</f>
        <v>ServisFirst Bancshares Inc</v>
      </c>
      <c r="C1410" t="s">
        <v>1801</v>
      </c>
      <c r="D1410">
        <v>51.29</v>
      </c>
      <c r="E1410">
        <v>2.1648860479727999E-2</v>
      </c>
      <c r="F1410">
        <v>0.21739130434782619</v>
      </c>
      <c r="G1410">
        <v>0.13295681060117071</v>
      </c>
      <c r="H1410">
        <v>1.110370054005275</v>
      </c>
      <c r="I1410">
        <v>2791.3731600000001</v>
      </c>
      <c r="J1410">
        <v>11.4808958092312</v>
      </c>
      <c r="K1410">
        <v>0.24896189551687781</v>
      </c>
      <c r="L1410">
        <v>1.0804087348872631</v>
      </c>
      <c r="M1410">
        <v>85.97</v>
      </c>
      <c r="N1410">
        <v>39.06</v>
      </c>
    </row>
    <row r="1411" spans="1:14" x14ac:dyDescent="0.35">
      <c r="A1411" s="1" t="s">
        <v>1423</v>
      </c>
      <c r="B1411" t="str">
        <f>HYPERLINK("https://www.suredividend.com/sure-analysis-research-database/","Stitch Fix Inc")</f>
        <v>Stitch Fix Inc</v>
      </c>
      <c r="C1411" t="s">
        <v>1802</v>
      </c>
      <c r="D1411">
        <v>3.03</v>
      </c>
      <c r="E1411">
        <v>0</v>
      </c>
      <c r="F1411" t="s">
        <v>1798</v>
      </c>
      <c r="G1411" t="s">
        <v>1798</v>
      </c>
      <c r="H1411">
        <v>0</v>
      </c>
      <c r="I1411">
        <v>278.52426600000001</v>
      </c>
      <c r="J1411" t="s">
        <v>1798</v>
      </c>
      <c r="K1411">
        <v>0</v>
      </c>
      <c r="L1411">
        <v>2.9986525071511241</v>
      </c>
      <c r="M1411">
        <v>6.03</v>
      </c>
      <c r="N1411">
        <v>2.63</v>
      </c>
    </row>
    <row r="1412" spans="1:14" x14ac:dyDescent="0.35">
      <c r="A1412" s="1" t="s">
        <v>1424</v>
      </c>
      <c r="B1412" t="str">
        <f>HYPERLINK("https://www.suredividend.com/sure-analysis-SFL/","SFL Corporation Ltd")</f>
        <v>SFL Corporation Ltd</v>
      </c>
      <c r="C1412" t="s">
        <v>1799</v>
      </c>
      <c r="D1412">
        <v>11.17</v>
      </c>
      <c r="E1412">
        <v>8.5944494180841532E-2</v>
      </c>
      <c r="F1412">
        <v>4.3478260869565188E-2</v>
      </c>
      <c r="G1412">
        <v>-7.2682107622416336E-2</v>
      </c>
      <c r="H1412">
        <v>0.91763714686199604</v>
      </c>
      <c r="I1412">
        <v>1547.739472</v>
      </c>
      <c r="J1412">
        <v>12.72780665287863</v>
      </c>
      <c r="K1412">
        <v>1.0366438622480749</v>
      </c>
      <c r="L1412">
        <v>0.66307286937929411</v>
      </c>
      <c r="M1412">
        <v>11.33</v>
      </c>
      <c r="N1412">
        <v>8.0399999999999991</v>
      </c>
    </row>
    <row r="1413" spans="1:14" x14ac:dyDescent="0.35">
      <c r="A1413" s="1" t="s">
        <v>1425</v>
      </c>
      <c r="B1413" t="str">
        <f>HYPERLINK("https://www.suredividend.com/sure-analysis-research-database/","Sprouts Farmers Market Inc")</f>
        <v>Sprouts Farmers Market Inc</v>
      </c>
      <c r="C1413" t="s">
        <v>1805</v>
      </c>
      <c r="D1413">
        <v>43.21</v>
      </c>
      <c r="E1413">
        <v>0</v>
      </c>
      <c r="F1413" t="s">
        <v>1798</v>
      </c>
      <c r="G1413" t="s">
        <v>1798</v>
      </c>
      <c r="H1413">
        <v>0</v>
      </c>
      <c r="I1413">
        <v>4407.42</v>
      </c>
      <c r="J1413">
        <v>17.327897339927819</v>
      </c>
      <c r="K1413">
        <v>0</v>
      </c>
      <c r="L1413">
        <v>0.56418611404334407</v>
      </c>
      <c r="M1413">
        <v>44.24</v>
      </c>
      <c r="N1413">
        <v>26.35</v>
      </c>
    </row>
    <row r="1414" spans="1:14" x14ac:dyDescent="0.35">
      <c r="A1414" s="1" t="s">
        <v>1426</v>
      </c>
      <c r="B1414" t="str">
        <f>HYPERLINK("https://www.suredividend.com/sure-analysis-research-database/","Simmons First National Corp.")</f>
        <v>Simmons First National Corp.</v>
      </c>
      <c r="C1414" t="s">
        <v>1801</v>
      </c>
      <c r="D1414">
        <v>16.079999999999998</v>
      </c>
      <c r="E1414">
        <v>4.7911375564833013E-2</v>
      </c>
      <c r="F1414">
        <v>5.2631578947368363E-2</v>
      </c>
      <c r="G1414">
        <v>5.9223841048812183E-2</v>
      </c>
      <c r="H1414">
        <v>0.77041491908252901</v>
      </c>
      <c r="I1414">
        <v>2030.286319</v>
      </c>
      <c r="J1414">
        <v>7.5823156000388376</v>
      </c>
      <c r="K1414">
        <v>0.36686424718215671</v>
      </c>
      <c r="L1414">
        <v>1.1779212750834029</v>
      </c>
      <c r="M1414">
        <v>23.55</v>
      </c>
      <c r="N1414">
        <v>14.19</v>
      </c>
    </row>
    <row r="1415" spans="1:14" x14ac:dyDescent="0.35">
      <c r="A1415" s="1" t="s">
        <v>1427</v>
      </c>
      <c r="B1415" t="str">
        <f>HYPERLINK("https://www.suredividend.com/sure-analysis-research-database/","Southern First Bancshares Inc")</f>
        <v>Southern First Bancshares Inc</v>
      </c>
      <c r="C1415" t="s">
        <v>1801</v>
      </c>
      <c r="D1415">
        <v>26.91</v>
      </c>
      <c r="E1415">
        <v>0</v>
      </c>
      <c r="F1415" t="s">
        <v>1798</v>
      </c>
      <c r="G1415" t="s">
        <v>1798</v>
      </c>
      <c r="H1415">
        <v>0</v>
      </c>
      <c r="I1415">
        <v>217.33694700000001</v>
      </c>
      <c r="J1415">
        <v>0</v>
      </c>
      <c r="K1415" t="s">
        <v>1798</v>
      </c>
      <c r="L1415">
        <v>0.92207204218787209</v>
      </c>
      <c r="M1415">
        <v>49.96</v>
      </c>
      <c r="N1415">
        <v>20.75</v>
      </c>
    </row>
    <row r="1416" spans="1:14" x14ac:dyDescent="0.35">
      <c r="A1416" s="1" t="s">
        <v>1428</v>
      </c>
      <c r="B1416" t="str">
        <f>HYPERLINK("https://www.suredividend.com/sure-analysis-research-database/","Sweetgreen Inc")</f>
        <v>Sweetgreen Inc</v>
      </c>
      <c r="C1416" t="s">
        <v>1801</v>
      </c>
      <c r="D1416">
        <v>10.93</v>
      </c>
      <c r="E1416">
        <v>0</v>
      </c>
      <c r="F1416" t="s">
        <v>1798</v>
      </c>
      <c r="G1416" t="s">
        <v>1798</v>
      </c>
      <c r="H1416">
        <v>0</v>
      </c>
      <c r="I1416">
        <v>1079.164937</v>
      </c>
      <c r="J1416" t="s">
        <v>1798</v>
      </c>
      <c r="K1416">
        <v>0</v>
      </c>
      <c r="L1416">
        <v>1.9025257665578099</v>
      </c>
      <c r="M1416">
        <v>20</v>
      </c>
      <c r="N1416">
        <v>6.1</v>
      </c>
    </row>
    <row r="1417" spans="1:14" x14ac:dyDescent="0.35">
      <c r="A1417" s="1" t="s">
        <v>1429</v>
      </c>
      <c r="B1417" t="str">
        <f>HYPERLINK("https://www.suredividend.com/sure-analysis-research-database/","Superior Group of Companies Inc..")</f>
        <v>Superior Group of Companies Inc..</v>
      </c>
      <c r="C1417" t="s">
        <v>1802</v>
      </c>
      <c r="D1417">
        <v>7.61</v>
      </c>
      <c r="E1417">
        <v>7.0709483994582004E-2</v>
      </c>
      <c r="F1417">
        <v>0</v>
      </c>
      <c r="G1417">
        <v>6.9610375725068785E-2</v>
      </c>
      <c r="H1417">
        <v>0.53809917319877509</v>
      </c>
      <c r="I1417">
        <v>125.597814</v>
      </c>
      <c r="J1417">
        <v>0</v>
      </c>
      <c r="K1417" t="s">
        <v>1798</v>
      </c>
      <c r="L1417">
        <v>0.75741591474729308</v>
      </c>
      <c r="M1417">
        <v>11.96</v>
      </c>
      <c r="N1417">
        <v>6.79</v>
      </c>
    </row>
    <row r="1418" spans="1:14" x14ac:dyDescent="0.35">
      <c r="A1418" s="1" t="s">
        <v>1430</v>
      </c>
      <c r="B1418" t="str">
        <f>HYPERLINK("https://www.suredividend.com/sure-analysis-research-database/","SMART Global Holdings Inc")</f>
        <v>SMART Global Holdings Inc</v>
      </c>
      <c r="C1418" t="s">
        <v>1804</v>
      </c>
      <c r="D1418">
        <v>13.1</v>
      </c>
      <c r="E1418">
        <v>0</v>
      </c>
      <c r="F1418" t="s">
        <v>1798</v>
      </c>
      <c r="G1418" t="s">
        <v>1798</v>
      </c>
      <c r="H1418">
        <v>0</v>
      </c>
      <c r="I1418">
        <v>655.88945100000001</v>
      </c>
      <c r="J1418" t="s">
        <v>1798</v>
      </c>
      <c r="K1418">
        <v>0</v>
      </c>
      <c r="L1418">
        <v>1.826061639996436</v>
      </c>
      <c r="M1418">
        <v>29.99</v>
      </c>
      <c r="N1418">
        <v>12.47</v>
      </c>
    </row>
    <row r="1419" spans="1:14" x14ac:dyDescent="0.35">
      <c r="A1419" s="1" t="s">
        <v>1431</v>
      </c>
      <c r="B1419" t="str">
        <f>HYPERLINK("https://www.suredividend.com/sure-analysis-research-database/","Sight Sciences Inc")</f>
        <v>Sight Sciences Inc</v>
      </c>
      <c r="C1419" t="s">
        <v>1798</v>
      </c>
      <c r="D1419">
        <v>3.78</v>
      </c>
      <c r="E1419">
        <v>0</v>
      </c>
      <c r="F1419" t="s">
        <v>1798</v>
      </c>
      <c r="G1419" t="s">
        <v>1798</v>
      </c>
      <c r="H1419">
        <v>0</v>
      </c>
      <c r="I1419">
        <v>183.90106</v>
      </c>
      <c r="J1419" t="s">
        <v>1798</v>
      </c>
      <c r="K1419">
        <v>0</v>
      </c>
      <c r="L1419">
        <v>1.8425775372502331</v>
      </c>
      <c r="M1419">
        <v>15.3</v>
      </c>
      <c r="N1419">
        <v>2.78</v>
      </c>
    </row>
    <row r="1420" spans="1:14" x14ac:dyDescent="0.35">
      <c r="A1420" s="1" t="s">
        <v>1432</v>
      </c>
      <c r="B1420" t="str">
        <f>HYPERLINK("https://www.suredividend.com/sure-analysis-research-database/","Sangamo Therapeutics Inc")</f>
        <v>Sangamo Therapeutics Inc</v>
      </c>
      <c r="C1420" t="s">
        <v>1803</v>
      </c>
      <c r="D1420">
        <v>0.56000000000000005</v>
      </c>
      <c r="E1420">
        <v>0</v>
      </c>
      <c r="F1420" t="s">
        <v>1798</v>
      </c>
      <c r="G1420" t="s">
        <v>1798</v>
      </c>
      <c r="H1420">
        <v>0</v>
      </c>
      <c r="I1420">
        <v>99.182562000000004</v>
      </c>
      <c r="J1420" t="s">
        <v>1798</v>
      </c>
      <c r="K1420">
        <v>0</v>
      </c>
      <c r="L1420">
        <v>1.612243834453724</v>
      </c>
      <c r="M1420">
        <v>4.95</v>
      </c>
      <c r="N1420">
        <v>0.49459999999999998</v>
      </c>
    </row>
    <row r="1421" spans="1:14" x14ac:dyDescent="0.35">
      <c r="A1421" s="1" t="s">
        <v>1433</v>
      </c>
      <c r="B1421" t="str">
        <f>HYPERLINK("https://www.suredividend.com/sure-analysis-research-database/","Surgery Partners Inc")</f>
        <v>Surgery Partners Inc</v>
      </c>
      <c r="C1421" t="s">
        <v>1803</v>
      </c>
      <c r="D1421">
        <v>23.53</v>
      </c>
      <c r="E1421">
        <v>0</v>
      </c>
      <c r="F1421" t="s">
        <v>1798</v>
      </c>
      <c r="G1421" t="s">
        <v>1798</v>
      </c>
      <c r="H1421">
        <v>0</v>
      </c>
      <c r="I1421">
        <v>2976.5195880000001</v>
      </c>
      <c r="J1421" t="s">
        <v>1798</v>
      </c>
      <c r="K1421">
        <v>0</v>
      </c>
      <c r="L1421">
        <v>2.2305375548534818</v>
      </c>
      <c r="M1421">
        <v>45.79</v>
      </c>
      <c r="N1421">
        <v>20.46</v>
      </c>
    </row>
    <row r="1422" spans="1:14" x14ac:dyDescent="0.35">
      <c r="A1422" s="1" t="s">
        <v>1434</v>
      </c>
      <c r="B1422" t="str">
        <f>HYPERLINK("https://www.suredividend.com/sure-analysis-research-database/","Shake Shack Inc")</f>
        <v>Shake Shack Inc</v>
      </c>
      <c r="C1422" t="s">
        <v>1802</v>
      </c>
      <c r="D1422">
        <v>53.52</v>
      </c>
      <c r="E1422">
        <v>0</v>
      </c>
      <c r="F1422" t="s">
        <v>1798</v>
      </c>
      <c r="G1422" t="s">
        <v>1798</v>
      </c>
      <c r="H1422">
        <v>0</v>
      </c>
      <c r="I1422">
        <v>2112.0320900000002</v>
      </c>
      <c r="J1422" t="s">
        <v>1798</v>
      </c>
      <c r="K1422">
        <v>0</v>
      </c>
      <c r="L1422">
        <v>1.2111719955556011</v>
      </c>
      <c r="M1422">
        <v>80.58</v>
      </c>
      <c r="N1422">
        <v>40.83</v>
      </c>
    </row>
    <row r="1423" spans="1:14" x14ac:dyDescent="0.35">
      <c r="A1423" s="1" t="s">
        <v>1435</v>
      </c>
      <c r="B1423" t="str">
        <f>HYPERLINK("https://www.suredividend.com/sure-analysis-research-database/","Shore Bancshares Inc.")</f>
        <v>Shore Bancshares Inc.</v>
      </c>
      <c r="C1423" t="s">
        <v>1801</v>
      </c>
      <c r="D1423">
        <v>10.220000000000001</v>
      </c>
      <c r="E1423">
        <v>4.5915505291043997E-2</v>
      </c>
      <c r="F1423">
        <v>0</v>
      </c>
      <c r="G1423">
        <v>3.7137289336648172E-2</v>
      </c>
      <c r="H1423">
        <v>0.46925646407447502</v>
      </c>
      <c r="I1423">
        <v>338.51726400000001</v>
      </c>
      <c r="J1423">
        <v>11.86115152067274</v>
      </c>
      <c r="K1423">
        <v>0.32587254449616321</v>
      </c>
      <c r="L1423">
        <v>0.89897097668268311</v>
      </c>
      <c r="M1423">
        <v>20.059999999999999</v>
      </c>
      <c r="N1423">
        <v>9.94</v>
      </c>
    </row>
    <row r="1424" spans="1:14" x14ac:dyDescent="0.35">
      <c r="A1424" s="1" t="s">
        <v>1436</v>
      </c>
      <c r="B1424" t="str">
        <f>HYPERLINK("https://www.suredividend.com/sure-analysis-research-database/","Sharecare Inc")</f>
        <v>Sharecare Inc</v>
      </c>
      <c r="C1424" t="s">
        <v>1798</v>
      </c>
      <c r="D1424">
        <v>1.24</v>
      </c>
      <c r="E1424">
        <v>0</v>
      </c>
      <c r="F1424" t="s">
        <v>1798</v>
      </c>
      <c r="G1424" t="s">
        <v>1798</v>
      </c>
      <c r="H1424">
        <v>0</v>
      </c>
      <c r="I1424">
        <v>442.83543500000002</v>
      </c>
      <c r="J1424" t="s">
        <v>1798</v>
      </c>
      <c r="K1424">
        <v>0</v>
      </c>
      <c r="L1424">
        <v>1.6415986964859459</v>
      </c>
      <c r="M1424">
        <v>2.71</v>
      </c>
      <c r="N1424">
        <v>0.76950000000000007</v>
      </c>
    </row>
    <row r="1425" spans="1:14" x14ac:dyDescent="0.35">
      <c r="A1425" s="1" t="s">
        <v>1437</v>
      </c>
      <c r="B1425" t="str">
        <f>HYPERLINK("https://www.suredividend.com/sure-analysis-research-database/","Shenandoah Telecommunications Co.")</f>
        <v>Shenandoah Telecommunications Co.</v>
      </c>
      <c r="C1425" t="s">
        <v>1807</v>
      </c>
      <c r="D1425">
        <v>21.66</v>
      </c>
      <c r="E1425">
        <v>3.6934440541019999E-3</v>
      </c>
      <c r="F1425" t="s">
        <v>1798</v>
      </c>
      <c r="G1425" t="s">
        <v>1798</v>
      </c>
      <c r="H1425">
        <v>7.9999998211860004E-2</v>
      </c>
      <c r="I1425">
        <v>1088.717222</v>
      </c>
      <c r="J1425" t="s">
        <v>1798</v>
      </c>
      <c r="K1425" t="s">
        <v>1798</v>
      </c>
      <c r="L1425">
        <v>1.113592761997535</v>
      </c>
      <c r="M1425">
        <v>23.31</v>
      </c>
      <c r="N1425">
        <v>15.62</v>
      </c>
    </row>
    <row r="1426" spans="1:14" x14ac:dyDescent="0.35">
      <c r="A1426" s="1" t="s">
        <v>1438</v>
      </c>
      <c r="B1426" t="str">
        <f>HYPERLINK("https://www.suredividend.com/sure-analysis-research-database/","Shoals Technologies Group Inc")</f>
        <v>Shoals Technologies Group Inc</v>
      </c>
      <c r="C1426" t="s">
        <v>1798</v>
      </c>
      <c r="D1426">
        <v>16.07</v>
      </c>
      <c r="E1426">
        <v>0</v>
      </c>
      <c r="F1426" t="s">
        <v>1798</v>
      </c>
      <c r="G1426" t="s">
        <v>1798</v>
      </c>
      <c r="H1426">
        <v>0</v>
      </c>
      <c r="I1426">
        <v>2730.9277809999999</v>
      </c>
      <c r="J1426">
        <v>17.757627535584469</v>
      </c>
      <c r="K1426">
        <v>0</v>
      </c>
      <c r="L1426">
        <v>1.5507946394255521</v>
      </c>
      <c r="M1426">
        <v>32.43</v>
      </c>
      <c r="N1426">
        <v>14.81</v>
      </c>
    </row>
    <row r="1427" spans="1:14" x14ac:dyDescent="0.35">
      <c r="A1427" s="1" t="s">
        <v>1439</v>
      </c>
      <c r="B1427" t="str">
        <f>HYPERLINK("https://www.suredividend.com/sure-analysis-research-database/","Sunstone Hotel Investors Inc")</f>
        <v>Sunstone Hotel Investors Inc</v>
      </c>
      <c r="C1427" t="s">
        <v>1800</v>
      </c>
      <c r="D1427">
        <v>9.34</v>
      </c>
      <c r="E1427">
        <v>2.3351517019705999E-2</v>
      </c>
      <c r="F1427" t="s">
        <v>1798</v>
      </c>
      <c r="G1427" t="s">
        <v>1798</v>
      </c>
      <c r="H1427">
        <v>0.21810316896405699</v>
      </c>
      <c r="I1427">
        <v>1935.105014</v>
      </c>
      <c r="J1427">
        <v>22.122312187074868</v>
      </c>
      <c r="K1427">
        <v>0.52003616825001675</v>
      </c>
      <c r="L1427">
        <v>1.1320068509188861</v>
      </c>
      <c r="M1427">
        <v>11.17</v>
      </c>
      <c r="N1427">
        <v>8.4499999999999993</v>
      </c>
    </row>
    <row r="1428" spans="1:14" x14ac:dyDescent="0.35">
      <c r="A1428" s="1" t="s">
        <v>1440</v>
      </c>
      <c r="B1428" t="str">
        <f>HYPERLINK("https://www.suredividend.com/sure-analysis-research-database/","Steven Madden Ltd.")</f>
        <v>Steven Madden Ltd.</v>
      </c>
      <c r="C1428" t="s">
        <v>1802</v>
      </c>
      <c r="D1428">
        <v>31.96</v>
      </c>
      <c r="E1428">
        <v>2.5821038404452001E-2</v>
      </c>
      <c r="F1428" t="s">
        <v>1798</v>
      </c>
      <c r="G1428" t="s">
        <v>1798</v>
      </c>
      <c r="H1428">
        <v>0.82524038740628702</v>
      </c>
      <c r="I1428">
        <v>2407.0529860000001</v>
      </c>
      <c r="J1428">
        <v>14.6461632158786</v>
      </c>
      <c r="K1428">
        <v>0.38205573491031802</v>
      </c>
      <c r="L1428">
        <v>1.2112951884746861</v>
      </c>
      <c r="M1428">
        <v>36.67</v>
      </c>
      <c r="N1428">
        <v>26.51</v>
      </c>
    </row>
    <row r="1429" spans="1:14" x14ac:dyDescent="0.35">
      <c r="A1429" s="1" t="s">
        <v>1441</v>
      </c>
      <c r="B1429" t="str">
        <f>HYPERLINK("https://www.suredividend.com/sure-analysis-research-database/","Shyft Group Inc (The)")</f>
        <v>Shyft Group Inc (The)</v>
      </c>
      <c r="C1429" t="s">
        <v>1798</v>
      </c>
      <c r="D1429">
        <v>13.99</v>
      </c>
      <c r="E1429">
        <v>1.4224412550863E-2</v>
      </c>
      <c r="F1429" t="s">
        <v>1798</v>
      </c>
      <c r="G1429" t="s">
        <v>1798</v>
      </c>
      <c r="H1429">
        <v>0.19899953158657599</v>
      </c>
      <c r="I1429">
        <v>489.10564900000003</v>
      </c>
      <c r="J1429">
        <v>11.779433772457979</v>
      </c>
      <c r="K1429">
        <v>0.17008506973211629</v>
      </c>
      <c r="L1429">
        <v>1.4814066483515911</v>
      </c>
      <c r="M1429">
        <v>33.79</v>
      </c>
      <c r="N1429">
        <v>12.87</v>
      </c>
    </row>
    <row r="1430" spans="1:14" x14ac:dyDescent="0.35">
      <c r="A1430" s="1" t="s">
        <v>1442</v>
      </c>
      <c r="B1430" t="str">
        <f>HYPERLINK("https://www.suredividend.com/sure-analysis-research-database/","SI-BONE Inc")</f>
        <v>SI-BONE Inc</v>
      </c>
      <c r="C1430" t="s">
        <v>1803</v>
      </c>
      <c r="D1430">
        <v>17.14</v>
      </c>
      <c r="E1430">
        <v>0</v>
      </c>
      <c r="F1430" t="s">
        <v>1798</v>
      </c>
      <c r="G1430" t="s">
        <v>1798</v>
      </c>
      <c r="H1430">
        <v>0</v>
      </c>
      <c r="I1430">
        <v>663.08311300000003</v>
      </c>
      <c r="J1430" t="s">
        <v>1798</v>
      </c>
      <c r="K1430">
        <v>0</v>
      </c>
      <c r="L1430">
        <v>1.100821774427126</v>
      </c>
      <c r="M1430">
        <v>29.51</v>
      </c>
      <c r="N1430">
        <v>11.14</v>
      </c>
    </row>
    <row r="1431" spans="1:14" x14ac:dyDescent="0.35">
      <c r="A1431" s="1" t="s">
        <v>1443</v>
      </c>
      <c r="B1431" t="str">
        <f>HYPERLINK("https://www.suredividend.com/sure-analysis-research-database/","Signet Jewelers Ltd")</f>
        <v>Signet Jewelers Ltd</v>
      </c>
      <c r="C1431" t="s">
        <v>1802</v>
      </c>
      <c r="D1431">
        <v>69.260000000000005</v>
      </c>
      <c r="E1431">
        <v>1.2364382214790999E-2</v>
      </c>
      <c r="F1431" t="s">
        <v>1798</v>
      </c>
      <c r="G1431" t="s">
        <v>1798</v>
      </c>
      <c r="H1431">
        <v>0.85635711219644006</v>
      </c>
      <c r="I1431">
        <v>3108.81655</v>
      </c>
      <c r="J1431">
        <v>6.8657609314487633</v>
      </c>
      <c r="K1431">
        <v>0.10895128653898729</v>
      </c>
      <c r="L1431">
        <v>1.3426461407209389</v>
      </c>
      <c r="M1431">
        <v>83.36</v>
      </c>
      <c r="N1431">
        <v>53.82</v>
      </c>
    </row>
    <row r="1432" spans="1:14" x14ac:dyDescent="0.35">
      <c r="A1432" s="1" t="s">
        <v>1444</v>
      </c>
      <c r="B1432" t="str">
        <f>HYPERLINK("https://www.suredividend.com/sure-analysis-research-database/","SIGA Technologies Inc")</f>
        <v>SIGA Technologies Inc</v>
      </c>
      <c r="C1432" t="s">
        <v>1803</v>
      </c>
      <c r="D1432">
        <v>5.44</v>
      </c>
      <c r="E1432">
        <v>0</v>
      </c>
      <c r="F1432" t="s">
        <v>1798</v>
      </c>
      <c r="G1432" t="s">
        <v>1798</v>
      </c>
      <c r="H1432">
        <v>0</v>
      </c>
      <c r="I1432">
        <v>386.691215</v>
      </c>
      <c r="J1432">
        <v>13.59909872396269</v>
      </c>
      <c r="K1432">
        <v>0</v>
      </c>
      <c r="L1432">
        <v>1.212413752130622</v>
      </c>
      <c r="M1432">
        <v>8.7100000000000009</v>
      </c>
      <c r="N1432">
        <v>4.22</v>
      </c>
    </row>
    <row r="1433" spans="1:14" x14ac:dyDescent="0.35">
      <c r="A1433" s="1" t="s">
        <v>1445</v>
      </c>
      <c r="B1433" t="str">
        <f>HYPERLINK("https://www.suredividend.com/sure-analysis-research-database/","Selective Insurance Group Inc.")</f>
        <v>Selective Insurance Group Inc.</v>
      </c>
      <c r="C1433" t="s">
        <v>1801</v>
      </c>
      <c r="D1433">
        <v>102.53</v>
      </c>
      <c r="E1433">
        <v>1.1625802109768E-2</v>
      </c>
      <c r="F1433">
        <v>7.1428571428571397E-2</v>
      </c>
      <c r="G1433">
        <v>8.4471771197698553E-2</v>
      </c>
      <c r="H1433">
        <v>1.1919934903145559</v>
      </c>
      <c r="I1433">
        <v>6209.9197459999996</v>
      </c>
      <c r="J1433">
        <v>22.91331109254736</v>
      </c>
      <c r="K1433">
        <v>0.26786370568866419</v>
      </c>
      <c r="L1433">
        <v>0.50739591029249109</v>
      </c>
      <c r="M1433">
        <v>106.54</v>
      </c>
      <c r="N1433">
        <v>83.47</v>
      </c>
    </row>
    <row r="1434" spans="1:14" x14ac:dyDescent="0.35">
      <c r="A1434" s="1" t="s">
        <v>1446</v>
      </c>
      <c r="B1434" t="str">
        <f>HYPERLINK("https://www.suredividend.com/sure-analysis-research-database/","Silk Road Medical Inc")</f>
        <v>Silk Road Medical Inc</v>
      </c>
      <c r="C1434" t="s">
        <v>1803</v>
      </c>
      <c r="D1434">
        <v>7.63</v>
      </c>
      <c r="E1434">
        <v>0</v>
      </c>
      <c r="F1434" t="s">
        <v>1798</v>
      </c>
      <c r="G1434" t="s">
        <v>1798</v>
      </c>
      <c r="H1434">
        <v>0</v>
      </c>
      <c r="I1434">
        <v>296.29572899999999</v>
      </c>
      <c r="J1434" t="s">
        <v>1798</v>
      </c>
      <c r="K1434">
        <v>0</v>
      </c>
      <c r="L1434">
        <v>0.69503975322693601</v>
      </c>
      <c r="M1434">
        <v>58.04</v>
      </c>
      <c r="N1434">
        <v>6.36</v>
      </c>
    </row>
    <row r="1435" spans="1:14" x14ac:dyDescent="0.35">
      <c r="A1435" s="1" t="s">
        <v>1447</v>
      </c>
      <c r="B1435" t="str">
        <f>HYPERLINK("https://www.suredividend.com/sure-analysis-research-database/","SITE Centers Corp")</f>
        <v>SITE Centers Corp</v>
      </c>
      <c r="C1435" t="s">
        <v>1800</v>
      </c>
      <c r="D1435">
        <v>11.9</v>
      </c>
      <c r="E1435">
        <v>4.3033499612804997E-2</v>
      </c>
      <c r="F1435" t="s">
        <v>1798</v>
      </c>
      <c r="G1435" t="s">
        <v>1798</v>
      </c>
      <c r="H1435">
        <v>0.51209864539238303</v>
      </c>
      <c r="I1435">
        <v>2490.3585290000001</v>
      </c>
      <c r="J1435">
        <v>24.0742281347576</v>
      </c>
      <c r="K1435">
        <v>1.048523024963929</v>
      </c>
      <c r="L1435">
        <v>1.089373315514095</v>
      </c>
      <c r="M1435">
        <v>14.47</v>
      </c>
      <c r="N1435">
        <v>10.68</v>
      </c>
    </row>
    <row r="1436" spans="1:14" x14ac:dyDescent="0.35">
      <c r="A1436" s="1" t="s">
        <v>1448</v>
      </c>
      <c r="B1436" t="str">
        <f>HYPERLINK("https://www.suredividend.com/sure-analysis-research-database/","SiTime Corp")</f>
        <v>SiTime Corp</v>
      </c>
      <c r="C1436" t="s">
        <v>1804</v>
      </c>
      <c r="D1436">
        <v>113.05</v>
      </c>
      <c r="E1436">
        <v>0</v>
      </c>
      <c r="F1436" t="s">
        <v>1798</v>
      </c>
      <c r="G1436" t="s">
        <v>1798</v>
      </c>
      <c r="H1436">
        <v>0</v>
      </c>
      <c r="I1436">
        <v>2510.8404999999998</v>
      </c>
      <c r="J1436" t="s">
        <v>1798</v>
      </c>
      <c r="K1436">
        <v>0</v>
      </c>
      <c r="L1436">
        <v>2.4065064636207478</v>
      </c>
      <c r="M1436">
        <v>142.88</v>
      </c>
      <c r="N1436">
        <v>74.7</v>
      </c>
    </row>
    <row r="1437" spans="1:14" x14ac:dyDescent="0.35">
      <c r="A1437" s="1" t="s">
        <v>1449</v>
      </c>
      <c r="B1437" t="str">
        <f>HYPERLINK("https://www.suredividend.com/sure-analysis-SJW/","SJW Group")</f>
        <v>SJW Group</v>
      </c>
      <c r="C1437" t="s">
        <v>1806</v>
      </c>
      <c r="D1437">
        <v>59.1</v>
      </c>
      <c r="E1437">
        <v>2.5719120135363791E-2</v>
      </c>
      <c r="F1437">
        <v>5.555555555555558E-2</v>
      </c>
      <c r="G1437">
        <v>6.2980048262344379E-2</v>
      </c>
      <c r="H1437">
        <v>1.4884758199764569</v>
      </c>
      <c r="I1437">
        <v>1877.54394</v>
      </c>
      <c r="J1437">
        <v>21.251445294230841</v>
      </c>
      <c r="K1437">
        <v>0.52044609090085914</v>
      </c>
      <c r="L1437">
        <v>0.48865655096999899</v>
      </c>
      <c r="M1437">
        <v>82.61</v>
      </c>
      <c r="N1437">
        <v>56.96</v>
      </c>
    </row>
    <row r="1438" spans="1:14" x14ac:dyDescent="0.35">
      <c r="A1438" s="1" t="s">
        <v>1450</v>
      </c>
      <c r="B1438" t="str">
        <f>HYPERLINK("https://www.suredividend.com/sure-analysis-research-database/","Skillsoft Corp.")</f>
        <v>Skillsoft Corp.</v>
      </c>
      <c r="C1438" t="s">
        <v>1798</v>
      </c>
      <c r="D1438">
        <v>17.14</v>
      </c>
      <c r="E1438">
        <v>0</v>
      </c>
      <c r="F1438" t="s">
        <v>1798</v>
      </c>
      <c r="G1438" t="s">
        <v>1798</v>
      </c>
      <c r="H1438">
        <v>0</v>
      </c>
      <c r="I1438">
        <v>2757.1849470000002</v>
      </c>
      <c r="J1438">
        <v>0</v>
      </c>
      <c r="K1438" t="s">
        <v>1798</v>
      </c>
      <c r="L1438">
        <v>1.7082257261716181</v>
      </c>
      <c r="M1438">
        <v>43.4</v>
      </c>
      <c r="N1438">
        <v>13.85</v>
      </c>
    </row>
    <row r="1439" spans="1:14" x14ac:dyDescent="0.35">
      <c r="A1439" s="1" t="s">
        <v>1451</v>
      </c>
      <c r="B1439" t="str">
        <f>HYPERLINK("https://www.suredividend.com/sure-analysis-research-database/","Beauty Health Company (The)")</f>
        <v>Beauty Health Company (The)</v>
      </c>
      <c r="C1439" t="s">
        <v>1798</v>
      </c>
      <c r="D1439">
        <v>5.08</v>
      </c>
      <c r="E1439">
        <v>0</v>
      </c>
      <c r="F1439" t="s">
        <v>1798</v>
      </c>
      <c r="G1439" t="s">
        <v>1798</v>
      </c>
      <c r="H1439">
        <v>0</v>
      </c>
      <c r="I1439">
        <v>675.05969600000003</v>
      </c>
      <c r="J1439">
        <v>0</v>
      </c>
      <c r="K1439" t="s">
        <v>1798</v>
      </c>
      <c r="L1439">
        <v>1.7988162939577139</v>
      </c>
      <c r="M1439">
        <v>13.9</v>
      </c>
      <c r="N1439">
        <v>4.9800000000000004</v>
      </c>
    </row>
    <row r="1440" spans="1:14" x14ac:dyDescent="0.35">
      <c r="A1440" s="1" t="s">
        <v>1452</v>
      </c>
      <c r="B1440" t="str">
        <f>HYPERLINK("https://www.suredividend.com/sure-analysis-research-database/","Skillz Inc")</f>
        <v>Skillz Inc</v>
      </c>
      <c r="C1440" t="s">
        <v>1798</v>
      </c>
      <c r="D1440">
        <v>4.2</v>
      </c>
      <c r="E1440">
        <v>0</v>
      </c>
      <c r="F1440" t="s">
        <v>1798</v>
      </c>
      <c r="G1440" t="s">
        <v>1798</v>
      </c>
      <c r="H1440">
        <v>0</v>
      </c>
      <c r="I1440">
        <v>74.517348999999996</v>
      </c>
      <c r="J1440" t="s">
        <v>1798</v>
      </c>
      <c r="K1440">
        <v>0</v>
      </c>
      <c r="L1440">
        <v>3.4442340702258409</v>
      </c>
      <c r="M1440">
        <v>24.8</v>
      </c>
      <c r="N1440">
        <v>3.96</v>
      </c>
    </row>
    <row r="1441" spans="1:14" x14ac:dyDescent="0.35">
      <c r="A1441" s="1" t="s">
        <v>1453</v>
      </c>
      <c r="B1441" t="str">
        <f>HYPERLINK("https://www.suredividend.com/sure-analysis-SKT/","Tanger Factory Outlet Centers, Inc.")</f>
        <v>Tanger Factory Outlet Centers, Inc.</v>
      </c>
      <c r="C1441" t="s">
        <v>1800</v>
      </c>
      <c r="D1441">
        <v>23.03</v>
      </c>
      <c r="E1441">
        <v>3.8211029092488059E-2</v>
      </c>
      <c r="F1441" t="s">
        <v>1798</v>
      </c>
      <c r="G1441" t="s">
        <v>1798</v>
      </c>
      <c r="H1441">
        <v>0.91447116169647302</v>
      </c>
      <c r="I1441">
        <v>2422.3017559999998</v>
      </c>
      <c r="J1441">
        <v>27.372187765184471</v>
      </c>
      <c r="K1441">
        <v>1.0956999301419521</v>
      </c>
      <c r="L1441">
        <v>1.077575232608351</v>
      </c>
      <c r="M1441">
        <v>25.23</v>
      </c>
      <c r="N1441">
        <v>15.37</v>
      </c>
    </row>
    <row r="1442" spans="1:14" x14ac:dyDescent="0.35">
      <c r="A1442" s="1" t="s">
        <v>1454</v>
      </c>
      <c r="B1442" t="str">
        <f>HYPERLINK("https://www.suredividend.com/sure-analysis-research-database/","Skyward Specialty Insurance Group Inc")</f>
        <v>Skyward Specialty Insurance Group Inc</v>
      </c>
      <c r="C1442" t="s">
        <v>1798</v>
      </c>
      <c r="D1442">
        <v>29.16</v>
      </c>
      <c r="E1442">
        <v>0</v>
      </c>
      <c r="F1442" t="s">
        <v>1798</v>
      </c>
      <c r="G1442" t="s">
        <v>1798</v>
      </c>
      <c r="H1442">
        <v>0</v>
      </c>
      <c r="I1442">
        <v>1098.575677</v>
      </c>
      <c r="J1442">
        <v>0</v>
      </c>
      <c r="K1442" t="s">
        <v>1798</v>
      </c>
      <c r="L1442">
        <v>0.47978440072375611</v>
      </c>
      <c r="M1442">
        <v>29.59</v>
      </c>
      <c r="N1442">
        <v>17.5</v>
      </c>
    </row>
    <row r="1443" spans="1:14" x14ac:dyDescent="0.35">
      <c r="A1443" s="1" t="s">
        <v>1455</v>
      </c>
      <c r="B1443" t="str">
        <f>HYPERLINK("https://www.suredividend.com/sure-analysis-research-database/","Skyline Champion Corp")</f>
        <v>Skyline Champion Corp</v>
      </c>
      <c r="C1443" t="s">
        <v>1802</v>
      </c>
      <c r="D1443">
        <v>61.2</v>
      </c>
      <c r="E1443">
        <v>0</v>
      </c>
      <c r="F1443" t="s">
        <v>1798</v>
      </c>
      <c r="G1443" t="s">
        <v>1798</v>
      </c>
      <c r="H1443">
        <v>0</v>
      </c>
      <c r="I1443">
        <v>3496.5635900000002</v>
      </c>
      <c r="J1443">
        <v>10.4089175708502</v>
      </c>
      <c r="K1443">
        <v>0</v>
      </c>
      <c r="L1443">
        <v>1.762153509447302</v>
      </c>
      <c r="M1443">
        <v>76.819999999999993</v>
      </c>
      <c r="N1443">
        <v>44.68</v>
      </c>
    </row>
    <row r="1444" spans="1:14" x14ac:dyDescent="0.35">
      <c r="A1444" s="1" t="s">
        <v>1456</v>
      </c>
      <c r="B1444" t="str">
        <f>HYPERLINK("https://www.suredividend.com/sure-analysis-research-database/","SkyWater Technology Inc")</f>
        <v>SkyWater Technology Inc</v>
      </c>
      <c r="C1444" t="s">
        <v>1798</v>
      </c>
      <c r="D1444">
        <v>5.59</v>
      </c>
      <c r="E1444">
        <v>0</v>
      </c>
      <c r="F1444" t="s">
        <v>1798</v>
      </c>
      <c r="G1444" t="s">
        <v>1798</v>
      </c>
      <c r="H1444">
        <v>0</v>
      </c>
      <c r="I1444">
        <v>258.725056</v>
      </c>
      <c r="J1444" t="s">
        <v>1798</v>
      </c>
      <c r="K1444">
        <v>0</v>
      </c>
      <c r="L1444">
        <v>1.9689187165536071</v>
      </c>
      <c r="M1444">
        <v>15.99</v>
      </c>
      <c r="N1444">
        <v>5.3</v>
      </c>
    </row>
    <row r="1445" spans="1:14" x14ac:dyDescent="0.35">
      <c r="A1445" s="1" t="s">
        <v>1457</v>
      </c>
      <c r="B1445" t="str">
        <f>HYPERLINK("https://www.suredividend.com/sure-analysis-research-database/","Skywest Inc.")</f>
        <v>Skywest Inc.</v>
      </c>
      <c r="C1445" t="s">
        <v>1799</v>
      </c>
      <c r="D1445">
        <v>39.67</v>
      </c>
      <c r="E1445">
        <v>0</v>
      </c>
      <c r="F1445" t="s">
        <v>1798</v>
      </c>
      <c r="G1445" t="s">
        <v>1798</v>
      </c>
      <c r="H1445">
        <v>0</v>
      </c>
      <c r="I1445">
        <v>1668.6311169999999</v>
      </c>
      <c r="J1445" t="s">
        <v>1798</v>
      </c>
      <c r="K1445">
        <v>0</v>
      </c>
      <c r="L1445">
        <v>1.3327767589187569</v>
      </c>
      <c r="M1445">
        <v>46.07</v>
      </c>
      <c r="N1445">
        <v>14.76</v>
      </c>
    </row>
    <row r="1446" spans="1:14" x14ac:dyDescent="0.35">
      <c r="A1446" s="1" t="s">
        <v>1458</v>
      </c>
      <c r="B1446" t="str">
        <f>HYPERLINK("https://www.suredividend.com/sure-analysis-research-database/","Silicon Laboratories Inc")</f>
        <v>Silicon Laboratories Inc</v>
      </c>
      <c r="C1446" t="s">
        <v>1804</v>
      </c>
      <c r="D1446">
        <v>109.31</v>
      </c>
      <c r="E1446">
        <v>0</v>
      </c>
      <c r="F1446" t="s">
        <v>1798</v>
      </c>
      <c r="G1446" t="s">
        <v>1798</v>
      </c>
      <c r="H1446">
        <v>0</v>
      </c>
      <c r="I1446">
        <v>3483.093629</v>
      </c>
      <c r="J1446">
        <v>48.862893380469387</v>
      </c>
      <c r="K1446">
        <v>0</v>
      </c>
      <c r="L1446">
        <v>1.7124981803950721</v>
      </c>
      <c r="M1446">
        <v>194.68</v>
      </c>
      <c r="N1446">
        <v>108.43</v>
      </c>
    </row>
    <row r="1447" spans="1:14" x14ac:dyDescent="0.35">
      <c r="A1447" s="1" t="s">
        <v>1459</v>
      </c>
      <c r="B1447" t="str">
        <f>HYPERLINK("https://www.suredividend.com/sure-analysis-research-database/","U.S. Silica Holdings Inc")</f>
        <v>U.S. Silica Holdings Inc</v>
      </c>
      <c r="C1447" t="s">
        <v>1808</v>
      </c>
      <c r="D1447">
        <v>13.52</v>
      </c>
      <c r="E1447">
        <v>0</v>
      </c>
      <c r="F1447" t="s">
        <v>1798</v>
      </c>
      <c r="G1447" t="s">
        <v>1798</v>
      </c>
      <c r="H1447">
        <v>0</v>
      </c>
      <c r="I1447">
        <v>1042.618406</v>
      </c>
      <c r="J1447">
        <v>6.7453703607473727</v>
      </c>
      <c r="K1447">
        <v>0</v>
      </c>
      <c r="L1447">
        <v>1.1439521367670471</v>
      </c>
      <c r="M1447">
        <v>14.9</v>
      </c>
      <c r="N1447">
        <v>10.38</v>
      </c>
    </row>
    <row r="1448" spans="1:14" x14ac:dyDescent="0.35">
      <c r="A1448" s="1" t="s">
        <v>1460</v>
      </c>
      <c r="B1448" t="str">
        <f>HYPERLINK("https://www.suredividend.com/sure-analysis-research-database/","Solid Power Inc")</f>
        <v>Solid Power Inc</v>
      </c>
      <c r="C1448" t="s">
        <v>1798</v>
      </c>
      <c r="D1448">
        <v>1.76</v>
      </c>
      <c r="E1448">
        <v>0</v>
      </c>
      <c r="F1448" t="s">
        <v>1798</v>
      </c>
      <c r="G1448" t="s">
        <v>1798</v>
      </c>
      <c r="H1448">
        <v>0</v>
      </c>
      <c r="I1448">
        <v>313.96717999999998</v>
      </c>
      <c r="J1448" t="s">
        <v>1798</v>
      </c>
      <c r="K1448">
        <v>0</v>
      </c>
      <c r="L1448">
        <v>1.477179647101625</v>
      </c>
      <c r="M1448">
        <v>6.05</v>
      </c>
      <c r="N1448">
        <v>1.74</v>
      </c>
    </row>
    <row r="1449" spans="1:14" x14ac:dyDescent="0.35">
      <c r="A1449" s="1" t="s">
        <v>1461</v>
      </c>
      <c r="B1449" t="str">
        <f>HYPERLINK("https://www.suredividend.com/sure-analysis-research-database/","SomaLogic Inc")</f>
        <v>SomaLogic Inc</v>
      </c>
      <c r="C1449" t="s">
        <v>1798</v>
      </c>
      <c r="D1449">
        <v>1.77</v>
      </c>
      <c r="E1449">
        <v>0</v>
      </c>
      <c r="F1449" t="s">
        <v>1798</v>
      </c>
      <c r="G1449" t="s">
        <v>1798</v>
      </c>
      <c r="H1449">
        <v>0</v>
      </c>
      <c r="I1449">
        <v>332.88663600000001</v>
      </c>
      <c r="J1449" t="s">
        <v>1798</v>
      </c>
      <c r="K1449">
        <v>0</v>
      </c>
      <c r="L1449">
        <v>1.476102819073605</v>
      </c>
      <c r="M1449">
        <v>3.79</v>
      </c>
      <c r="N1449">
        <v>1.73</v>
      </c>
    </row>
    <row r="1450" spans="1:14" x14ac:dyDescent="0.35">
      <c r="A1450" s="1" t="s">
        <v>1462</v>
      </c>
      <c r="B1450" t="str">
        <f>HYPERLINK("https://www.suredividend.com/sure-analysis-research-database/","Simulations Plus Inc.")</f>
        <v>Simulations Plus Inc.</v>
      </c>
      <c r="C1450" t="s">
        <v>1803</v>
      </c>
      <c r="D1450">
        <v>40.65</v>
      </c>
      <c r="E1450">
        <v>5.8829204921180007E-3</v>
      </c>
      <c r="F1450">
        <v>0</v>
      </c>
      <c r="G1450">
        <v>0</v>
      </c>
      <c r="H1450">
        <v>0.23914071800461001</v>
      </c>
      <c r="I1450">
        <v>810.02519199999995</v>
      </c>
      <c r="J1450">
        <v>77.977011200423561</v>
      </c>
      <c r="K1450">
        <v>0.47448555159644851</v>
      </c>
      <c r="L1450">
        <v>1.130753868598273</v>
      </c>
      <c r="M1450">
        <v>52.69</v>
      </c>
      <c r="N1450">
        <v>32.36</v>
      </c>
    </row>
    <row r="1451" spans="1:14" x14ac:dyDescent="0.35">
      <c r="A1451" s="1" t="s">
        <v>1463</v>
      </c>
      <c r="B1451" t="str">
        <f>HYPERLINK("https://www.suredividend.com/sure-analysis-research-database/","SelectQuote Inc")</f>
        <v>SelectQuote Inc</v>
      </c>
      <c r="C1451" t="s">
        <v>1798</v>
      </c>
      <c r="D1451">
        <v>1.24</v>
      </c>
      <c r="E1451">
        <v>0</v>
      </c>
      <c r="F1451" t="s">
        <v>1798</v>
      </c>
      <c r="G1451" t="s">
        <v>1798</v>
      </c>
      <c r="H1451">
        <v>0</v>
      </c>
      <c r="I1451">
        <v>207.97851600000001</v>
      </c>
      <c r="J1451" t="s">
        <v>1798</v>
      </c>
      <c r="K1451">
        <v>0</v>
      </c>
      <c r="L1451">
        <v>3.5769644820777091</v>
      </c>
      <c r="M1451">
        <v>2.94</v>
      </c>
      <c r="N1451">
        <v>0.51</v>
      </c>
    </row>
    <row r="1452" spans="1:14" x14ac:dyDescent="0.35">
      <c r="A1452" s="1" t="s">
        <v>1464</v>
      </c>
      <c r="B1452" t="str">
        <f>HYPERLINK("https://www.suredividend.com/sure-analysis-research-database/","Sylvamo Corp")</f>
        <v>Sylvamo Corp</v>
      </c>
      <c r="C1452" t="s">
        <v>1798</v>
      </c>
      <c r="D1452">
        <v>43.21</v>
      </c>
      <c r="E1452">
        <v>2.4079602341072998E-2</v>
      </c>
      <c r="F1452" t="s">
        <v>1798</v>
      </c>
      <c r="G1452" t="s">
        <v>1798</v>
      </c>
      <c r="H1452">
        <v>1.040479617157791</v>
      </c>
      <c r="I1452">
        <v>1808.9671189999999</v>
      </c>
      <c r="J1452">
        <v>6.0907983807407406</v>
      </c>
      <c r="K1452">
        <v>0.1530117084055575</v>
      </c>
      <c r="L1452">
        <v>0.88232626807066206</v>
      </c>
      <c r="M1452">
        <v>56.03</v>
      </c>
      <c r="N1452">
        <v>37.33</v>
      </c>
    </row>
    <row r="1453" spans="1:14" x14ac:dyDescent="0.35">
      <c r="A1453" s="1" t="s">
        <v>1465</v>
      </c>
      <c r="B1453" t="str">
        <f>HYPERLINK("https://www.suredividend.com/sure-analysis-research-database/","SM Energy Co")</f>
        <v>SM Energy Co</v>
      </c>
      <c r="C1453" t="s">
        <v>1808</v>
      </c>
      <c r="D1453">
        <v>41.98</v>
      </c>
      <c r="E1453">
        <v>1.4193517235583999E-2</v>
      </c>
      <c r="F1453" t="s">
        <v>1798</v>
      </c>
      <c r="G1453" t="s">
        <v>1798</v>
      </c>
      <c r="H1453">
        <v>0.59584385354983005</v>
      </c>
      <c r="I1453">
        <v>4983.0259999999998</v>
      </c>
      <c r="J1453">
        <v>4.5794441651679163</v>
      </c>
      <c r="K1453">
        <v>6.7099533057413285E-2</v>
      </c>
      <c r="L1453">
        <v>1.304232155070719</v>
      </c>
      <c r="M1453">
        <v>47.87</v>
      </c>
      <c r="N1453">
        <v>24.43</v>
      </c>
    </row>
    <row r="1454" spans="1:14" x14ac:dyDescent="0.35">
      <c r="A1454" s="1" t="s">
        <v>1466</v>
      </c>
      <c r="B1454" t="str">
        <f>HYPERLINK("https://www.suredividend.com/sure-analysis-research-database/","Southern Missouri Bancorp, Inc.")</f>
        <v>Southern Missouri Bancorp, Inc.</v>
      </c>
      <c r="C1454" t="s">
        <v>1801</v>
      </c>
      <c r="D1454">
        <v>40.47</v>
      </c>
      <c r="E1454">
        <v>2.0523482297212001E-2</v>
      </c>
      <c r="F1454">
        <v>0</v>
      </c>
      <c r="G1454">
        <v>0.10066508085209661</v>
      </c>
      <c r="H1454">
        <v>0.83058532856819411</v>
      </c>
      <c r="I1454">
        <v>458.78661699999998</v>
      </c>
      <c r="J1454">
        <v>0</v>
      </c>
      <c r="K1454" t="s">
        <v>1798</v>
      </c>
      <c r="L1454">
        <v>1.0210168350242861</v>
      </c>
      <c r="M1454">
        <v>54.44</v>
      </c>
      <c r="N1454">
        <v>29.8</v>
      </c>
    </row>
    <row r="1455" spans="1:14" x14ac:dyDescent="0.35">
      <c r="A1455" s="1" t="s">
        <v>1467</v>
      </c>
      <c r="B1455" t="str">
        <f>HYPERLINK("https://www.suredividend.com/sure-analysis-research-database/","SmartFinancial Inc")</f>
        <v>SmartFinancial Inc</v>
      </c>
      <c r="C1455" t="s">
        <v>1801</v>
      </c>
      <c r="D1455">
        <v>20.75</v>
      </c>
      <c r="E1455">
        <v>1.4822435660652999E-2</v>
      </c>
      <c r="F1455" t="s">
        <v>1798</v>
      </c>
      <c r="G1455" t="s">
        <v>1798</v>
      </c>
      <c r="H1455">
        <v>0.307565539958567</v>
      </c>
      <c r="I1455">
        <v>352.83490899999998</v>
      </c>
      <c r="J1455">
        <v>0</v>
      </c>
      <c r="K1455" t="s">
        <v>1798</v>
      </c>
      <c r="L1455">
        <v>0.93662668578631803</v>
      </c>
      <c r="M1455">
        <v>30.1</v>
      </c>
      <c r="N1455">
        <v>18.670000000000002</v>
      </c>
    </row>
    <row r="1456" spans="1:14" x14ac:dyDescent="0.35">
      <c r="A1456" s="1" t="s">
        <v>1468</v>
      </c>
      <c r="B1456" t="str">
        <f>HYPERLINK("https://www.suredividend.com/sure-analysis-research-database/","Super Micro Computer Inc")</f>
        <v>Super Micro Computer Inc</v>
      </c>
      <c r="C1456" t="s">
        <v>1804</v>
      </c>
      <c r="D1456">
        <v>285.2</v>
      </c>
      <c r="E1456">
        <v>0</v>
      </c>
      <c r="F1456" t="s">
        <v>1798</v>
      </c>
      <c r="G1456" t="s">
        <v>1798</v>
      </c>
      <c r="H1456">
        <v>0</v>
      </c>
      <c r="I1456">
        <v>15087.08</v>
      </c>
      <c r="J1456">
        <v>23.573636167613021</v>
      </c>
      <c r="K1456">
        <v>0</v>
      </c>
      <c r="L1456">
        <v>1.3704372135193501</v>
      </c>
      <c r="M1456">
        <v>357</v>
      </c>
      <c r="N1456">
        <v>54.44</v>
      </c>
    </row>
    <row r="1457" spans="1:14" x14ac:dyDescent="0.35">
      <c r="A1457" s="1" t="s">
        <v>1469</v>
      </c>
      <c r="B1457" t="str">
        <f>HYPERLINK("https://www.suredividend.com/sure-analysis-research-database/","Summit Financial Group Inc")</f>
        <v>Summit Financial Group Inc</v>
      </c>
      <c r="C1457" t="s">
        <v>1801</v>
      </c>
      <c r="D1457">
        <v>22.65</v>
      </c>
      <c r="E1457">
        <v>3.5317339799345003E-2</v>
      </c>
      <c r="F1457">
        <v>9.9999999999999867E-2</v>
      </c>
      <c r="G1457">
        <v>9.4608784223157549E-2</v>
      </c>
      <c r="H1457">
        <v>0.79993774645518301</v>
      </c>
      <c r="I1457">
        <v>332.32413000000003</v>
      </c>
      <c r="J1457">
        <v>0</v>
      </c>
      <c r="K1457" t="s">
        <v>1798</v>
      </c>
      <c r="L1457">
        <v>0.72443739823087105</v>
      </c>
      <c r="M1457">
        <v>28.15</v>
      </c>
      <c r="N1457">
        <v>16.440000000000001</v>
      </c>
    </row>
    <row r="1458" spans="1:14" x14ac:dyDescent="0.35">
      <c r="A1458" s="1" t="s">
        <v>1470</v>
      </c>
      <c r="B1458" t="str">
        <f>HYPERLINK("https://www.suredividend.com/sure-analysis-research-database/","Standard Motor Products, Inc.")</f>
        <v>Standard Motor Products, Inc.</v>
      </c>
      <c r="C1458" t="s">
        <v>1802</v>
      </c>
      <c r="D1458">
        <v>32.11</v>
      </c>
      <c r="E1458">
        <v>3.5098927228895002E-2</v>
      </c>
      <c r="F1458" t="s">
        <v>1798</v>
      </c>
      <c r="G1458" t="s">
        <v>1798</v>
      </c>
      <c r="H1458">
        <v>1.1270265533198389</v>
      </c>
      <c r="I1458">
        <v>697.62080000000003</v>
      </c>
      <c r="J1458">
        <v>18.438991393191309</v>
      </c>
      <c r="K1458">
        <v>0.65524799611618545</v>
      </c>
      <c r="L1458">
        <v>0.93151987119158208</v>
      </c>
      <c r="M1458">
        <v>41.46</v>
      </c>
      <c r="N1458">
        <v>31.91</v>
      </c>
    </row>
    <row r="1459" spans="1:14" x14ac:dyDescent="0.35">
      <c r="A1459" s="1" t="s">
        <v>1471</v>
      </c>
      <c r="B1459" t="str">
        <f>HYPERLINK("https://www.suredividend.com/sure-analysis-research-database/","Simply Good Foods Co")</f>
        <v>Simply Good Foods Co</v>
      </c>
      <c r="C1459" t="s">
        <v>1805</v>
      </c>
      <c r="D1459">
        <v>32.659999999999997</v>
      </c>
      <c r="E1459">
        <v>0</v>
      </c>
      <c r="F1459" t="s">
        <v>1798</v>
      </c>
      <c r="G1459" t="s">
        <v>1798</v>
      </c>
      <c r="H1459">
        <v>0</v>
      </c>
      <c r="I1459">
        <v>3251.2699809999999</v>
      </c>
      <c r="J1459">
        <v>25.588461992287101</v>
      </c>
      <c r="K1459">
        <v>0</v>
      </c>
      <c r="L1459">
        <v>0.84442645881296807</v>
      </c>
      <c r="M1459">
        <v>40.159999999999997</v>
      </c>
      <c r="N1459">
        <v>31.73</v>
      </c>
    </row>
    <row r="1460" spans="1:14" x14ac:dyDescent="0.35">
      <c r="A1460" s="1" t="s">
        <v>1472</v>
      </c>
      <c r="B1460" t="str">
        <f>HYPERLINK("https://www.suredividend.com/sure-analysis-research-database/","NuScale Power Corporation")</f>
        <v>NuScale Power Corporation</v>
      </c>
      <c r="C1460" t="s">
        <v>1798</v>
      </c>
      <c r="D1460">
        <v>5.78</v>
      </c>
      <c r="E1460">
        <v>0</v>
      </c>
      <c r="F1460" t="s">
        <v>1798</v>
      </c>
      <c r="G1460" t="s">
        <v>1798</v>
      </c>
      <c r="H1460">
        <v>0</v>
      </c>
      <c r="I1460">
        <v>430.51297699999998</v>
      </c>
      <c r="J1460" t="s">
        <v>1798</v>
      </c>
      <c r="K1460">
        <v>0</v>
      </c>
      <c r="L1460">
        <v>0.83816048069093807</v>
      </c>
      <c r="M1460">
        <v>12.36</v>
      </c>
      <c r="N1460">
        <v>4.47</v>
      </c>
    </row>
    <row r="1461" spans="1:14" x14ac:dyDescent="0.35">
      <c r="A1461" s="1" t="s">
        <v>1473</v>
      </c>
      <c r="B1461" t="str">
        <f>HYPERLINK("https://www.suredividend.com/sure-analysis-research-database/","SmartRent Inc")</f>
        <v>SmartRent Inc</v>
      </c>
      <c r="C1461" t="s">
        <v>1802</v>
      </c>
      <c r="D1461">
        <v>2.61</v>
      </c>
      <c r="E1461">
        <v>0</v>
      </c>
      <c r="F1461" t="s">
        <v>1798</v>
      </c>
      <c r="G1461" t="s">
        <v>1798</v>
      </c>
      <c r="H1461">
        <v>0</v>
      </c>
      <c r="I1461">
        <v>522.612572</v>
      </c>
      <c r="J1461" t="s">
        <v>1798</v>
      </c>
      <c r="K1461">
        <v>0</v>
      </c>
      <c r="L1461">
        <v>1.562235311713136</v>
      </c>
      <c r="M1461">
        <v>4.12</v>
      </c>
      <c r="N1461">
        <v>2.0299999999999998</v>
      </c>
    </row>
    <row r="1462" spans="1:14" x14ac:dyDescent="0.35">
      <c r="A1462" s="1" t="s">
        <v>1474</v>
      </c>
      <c r="B1462" t="str">
        <f>HYPERLINK("https://www.suredividend.com/sure-analysis-research-database/","Semtech Corp.")</f>
        <v>Semtech Corp.</v>
      </c>
      <c r="C1462" t="s">
        <v>1804</v>
      </c>
      <c r="D1462">
        <v>21.92</v>
      </c>
      <c r="E1462">
        <v>0</v>
      </c>
      <c r="F1462" t="s">
        <v>1798</v>
      </c>
      <c r="G1462" t="s">
        <v>1798</v>
      </c>
      <c r="H1462">
        <v>0</v>
      </c>
      <c r="I1462">
        <v>1406.6063999999999</v>
      </c>
      <c r="J1462" t="s">
        <v>1798</v>
      </c>
      <c r="K1462">
        <v>0</v>
      </c>
      <c r="L1462">
        <v>1.421814960717902</v>
      </c>
      <c r="M1462">
        <v>35.18</v>
      </c>
      <c r="N1462">
        <v>17.82</v>
      </c>
    </row>
    <row r="1463" spans="1:14" x14ac:dyDescent="0.35">
      <c r="A1463" s="1" t="s">
        <v>1475</v>
      </c>
      <c r="B1463" t="str">
        <f>HYPERLINK("https://www.suredividend.com/sure-analysis-research-database/","Sleep Number Corp")</f>
        <v>Sleep Number Corp</v>
      </c>
      <c r="C1463" t="s">
        <v>1802</v>
      </c>
      <c r="D1463">
        <v>18.12</v>
      </c>
      <c r="E1463">
        <v>0</v>
      </c>
      <c r="F1463" t="s">
        <v>1798</v>
      </c>
      <c r="G1463" t="s">
        <v>1798</v>
      </c>
      <c r="H1463">
        <v>0</v>
      </c>
      <c r="I1463">
        <v>402.51767999999998</v>
      </c>
      <c r="J1463">
        <v>34.048188123836923</v>
      </c>
      <c r="K1463">
        <v>0</v>
      </c>
      <c r="L1463">
        <v>1.742239526158726</v>
      </c>
      <c r="M1463">
        <v>41.61</v>
      </c>
      <c r="N1463">
        <v>17.309999999999999</v>
      </c>
    </row>
    <row r="1464" spans="1:14" x14ac:dyDescent="0.35">
      <c r="A1464" s="1" t="s">
        <v>1476</v>
      </c>
      <c r="B1464" t="str">
        <f>HYPERLINK("https://www.suredividend.com/sure-analysis-research-database/","Science 37 Holdings Inc")</f>
        <v>Science 37 Holdings Inc</v>
      </c>
      <c r="C1464" t="s">
        <v>1798</v>
      </c>
      <c r="D1464">
        <v>0.40500000000000003</v>
      </c>
      <c r="E1464">
        <v>0</v>
      </c>
      <c r="F1464" t="s">
        <v>1798</v>
      </c>
      <c r="G1464" t="s">
        <v>1798</v>
      </c>
      <c r="H1464">
        <v>0</v>
      </c>
      <c r="I1464">
        <v>47.430321999999997</v>
      </c>
      <c r="J1464" t="s">
        <v>1798</v>
      </c>
      <c r="K1464">
        <v>0</v>
      </c>
      <c r="L1464">
        <v>-7.4283619383722008E-2</v>
      </c>
      <c r="M1464">
        <v>1.53</v>
      </c>
      <c r="N1464">
        <v>0.19</v>
      </c>
    </row>
    <row r="1465" spans="1:14" x14ac:dyDescent="0.35">
      <c r="A1465" s="1" t="s">
        <v>1477</v>
      </c>
      <c r="B1465" t="str">
        <f>HYPERLINK("https://www.suredividend.com/sure-analysis-research-database/","Sun Country Airlines Holdings Inc")</f>
        <v>Sun Country Airlines Holdings Inc</v>
      </c>
      <c r="C1465" t="s">
        <v>1798</v>
      </c>
      <c r="D1465">
        <v>14.09</v>
      </c>
      <c r="E1465">
        <v>0</v>
      </c>
      <c r="F1465" t="s">
        <v>1798</v>
      </c>
      <c r="G1465" t="s">
        <v>1798</v>
      </c>
      <c r="H1465">
        <v>0</v>
      </c>
      <c r="I1465">
        <v>789.21230700000001</v>
      </c>
      <c r="J1465">
        <v>10.26190472401732</v>
      </c>
      <c r="K1465">
        <v>0</v>
      </c>
      <c r="L1465">
        <v>1.071902508840201</v>
      </c>
      <c r="M1465">
        <v>23.8</v>
      </c>
      <c r="N1465">
        <v>13.74</v>
      </c>
    </row>
    <row r="1466" spans="1:14" x14ac:dyDescent="0.35">
      <c r="A1466" s="1" t="s">
        <v>1478</v>
      </c>
      <c r="B1466" t="str">
        <f>HYPERLINK("https://www.suredividend.com/sure-analysis-research-database/","Syndax Pharmaceuticals Inc")</f>
        <v>Syndax Pharmaceuticals Inc</v>
      </c>
      <c r="C1466" t="s">
        <v>1803</v>
      </c>
      <c r="D1466">
        <v>11.99</v>
      </c>
      <c r="E1466">
        <v>0</v>
      </c>
      <c r="F1466" t="s">
        <v>1798</v>
      </c>
      <c r="G1466" t="s">
        <v>1798</v>
      </c>
      <c r="H1466">
        <v>0</v>
      </c>
      <c r="I1466">
        <v>833.11379499999998</v>
      </c>
      <c r="J1466" t="s">
        <v>1798</v>
      </c>
      <c r="K1466">
        <v>0</v>
      </c>
      <c r="L1466">
        <v>0.82137233744598603</v>
      </c>
      <c r="M1466">
        <v>29.86</v>
      </c>
      <c r="N1466">
        <v>11.93</v>
      </c>
    </row>
    <row r="1467" spans="1:14" x14ac:dyDescent="0.35">
      <c r="A1467" s="1" t="s">
        <v>1479</v>
      </c>
      <c r="B1467" t="str">
        <f>HYPERLINK("https://www.suredividend.com/sure-analysis-research-database/","StoneX Group Inc")</f>
        <v>StoneX Group Inc</v>
      </c>
      <c r="C1467" t="s">
        <v>1798</v>
      </c>
      <c r="D1467">
        <v>91.94</v>
      </c>
      <c r="E1467">
        <v>0</v>
      </c>
      <c r="F1467" t="s">
        <v>1798</v>
      </c>
      <c r="G1467" t="s">
        <v>1798</v>
      </c>
      <c r="H1467">
        <v>0</v>
      </c>
      <c r="I1467">
        <v>1911.870602</v>
      </c>
      <c r="J1467">
        <v>8.233723523514211</v>
      </c>
      <c r="K1467">
        <v>0</v>
      </c>
      <c r="L1467">
        <v>0.79492815818109908</v>
      </c>
      <c r="M1467">
        <v>106.35</v>
      </c>
      <c r="N1467">
        <v>74.430000000000007</v>
      </c>
    </row>
    <row r="1468" spans="1:14" x14ac:dyDescent="0.35">
      <c r="A1468" s="1" t="s">
        <v>1480</v>
      </c>
      <c r="B1468" t="str">
        <f>HYPERLINK("https://www.suredividend.com/sure-analysis-research-database/","Snap One Holdings Corp")</f>
        <v>Snap One Holdings Corp</v>
      </c>
      <c r="C1468" t="s">
        <v>1798</v>
      </c>
      <c r="D1468">
        <v>8.66</v>
      </c>
      <c r="E1468">
        <v>0</v>
      </c>
      <c r="F1468" t="s">
        <v>1798</v>
      </c>
      <c r="G1468" t="s">
        <v>1798</v>
      </c>
      <c r="H1468">
        <v>0</v>
      </c>
      <c r="I1468">
        <v>661.91509699999995</v>
      </c>
      <c r="J1468">
        <v>0</v>
      </c>
      <c r="K1468" t="s">
        <v>1798</v>
      </c>
      <c r="L1468">
        <v>0.99237925845444008</v>
      </c>
      <c r="M1468">
        <v>12.39</v>
      </c>
      <c r="N1468">
        <v>7.02</v>
      </c>
    </row>
    <row r="1469" spans="1:14" x14ac:dyDescent="0.35">
      <c r="A1469" s="1" t="s">
        <v>1481</v>
      </c>
      <c r="B1469" t="str">
        <f>HYPERLINK("https://www.suredividend.com/sure-analysis-research-database/","Solaris Oilfield Infrastructure Inc")</f>
        <v>Solaris Oilfield Infrastructure Inc</v>
      </c>
      <c r="C1469" t="s">
        <v>1808</v>
      </c>
      <c r="D1469">
        <v>10.25</v>
      </c>
      <c r="E1469">
        <v>4.1989302070907002E-2</v>
      </c>
      <c r="F1469" t="s">
        <v>1798</v>
      </c>
      <c r="G1469" t="s">
        <v>1798</v>
      </c>
      <c r="H1469">
        <v>0.43039034622680011</v>
      </c>
      <c r="I1469">
        <v>312.39167900000001</v>
      </c>
      <c r="J1469">
        <v>11.80752463431228</v>
      </c>
      <c r="K1469">
        <v>0.5043242866496368</v>
      </c>
      <c r="L1469">
        <v>1.0509262408993609</v>
      </c>
      <c r="M1469">
        <v>13.32</v>
      </c>
      <c r="N1469">
        <v>7.08</v>
      </c>
    </row>
    <row r="1470" spans="1:14" x14ac:dyDescent="0.35">
      <c r="A1470" s="1" t="s">
        <v>1482</v>
      </c>
      <c r="B1470" t="str">
        <f>HYPERLINK("https://www.suredividend.com/sure-analysis-research-database/","Sonder Holdings Inc")</f>
        <v>Sonder Holdings Inc</v>
      </c>
      <c r="C1470" t="s">
        <v>1798</v>
      </c>
      <c r="D1470">
        <v>7.2</v>
      </c>
      <c r="E1470">
        <v>0</v>
      </c>
      <c r="F1470" t="s">
        <v>1798</v>
      </c>
      <c r="G1470" t="s">
        <v>1798</v>
      </c>
      <c r="H1470">
        <v>0</v>
      </c>
      <c r="I1470">
        <v>1585.8140330000001</v>
      </c>
      <c r="J1470">
        <v>0</v>
      </c>
      <c r="K1470" t="s">
        <v>1798</v>
      </c>
      <c r="L1470">
        <v>2.5725317869906088</v>
      </c>
      <c r="M1470">
        <v>48.2</v>
      </c>
      <c r="N1470">
        <v>5.4</v>
      </c>
    </row>
    <row r="1471" spans="1:14" x14ac:dyDescent="0.35">
      <c r="A1471" s="1" t="s">
        <v>1483</v>
      </c>
      <c r="B1471" t="str">
        <f>HYPERLINK("https://www.suredividend.com/sure-analysis-research-database/","Sonos Inc")</f>
        <v>Sonos Inc</v>
      </c>
      <c r="C1471" t="s">
        <v>1804</v>
      </c>
      <c r="D1471">
        <v>10.97</v>
      </c>
      <c r="E1471">
        <v>0</v>
      </c>
      <c r="F1471" t="s">
        <v>1798</v>
      </c>
      <c r="G1471" t="s">
        <v>1798</v>
      </c>
      <c r="H1471">
        <v>0</v>
      </c>
      <c r="I1471">
        <v>1406.991982</v>
      </c>
      <c r="J1471" t="s">
        <v>1798</v>
      </c>
      <c r="K1471">
        <v>0</v>
      </c>
      <c r="L1471">
        <v>1.1296054451357169</v>
      </c>
      <c r="M1471">
        <v>21.98</v>
      </c>
      <c r="N1471">
        <v>10.82</v>
      </c>
    </row>
    <row r="1472" spans="1:14" x14ac:dyDescent="0.35">
      <c r="A1472" s="1" t="s">
        <v>1484</v>
      </c>
      <c r="B1472" t="str">
        <f>HYPERLINK("https://www.suredividend.com/sure-analysis-research-database/","Sovos Brands Inc")</f>
        <v>Sovos Brands Inc</v>
      </c>
      <c r="C1472" t="s">
        <v>1798</v>
      </c>
      <c r="D1472">
        <v>22.38</v>
      </c>
      <c r="E1472">
        <v>0</v>
      </c>
      <c r="F1472" t="s">
        <v>1798</v>
      </c>
      <c r="G1472" t="s">
        <v>1798</v>
      </c>
      <c r="H1472">
        <v>0</v>
      </c>
      <c r="I1472">
        <v>2267.7453700000001</v>
      </c>
      <c r="J1472">
        <v>0</v>
      </c>
      <c r="K1472" t="s">
        <v>1798</v>
      </c>
      <c r="L1472">
        <v>0.55285090840301609</v>
      </c>
      <c r="M1472">
        <v>22.73</v>
      </c>
      <c r="N1472">
        <v>12.74</v>
      </c>
    </row>
    <row r="1473" spans="1:14" x14ac:dyDescent="0.35">
      <c r="A1473" s="1" t="s">
        <v>1485</v>
      </c>
      <c r="B1473" t="str">
        <f>HYPERLINK("https://www.suredividend.com/sure-analysis-research-database/","SP Plus Corp")</f>
        <v>SP Plus Corp</v>
      </c>
      <c r="C1473" t="s">
        <v>1799</v>
      </c>
      <c r="D1473">
        <v>51.11</v>
      </c>
      <c r="E1473">
        <v>0</v>
      </c>
      <c r="F1473" t="s">
        <v>1798</v>
      </c>
      <c r="G1473" t="s">
        <v>1798</v>
      </c>
      <c r="H1473">
        <v>0</v>
      </c>
      <c r="I1473">
        <v>1004.291618</v>
      </c>
      <c r="J1473">
        <v>25.233457743969851</v>
      </c>
      <c r="K1473">
        <v>0</v>
      </c>
      <c r="L1473">
        <v>0.64461222091827908</v>
      </c>
      <c r="M1473">
        <v>52.4</v>
      </c>
      <c r="N1473">
        <v>31.52</v>
      </c>
    </row>
    <row r="1474" spans="1:14" x14ac:dyDescent="0.35">
      <c r="A1474" s="1" t="s">
        <v>1486</v>
      </c>
      <c r="B1474" t="str">
        <f>HYPERLINK("https://www.suredividend.com/sure-analysis-research-database/","Virgin Galactic Holdings Inc")</f>
        <v>Virgin Galactic Holdings Inc</v>
      </c>
      <c r="C1474" t="s">
        <v>1799</v>
      </c>
      <c r="D1474">
        <v>1.64</v>
      </c>
      <c r="E1474">
        <v>0</v>
      </c>
      <c r="F1474" t="s">
        <v>1798</v>
      </c>
      <c r="G1474" t="s">
        <v>1798</v>
      </c>
      <c r="H1474">
        <v>0</v>
      </c>
      <c r="I1474">
        <v>602.10402099999999</v>
      </c>
      <c r="J1474" t="s">
        <v>1798</v>
      </c>
      <c r="K1474">
        <v>0</v>
      </c>
      <c r="L1474">
        <v>2.3186777626860722</v>
      </c>
      <c r="M1474">
        <v>6.61</v>
      </c>
      <c r="N1474">
        <v>1.53</v>
      </c>
    </row>
    <row r="1475" spans="1:14" x14ac:dyDescent="0.35">
      <c r="A1475" s="1" t="s">
        <v>1487</v>
      </c>
      <c r="B1475" t="str">
        <f>HYPERLINK("https://www.suredividend.com/sure-analysis-research-database/","South Plains Financial Inc")</f>
        <v>South Plains Financial Inc</v>
      </c>
      <c r="C1475" t="s">
        <v>1801</v>
      </c>
      <c r="D1475">
        <v>26.63</v>
      </c>
      <c r="E1475">
        <v>1.8872464309396E-2</v>
      </c>
      <c r="F1475" t="s">
        <v>1798</v>
      </c>
      <c r="G1475" t="s">
        <v>1798</v>
      </c>
      <c r="H1475">
        <v>0.502573724559229</v>
      </c>
      <c r="I1475">
        <v>450.41145799999998</v>
      </c>
      <c r="J1475">
        <v>6.7219571110049836</v>
      </c>
      <c r="K1475">
        <v>0.13225624330506031</v>
      </c>
      <c r="L1475">
        <v>0.75395896016435504</v>
      </c>
      <c r="M1475">
        <v>31.1</v>
      </c>
      <c r="N1475">
        <v>18.559999999999999</v>
      </c>
    </row>
    <row r="1476" spans="1:14" x14ac:dyDescent="0.35">
      <c r="A1476" s="1" t="s">
        <v>1488</v>
      </c>
      <c r="B1476" t="str">
        <f>HYPERLINK("https://www.suredividend.com/sure-analysis-research-database/","Sphere Entertainment Co")</f>
        <v>Sphere Entertainment Co</v>
      </c>
      <c r="C1476" t="s">
        <v>1798</v>
      </c>
      <c r="D1476">
        <v>34.979999999999997</v>
      </c>
      <c r="E1476">
        <v>0</v>
      </c>
      <c r="F1476" t="s">
        <v>1798</v>
      </c>
      <c r="G1476" t="s">
        <v>1798</v>
      </c>
      <c r="H1476">
        <v>0</v>
      </c>
      <c r="I1476">
        <v>972.85935300000006</v>
      </c>
      <c r="J1476">
        <v>1.934991114302308</v>
      </c>
      <c r="K1476">
        <v>0</v>
      </c>
      <c r="L1476">
        <v>1.1376795549508769</v>
      </c>
      <c r="M1476">
        <v>62.79</v>
      </c>
      <c r="N1476">
        <v>20.69</v>
      </c>
    </row>
    <row r="1477" spans="1:14" x14ac:dyDescent="0.35">
      <c r="A1477" s="1" t="s">
        <v>1489</v>
      </c>
      <c r="B1477" t="str">
        <f>HYPERLINK("https://www.suredividend.com/sure-analysis-research-database/","Spire Global Inc")</f>
        <v>Spire Global Inc</v>
      </c>
      <c r="C1477" t="s">
        <v>1804</v>
      </c>
      <c r="D1477">
        <v>3.75</v>
      </c>
      <c r="E1477">
        <v>0</v>
      </c>
      <c r="F1477" t="s">
        <v>1798</v>
      </c>
      <c r="G1477" t="s">
        <v>1798</v>
      </c>
      <c r="H1477">
        <v>0</v>
      </c>
      <c r="I1477">
        <v>620.46406899999999</v>
      </c>
      <c r="J1477" t="s">
        <v>1798</v>
      </c>
      <c r="K1477">
        <v>0</v>
      </c>
      <c r="L1477">
        <v>2.1704253926616182</v>
      </c>
      <c r="M1477">
        <v>12.64</v>
      </c>
      <c r="N1477">
        <v>2.8</v>
      </c>
    </row>
    <row r="1478" spans="1:14" x14ac:dyDescent="0.35">
      <c r="A1478" s="1" t="s">
        <v>1490</v>
      </c>
      <c r="B1478" t="str">
        <f>HYPERLINK("https://www.suredividend.com/sure-analysis-research-database/","Sapiens International Corp NV")</f>
        <v>Sapiens International Corp NV</v>
      </c>
      <c r="C1478" t="s">
        <v>1804</v>
      </c>
      <c r="D1478">
        <v>26.08</v>
      </c>
      <c r="E1478">
        <v>1.9392038564510002E-2</v>
      </c>
      <c r="F1478" t="s">
        <v>1798</v>
      </c>
      <c r="G1478" t="s">
        <v>1798</v>
      </c>
      <c r="H1478">
        <v>0.50574436576244308</v>
      </c>
      <c r="I1478">
        <v>1438.056677</v>
      </c>
      <c r="J1478">
        <v>25.516460427978281</v>
      </c>
      <c r="K1478">
        <v>0.50073699580439912</v>
      </c>
      <c r="L1478">
        <v>1.072152592139928</v>
      </c>
      <c r="M1478">
        <v>30.8</v>
      </c>
      <c r="N1478">
        <v>15.53</v>
      </c>
    </row>
    <row r="1479" spans="1:14" x14ac:dyDescent="0.35">
      <c r="A1479" s="1" t="s">
        <v>1491</v>
      </c>
      <c r="B1479" t="str">
        <f>HYPERLINK("https://www.suredividend.com/sure-analysis-research-database/","SiriusPoint Ltd")</f>
        <v>SiriusPoint Ltd</v>
      </c>
      <c r="C1479" t="s">
        <v>1798</v>
      </c>
      <c r="D1479">
        <v>10.11</v>
      </c>
      <c r="E1479">
        <v>0</v>
      </c>
      <c r="F1479" t="s">
        <v>1798</v>
      </c>
      <c r="G1479" t="s">
        <v>1798</v>
      </c>
      <c r="H1479">
        <v>0</v>
      </c>
      <c r="I1479">
        <v>1663.105959</v>
      </c>
      <c r="J1479">
        <v>25.744674291640859</v>
      </c>
      <c r="K1479">
        <v>0</v>
      </c>
      <c r="L1479">
        <v>0.7414664544249151</v>
      </c>
      <c r="M1479">
        <v>11.34</v>
      </c>
      <c r="N1479">
        <v>5.0999999999999996</v>
      </c>
    </row>
    <row r="1480" spans="1:14" x14ac:dyDescent="0.35">
      <c r="A1480" s="1" t="s">
        <v>1492</v>
      </c>
      <c r="B1480" t="str">
        <f>HYPERLINK("https://www.suredividend.com/sure-analysis-research-database/","SPS Commerce Inc.")</f>
        <v>SPS Commerce Inc.</v>
      </c>
      <c r="C1480" t="s">
        <v>1804</v>
      </c>
      <c r="D1480">
        <v>167.12</v>
      </c>
      <c r="E1480">
        <v>0</v>
      </c>
      <c r="F1480" t="s">
        <v>1798</v>
      </c>
      <c r="G1480" t="s">
        <v>1798</v>
      </c>
      <c r="H1480">
        <v>0</v>
      </c>
      <c r="I1480">
        <v>6125.1411909999997</v>
      </c>
      <c r="J1480">
        <v>99.194176273623881</v>
      </c>
      <c r="K1480">
        <v>0</v>
      </c>
      <c r="L1480">
        <v>1.3799244913588169</v>
      </c>
      <c r="M1480">
        <v>196.39</v>
      </c>
      <c r="N1480">
        <v>116.58</v>
      </c>
    </row>
    <row r="1481" spans="1:14" x14ac:dyDescent="0.35">
      <c r="A1481" s="1" t="s">
        <v>1493</v>
      </c>
      <c r="B1481" t="str">
        <f>HYPERLINK("https://www.suredividend.com/sure-analysis-research-database/","Sprout Social Inc")</f>
        <v>Sprout Social Inc</v>
      </c>
      <c r="C1481" t="s">
        <v>1804</v>
      </c>
      <c r="D1481">
        <v>48.53</v>
      </c>
      <c r="E1481">
        <v>0</v>
      </c>
      <c r="F1481" t="s">
        <v>1798</v>
      </c>
      <c r="G1481" t="s">
        <v>1798</v>
      </c>
      <c r="H1481">
        <v>0</v>
      </c>
      <c r="I1481">
        <v>2350.8794859999998</v>
      </c>
      <c r="J1481" t="s">
        <v>1798</v>
      </c>
      <c r="K1481">
        <v>0</v>
      </c>
      <c r="L1481">
        <v>2.2400108478234149</v>
      </c>
      <c r="M1481">
        <v>74.069999999999993</v>
      </c>
      <c r="N1481">
        <v>37</v>
      </c>
    </row>
    <row r="1482" spans="1:14" x14ac:dyDescent="0.35">
      <c r="A1482" s="1" t="s">
        <v>1494</v>
      </c>
      <c r="B1482" t="str">
        <f>HYPERLINK("https://www.suredividend.com/sure-analysis-SPTN/","SpartanNash Co")</f>
        <v>SpartanNash Co</v>
      </c>
      <c r="C1482" t="s">
        <v>1805</v>
      </c>
      <c r="D1482">
        <v>22.88</v>
      </c>
      <c r="E1482">
        <v>3.7587412587412591E-2</v>
      </c>
      <c r="F1482">
        <v>2.3809523809523721E-2</v>
      </c>
      <c r="G1482">
        <v>3.6175193719643062E-2</v>
      </c>
      <c r="H1482">
        <v>0.83205658815636308</v>
      </c>
      <c r="I1482">
        <v>792.02314000000001</v>
      </c>
      <c r="J1482">
        <v>19.548886597062818</v>
      </c>
      <c r="K1482">
        <v>0.7363332638551886</v>
      </c>
      <c r="L1482">
        <v>0.43422056952269011</v>
      </c>
      <c r="M1482">
        <v>35.71</v>
      </c>
      <c r="N1482">
        <v>19.79</v>
      </c>
    </row>
    <row r="1483" spans="1:14" x14ac:dyDescent="0.35">
      <c r="A1483" s="1" t="s">
        <v>1495</v>
      </c>
      <c r="B1483" t="str">
        <f>HYPERLINK("https://www.suredividend.com/sure-analysis-research-database/","Sportsman`s Warehouse Holdings Inc")</f>
        <v>Sportsman`s Warehouse Holdings Inc</v>
      </c>
      <c r="C1483" t="s">
        <v>1802</v>
      </c>
      <c r="D1483">
        <v>4.93</v>
      </c>
      <c r="E1483">
        <v>0</v>
      </c>
      <c r="F1483" t="s">
        <v>1798</v>
      </c>
      <c r="G1483" t="s">
        <v>1798</v>
      </c>
      <c r="H1483">
        <v>0</v>
      </c>
      <c r="I1483">
        <v>184.310441</v>
      </c>
      <c r="J1483">
        <v>0</v>
      </c>
      <c r="K1483" t="s">
        <v>1798</v>
      </c>
      <c r="L1483">
        <v>0.86076032450547502</v>
      </c>
      <c r="M1483">
        <v>10.62</v>
      </c>
      <c r="N1483">
        <v>2.98</v>
      </c>
    </row>
    <row r="1484" spans="1:14" x14ac:dyDescent="0.35">
      <c r="A1484" s="1" t="s">
        <v>1496</v>
      </c>
      <c r="B1484" t="str">
        <f>HYPERLINK("https://www.suredividend.com/sure-analysis-research-database/","Sunpower Corp")</f>
        <v>Sunpower Corp</v>
      </c>
      <c r="C1484" t="s">
        <v>1804</v>
      </c>
      <c r="D1484">
        <v>5.62</v>
      </c>
      <c r="E1484">
        <v>0</v>
      </c>
      <c r="F1484" t="s">
        <v>1798</v>
      </c>
      <c r="G1484" t="s">
        <v>1798</v>
      </c>
      <c r="H1484">
        <v>0</v>
      </c>
      <c r="I1484">
        <v>984.57739300000003</v>
      </c>
      <c r="J1484">
        <v>15.562012286463929</v>
      </c>
      <c r="K1484">
        <v>0</v>
      </c>
      <c r="L1484">
        <v>2.046632863185585</v>
      </c>
      <c r="M1484">
        <v>24.97</v>
      </c>
      <c r="N1484">
        <v>4.96</v>
      </c>
    </row>
    <row r="1485" spans="1:14" x14ac:dyDescent="0.35">
      <c r="A1485" s="1" t="s">
        <v>1497</v>
      </c>
      <c r="B1485" t="str">
        <f>HYPERLINK("https://www.suredividend.com/sure-analysis-research-database/","SPX Technologies Inc")</f>
        <v>SPX Technologies Inc</v>
      </c>
      <c r="C1485" t="s">
        <v>1799</v>
      </c>
      <c r="D1485">
        <v>79.91</v>
      </c>
      <c r="E1485">
        <v>0</v>
      </c>
      <c r="F1485" t="s">
        <v>1798</v>
      </c>
      <c r="G1485" t="s">
        <v>1798</v>
      </c>
      <c r="H1485">
        <v>0</v>
      </c>
      <c r="I1485">
        <v>3643.1337389999999</v>
      </c>
      <c r="J1485">
        <v>0</v>
      </c>
      <c r="K1485" t="s">
        <v>1798</v>
      </c>
      <c r="L1485">
        <v>1.218535473853932</v>
      </c>
      <c r="M1485">
        <v>91.94</v>
      </c>
      <c r="N1485">
        <v>58.46</v>
      </c>
    </row>
    <row r="1486" spans="1:14" x14ac:dyDescent="0.35">
      <c r="A1486" s="1" t="s">
        <v>1498</v>
      </c>
      <c r="B1486" t="str">
        <f>HYPERLINK("https://www.suredividend.com/sure-analysis-research-database/","Squarespace Inc")</f>
        <v>Squarespace Inc</v>
      </c>
      <c r="C1486" t="s">
        <v>1798</v>
      </c>
      <c r="D1486">
        <v>29.45</v>
      </c>
      <c r="E1486">
        <v>0</v>
      </c>
      <c r="F1486" t="s">
        <v>1798</v>
      </c>
      <c r="G1486" t="s">
        <v>1798</v>
      </c>
      <c r="H1486">
        <v>0</v>
      </c>
      <c r="I1486">
        <v>2595.15915</v>
      </c>
      <c r="J1486" t="s">
        <v>1798</v>
      </c>
      <c r="K1486">
        <v>0</v>
      </c>
      <c r="L1486">
        <v>0.64840903387107407</v>
      </c>
      <c r="M1486">
        <v>34.380000000000003</v>
      </c>
      <c r="N1486">
        <v>16.86</v>
      </c>
    </row>
    <row r="1487" spans="1:14" x14ac:dyDescent="0.35">
      <c r="A1487" s="1" t="s">
        <v>1499</v>
      </c>
      <c r="B1487" t="str">
        <f>HYPERLINK("https://www.suredividend.com/sure-analysis-SR/","Spire Inc.")</f>
        <v>Spire Inc.</v>
      </c>
      <c r="C1487" t="s">
        <v>1806</v>
      </c>
      <c r="D1487">
        <v>57.66</v>
      </c>
      <c r="E1487">
        <v>4.9947970863683661E-2</v>
      </c>
      <c r="F1487">
        <v>5.1094890510948732E-2</v>
      </c>
      <c r="G1487">
        <v>3.9749758943638192E-2</v>
      </c>
      <c r="H1487">
        <v>2.8311828100382921</v>
      </c>
      <c r="I1487">
        <v>3033.0969369999998</v>
      </c>
      <c r="J1487">
        <v>13.402991326027401</v>
      </c>
      <c r="K1487">
        <v>0.65688696288591475</v>
      </c>
      <c r="L1487">
        <v>0.56062522432524309</v>
      </c>
      <c r="M1487">
        <v>73.33</v>
      </c>
      <c r="N1487">
        <v>53.77</v>
      </c>
    </row>
    <row r="1488" spans="1:14" x14ac:dyDescent="0.35">
      <c r="A1488" s="1" t="s">
        <v>1500</v>
      </c>
      <c r="B1488" t="str">
        <f>HYPERLINK("https://www.suredividend.com/sure-analysis-SRCE/","1st Source Corp.")</f>
        <v>1st Source Corp.</v>
      </c>
      <c r="C1488" t="s">
        <v>1801</v>
      </c>
      <c r="D1488">
        <v>41.81</v>
      </c>
      <c r="E1488">
        <v>3.0614685481942121E-2</v>
      </c>
      <c r="F1488">
        <v>0</v>
      </c>
      <c r="G1488">
        <v>5.0611121761506839E-2</v>
      </c>
      <c r="H1488">
        <v>1.255508335126249</v>
      </c>
      <c r="I1488">
        <v>1032.2003050000001</v>
      </c>
      <c r="J1488">
        <v>8.1766859526921589</v>
      </c>
      <c r="K1488">
        <v>0.24521647170434549</v>
      </c>
      <c r="L1488">
        <v>0.85845369817470008</v>
      </c>
      <c r="M1488">
        <v>57.54</v>
      </c>
      <c r="N1488">
        <v>38.25</v>
      </c>
    </row>
    <row r="1489" spans="1:14" x14ac:dyDescent="0.35">
      <c r="A1489" s="1" t="s">
        <v>1501</v>
      </c>
      <c r="B1489" t="str">
        <f>HYPERLINK("https://www.suredividend.com/sure-analysis-research-database/","Surmodics, Inc.")</f>
        <v>Surmodics, Inc.</v>
      </c>
      <c r="C1489" t="s">
        <v>1803</v>
      </c>
      <c r="D1489">
        <v>29.65</v>
      </c>
      <c r="E1489">
        <v>0</v>
      </c>
      <c r="F1489" t="s">
        <v>1798</v>
      </c>
      <c r="G1489" t="s">
        <v>1798</v>
      </c>
      <c r="H1489">
        <v>0</v>
      </c>
      <c r="I1489">
        <v>419.07310000000001</v>
      </c>
      <c r="J1489" t="s">
        <v>1798</v>
      </c>
      <c r="K1489">
        <v>0</v>
      </c>
      <c r="L1489">
        <v>0.88476106922119502</v>
      </c>
      <c r="M1489">
        <v>39.409999999999997</v>
      </c>
      <c r="N1489">
        <v>16</v>
      </c>
    </row>
    <row r="1490" spans="1:14" x14ac:dyDescent="0.35">
      <c r="A1490" s="1" t="s">
        <v>1502</v>
      </c>
      <c r="B1490" t="str">
        <f>HYPERLINK("https://www.suredividend.com/sure-analysis-research-database/","Stoneridge Inc.")</f>
        <v>Stoneridge Inc.</v>
      </c>
      <c r="C1490" t="s">
        <v>1802</v>
      </c>
      <c r="D1490">
        <v>17.55</v>
      </c>
      <c r="E1490">
        <v>0</v>
      </c>
      <c r="F1490" t="s">
        <v>1798</v>
      </c>
      <c r="G1490" t="s">
        <v>1798</v>
      </c>
      <c r="H1490">
        <v>0</v>
      </c>
      <c r="I1490">
        <v>483.00816900000001</v>
      </c>
      <c r="J1490" t="s">
        <v>1798</v>
      </c>
      <c r="K1490">
        <v>0</v>
      </c>
      <c r="L1490">
        <v>0.96122831714010204</v>
      </c>
      <c r="M1490">
        <v>25.87</v>
      </c>
      <c r="N1490">
        <v>14.18</v>
      </c>
    </row>
    <row r="1491" spans="1:14" x14ac:dyDescent="0.35">
      <c r="A1491" s="1" t="s">
        <v>1503</v>
      </c>
      <c r="B1491" t="str">
        <f>HYPERLINK("https://www.suredividend.com/sure-analysis-research-database/","SouthState Corporation")</f>
        <v>SouthState Corporation</v>
      </c>
      <c r="C1491" t="s">
        <v>1801</v>
      </c>
      <c r="D1491">
        <v>66.87</v>
      </c>
      <c r="E1491">
        <v>2.9701216865085998E-2</v>
      </c>
      <c r="F1491">
        <v>4.0000000000000042E-2</v>
      </c>
      <c r="G1491">
        <v>6.4740930444701084E-2</v>
      </c>
      <c r="H1491">
        <v>1.9861203717683491</v>
      </c>
      <c r="I1491">
        <v>5082.5539859999999</v>
      </c>
      <c r="J1491">
        <v>9.4135664791690594</v>
      </c>
      <c r="K1491">
        <v>0.28092225909028978</v>
      </c>
      <c r="L1491">
        <v>1.18101062013651</v>
      </c>
      <c r="M1491">
        <v>88.94</v>
      </c>
      <c r="N1491">
        <v>58.24</v>
      </c>
    </row>
    <row r="1492" spans="1:14" x14ac:dyDescent="0.35">
      <c r="A1492" s="1" t="s">
        <v>1504</v>
      </c>
      <c r="B1492" t="str">
        <f>HYPERLINK("https://www.suredividend.com/sure-analysis-research-database/","Simpson Manufacturing Co., Inc.")</f>
        <v>Simpson Manufacturing Co., Inc.</v>
      </c>
      <c r="C1492" t="s">
        <v>1799</v>
      </c>
      <c r="D1492">
        <v>135.1</v>
      </c>
      <c r="E1492">
        <v>7.8228586956760014E-3</v>
      </c>
      <c r="F1492">
        <v>3.8461538461538547E-2</v>
      </c>
      <c r="G1492">
        <v>4.1809268102644292E-2</v>
      </c>
      <c r="H1492">
        <v>1.0568682097859581</v>
      </c>
      <c r="I1492">
        <v>5765.1017650000003</v>
      </c>
      <c r="J1492">
        <v>16.905762710035361</v>
      </c>
      <c r="K1492">
        <v>0.13260579796561581</v>
      </c>
      <c r="L1492">
        <v>1.2680764425685751</v>
      </c>
      <c r="M1492">
        <v>165.72</v>
      </c>
      <c r="N1492">
        <v>75.510000000000005</v>
      </c>
    </row>
    <row r="1493" spans="1:14" x14ac:dyDescent="0.35">
      <c r="A1493" s="1" t="s">
        <v>1505</v>
      </c>
      <c r="B1493" t="str">
        <f>HYPERLINK("https://www.suredividend.com/sure-analysis-research-database/","E.W. Scripps Co.")</f>
        <v>E.W. Scripps Co.</v>
      </c>
      <c r="C1493" t="s">
        <v>1807</v>
      </c>
      <c r="D1493">
        <v>5.07</v>
      </c>
      <c r="E1493">
        <v>0</v>
      </c>
      <c r="F1493" t="s">
        <v>1798</v>
      </c>
      <c r="G1493" t="s">
        <v>1798</v>
      </c>
      <c r="H1493">
        <v>0</v>
      </c>
      <c r="I1493">
        <v>367.806963</v>
      </c>
      <c r="J1493" t="s">
        <v>1798</v>
      </c>
      <c r="K1493">
        <v>0</v>
      </c>
      <c r="L1493">
        <v>1.957946472327504</v>
      </c>
      <c r="M1493">
        <v>16.13</v>
      </c>
      <c r="N1493">
        <v>4.8499999999999996</v>
      </c>
    </row>
    <row r="1494" spans="1:14" x14ac:dyDescent="0.35">
      <c r="A1494" s="1" t="s">
        <v>1506</v>
      </c>
      <c r="B1494" t="str">
        <f>HYPERLINK("https://www.suredividend.com/sure-analysis-research-database/","SoundThinking Inc")</f>
        <v>SoundThinking Inc</v>
      </c>
      <c r="C1494" t="s">
        <v>1804</v>
      </c>
      <c r="D1494">
        <v>15.46</v>
      </c>
      <c r="E1494">
        <v>0</v>
      </c>
      <c r="F1494" t="s">
        <v>1798</v>
      </c>
      <c r="G1494" t="s">
        <v>1798</v>
      </c>
      <c r="H1494">
        <v>0</v>
      </c>
      <c r="I1494">
        <v>189.065473</v>
      </c>
      <c r="J1494" t="s">
        <v>1798</v>
      </c>
      <c r="K1494">
        <v>0</v>
      </c>
      <c r="L1494">
        <v>0.86256320858760804</v>
      </c>
      <c r="M1494">
        <v>39.46</v>
      </c>
      <c r="N1494">
        <v>15.37</v>
      </c>
    </row>
    <row r="1495" spans="1:14" x14ac:dyDescent="0.35">
      <c r="A1495" s="1" t="s">
        <v>1507</v>
      </c>
      <c r="B1495" t="str">
        <f>HYPERLINK("https://www.suredividend.com/sure-analysis-research-database/","Shutterstock Inc")</f>
        <v>Shutterstock Inc</v>
      </c>
      <c r="C1495" t="s">
        <v>1807</v>
      </c>
      <c r="D1495">
        <v>36.92</v>
      </c>
      <c r="E1495">
        <v>2.8203064349593999E-2</v>
      </c>
      <c r="F1495" t="s">
        <v>1798</v>
      </c>
      <c r="G1495" t="s">
        <v>1798</v>
      </c>
      <c r="H1495">
        <v>1.0412571357870191</v>
      </c>
      <c r="I1495">
        <v>1332.0263420000001</v>
      </c>
      <c r="J1495">
        <v>11.7938972428326</v>
      </c>
      <c r="K1495">
        <v>0.33480936842026338</v>
      </c>
      <c r="L1495">
        <v>1.3130681679134679</v>
      </c>
      <c r="M1495">
        <v>79.959999999999994</v>
      </c>
      <c r="N1495">
        <v>36.200000000000003</v>
      </c>
    </row>
    <row r="1496" spans="1:14" x14ac:dyDescent="0.35">
      <c r="A1496" s="1" t="s">
        <v>1508</v>
      </c>
      <c r="B1496" t="str">
        <f>HYPERLINK("https://www.suredividend.com/sure-analysis-research-database/","Staar Surgical Co.")</f>
        <v>Staar Surgical Co.</v>
      </c>
      <c r="C1496" t="s">
        <v>1803</v>
      </c>
      <c r="D1496">
        <v>40.409999999999997</v>
      </c>
      <c r="E1496">
        <v>0</v>
      </c>
      <c r="F1496" t="s">
        <v>1798</v>
      </c>
      <c r="G1496" t="s">
        <v>1798</v>
      </c>
      <c r="H1496">
        <v>0</v>
      </c>
      <c r="I1496">
        <v>1959.8806360000001</v>
      </c>
      <c r="J1496">
        <v>78.744852574229569</v>
      </c>
      <c r="K1496">
        <v>0</v>
      </c>
      <c r="L1496">
        <v>1.7061932728917979</v>
      </c>
      <c r="M1496">
        <v>81.81</v>
      </c>
      <c r="N1496">
        <v>37.01</v>
      </c>
    </row>
    <row r="1497" spans="1:14" x14ac:dyDescent="0.35">
      <c r="A1497" s="1" t="s">
        <v>1509</v>
      </c>
      <c r="B1497" t="str">
        <f>HYPERLINK("https://www.suredividend.com/sure-analysis-STAG/","STAG Industrial Inc")</f>
        <v>STAG Industrial Inc</v>
      </c>
      <c r="C1497" t="s">
        <v>1800</v>
      </c>
      <c r="D1497">
        <v>34.39</v>
      </c>
      <c r="E1497">
        <v>4.2744984006978771E-2</v>
      </c>
      <c r="F1497">
        <v>0</v>
      </c>
      <c r="G1497">
        <v>1.3655766214057949E-3</v>
      </c>
      <c r="H1497">
        <v>1.439508487902903</v>
      </c>
      <c r="I1497">
        <v>6178.6559299999999</v>
      </c>
      <c r="J1497">
        <v>31.853010869549529</v>
      </c>
      <c r="K1497">
        <v>1.332878229539725</v>
      </c>
      <c r="L1497">
        <v>1.0818055330608729</v>
      </c>
      <c r="M1497">
        <v>38.43</v>
      </c>
      <c r="N1497">
        <v>26.45</v>
      </c>
    </row>
    <row r="1498" spans="1:14" x14ac:dyDescent="0.35">
      <c r="A1498" s="1" t="s">
        <v>1510</v>
      </c>
      <c r="B1498" t="str">
        <f>HYPERLINK("https://www.suredividend.com/sure-analysis-research-database/","S &amp; T Bancorp, Inc.")</f>
        <v>S &amp; T Bancorp, Inc.</v>
      </c>
      <c r="C1498" t="s">
        <v>1801</v>
      </c>
      <c r="D1498">
        <v>26.98</v>
      </c>
      <c r="E1498">
        <v>4.6058581947853998E-2</v>
      </c>
      <c r="F1498" t="s">
        <v>1798</v>
      </c>
      <c r="G1498" t="s">
        <v>1798</v>
      </c>
      <c r="H1498">
        <v>1.242660540953122</v>
      </c>
      <c r="I1498">
        <v>1031.766948</v>
      </c>
      <c r="J1498">
        <v>6.8099383379205198</v>
      </c>
      <c r="K1498">
        <v>0.31863090793669802</v>
      </c>
      <c r="L1498">
        <v>0.97965540440036603</v>
      </c>
      <c r="M1498">
        <v>37.119999999999997</v>
      </c>
      <c r="N1498">
        <v>24.08</v>
      </c>
    </row>
    <row r="1499" spans="1:14" x14ac:dyDescent="0.35">
      <c r="A1499" s="1" t="s">
        <v>1511</v>
      </c>
      <c r="B1499" t="str">
        <f>HYPERLINK("https://www.suredividend.com/sure-analysis-research-database/","Stewart Information Services Corp.")</f>
        <v>Stewart Information Services Corp.</v>
      </c>
      <c r="C1499" t="s">
        <v>1801</v>
      </c>
      <c r="D1499">
        <v>41.61</v>
      </c>
      <c r="E1499">
        <v>4.3172294194675012E-2</v>
      </c>
      <c r="F1499">
        <v>5.555555555555558E-2</v>
      </c>
      <c r="G1499">
        <v>9.6262279352954172E-2</v>
      </c>
      <c r="H1499">
        <v>1.7963991614404511</v>
      </c>
      <c r="I1499">
        <v>1137.8838290000001</v>
      </c>
      <c r="J1499">
        <v>22.589161432314931</v>
      </c>
      <c r="K1499">
        <v>0.97630389208720181</v>
      </c>
      <c r="L1499">
        <v>0.99047122364160212</v>
      </c>
      <c r="M1499">
        <v>50.05</v>
      </c>
      <c r="N1499">
        <v>34.44</v>
      </c>
    </row>
    <row r="1500" spans="1:14" x14ac:dyDescent="0.35">
      <c r="A1500" s="1" t="s">
        <v>1512</v>
      </c>
      <c r="B1500" t="str">
        <f>HYPERLINK("https://www.suredividend.com/sure-analysis-research-database/","Stellar Bancorp Inc")</f>
        <v>Stellar Bancorp Inc</v>
      </c>
      <c r="C1500" t="s">
        <v>1798</v>
      </c>
      <c r="D1500">
        <v>21.83</v>
      </c>
      <c r="E1500">
        <v>1.7608792214749001E-2</v>
      </c>
      <c r="F1500" t="s">
        <v>1798</v>
      </c>
      <c r="G1500" t="s">
        <v>1798</v>
      </c>
      <c r="H1500">
        <v>0.38439993404798301</v>
      </c>
      <c r="I1500">
        <v>1163.718967</v>
      </c>
      <c r="J1500">
        <v>11.4705229664968</v>
      </c>
      <c r="K1500">
        <v>0.18660190973203061</v>
      </c>
      <c r="L1500">
        <v>0.89707011351326404</v>
      </c>
      <c r="M1500">
        <v>35.18</v>
      </c>
      <c r="N1500">
        <v>19.920000000000002</v>
      </c>
    </row>
    <row r="1501" spans="1:14" x14ac:dyDescent="0.35">
      <c r="A1501" s="1" t="s">
        <v>1513</v>
      </c>
      <c r="B1501" t="str">
        <f>HYPERLINK("https://www.suredividend.com/sure-analysis-research-database/","Stem Inc")</f>
        <v>Stem Inc</v>
      </c>
      <c r="C1501" t="s">
        <v>1798</v>
      </c>
      <c r="D1501">
        <v>3.83</v>
      </c>
      <c r="E1501">
        <v>0</v>
      </c>
      <c r="F1501" t="s">
        <v>1798</v>
      </c>
      <c r="G1501" t="s">
        <v>1798</v>
      </c>
      <c r="H1501">
        <v>0</v>
      </c>
      <c r="I1501">
        <v>596.72323400000005</v>
      </c>
      <c r="J1501" t="s">
        <v>1798</v>
      </c>
      <c r="K1501">
        <v>0</v>
      </c>
      <c r="L1501">
        <v>2.2526971769897859</v>
      </c>
      <c r="M1501">
        <v>14.83</v>
      </c>
      <c r="N1501">
        <v>3.5</v>
      </c>
    </row>
    <row r="1502" spans="1:14" x14ac:dyDescent="0.35">
      <c r="A1502" s="1" t="s">
        <v>1514</v>
      </c>
      <c r="B1502" t="str">
        <f>HYPERLINK("https://www.suredividend.com/sure-analysis-research-database/","StepStone Group Inc")</f>
        <v>StepStone Group Inc</v>
      </c>
      <c r="C1502" t="s">
        <v>1798</v>
      </c>
      <c r="D1502">
        <v>30</v>
      </c>
      <c r="E1502">
        <v>2.6468974766309002E-2</v>
      </c>
      <c r="F1502" t="s">
        <v>1798</v>
      </c>
      <c r="G1502" t="s">
        <v>1798</v>
      </c>
      <c r="H1502">
        <v>0.79406924298927606</v>
      </c>
      <c r="I1502">
        <v>1885.0461299999999</v>
      </c>
      <c r="J1502">
        <v>135.50759327151181</v>
      </c>
      <c r="K1502">
        <v>3.5979576030325151</v>
      </c>
      <c r="L1502">
        <v>1.3114711795448999</v>
      </c>
      <c r="M1502">
        <v>32.39</v>
      </c>
      <c r="N1502">
        <v>19.239999999999998</v>
      </c>
    </row>
    <row r="1503" spans="1:14" x14ac:dyDescent="0.35">
      <c r="A1503" s="1" t="s">
        <v>1515</v>
      </c>
      <c r="B1503" t="str">
        <f>HYPERLINK("https://www.suredividend.com/sure-analysis-research-database/","Sterling Check Corp")</f>
        <v>Sterling Check Corp</v>
      </c>
      <c r="C1503" t="s">
        <v>1798</v>
      </c>
      <c r="D1503">
        <v>12.92</v>
      </c>
      <c r="E1503">
        <v>0</v>
      </c>
      <c r="F1503" t="s">
        <v>1798</v>
      </c>
      <c r="G1503" t="s">
        <v>1798</v>
      </c>
      <c r="H1503">
        <v>0</v>
      </c>
      <c r="I1503">
        <v>1244.5951500000001</v>
      </c>
      <c r="J1503">
        <v>0</v>
      </c>
      <c r="K1503" t="s">
        <v>1798</v>
      </c>
      <c r="L1503">
        <v>1.58596214287488</v>
      </c>
      <c r="M1503">
        <v>20.43</v>
      </c>
      <c r="N1503">
        <v>10.58</v>
      </c>
    </row>
    <row r="1504" spans="1:14" x14ac:dyDescent="0.35">
      <c r="A1504" s="1" t="s">
        <v>1516</v>
      </c>
      <c r="B1504" t="str">
        <f>HYPERLINK("https://www.suredividend.com/sure-analysis-research-database/","Stagwell Inc")</f>
        <v>Stagwell Inc</v>
      </c>
      <c r="C1504" t="s">
        <v>1798</v>
      </c>
      <c r="D1504">
        <v>4.0199999999999996</v>
      </c>
      <c r="E1504">
        <v>0</v>
      </c>
      <c r="F1504" t="s">
        <v>1798</v>
      </c>
      <c r="G1504" t="s">
        <v>1798</v>
      </c>
      <c r="H1504">
        <v>0</v>
      </c>
      <c r="I1504">
        <v>468.133374</v>
      </c>
      <c r="J1504" t="s">
        <v>1798</v>
      </c>
      <c r="K1504">
        <v>0</v>
      </c>
      <c r="L1504">
        <v>1.6363142974723059</v>
      </c>
      <c r="M1504">
        <v>9.23</v>
      </c>
      <c r="N1504">
        <v>4</v>
      </c>
    </row>
    <row r="1505" spans="1:14" x14ac:dyDescent="0.35">
      <c r="A1505" s="1" t="s">
        <v>1517</v>
      </c>
      <c r="B1505" t="str">
        <f>HYPERLINK("https://www.suredividend.com/sure-analysis-research-database/","Star Holdings")</f>
        <v>Star Holdings</v>
      </c>
      <c r="C1505" t="s">
        <v>1798</v>
      </c>
      <c r="D1505">
        <v>12</v>
      </c>
      <c r="E1505">
        <v>0</v>
      </c>
      <c r="F1505" t="s">
        <v>1798</v>
      </c>
      <c r="G1505" t="s">
        <v>1798</v>
      </c>
      <c r="H1505">
        <v>0</v>
      </c>
      <c r="I1505">
        <v>159.83462399999999</v>
      </c>
      <c r="J1505">
        <v>0</v>
      </c>
      <c r="K1505" t="s">
        <v>1798</v>
      </c>
      <c r="L1505">
        <v>0.57931430281528407</v>
      </c>
      <c r="M1505">
        <v>19.579999999999998</v>
      </c>
      <c r="N1505">
        <v>11.47</v>
      </c>
    </row>
    <row r="1506" spans="1:14" x14ac:dyDescent="0.35">
      <c r="A1506" s="1" t="s">
        <v>1518</v>
      </c>
      <c r="B1506" t="str">
        <f>HYPERLINK("https://www.suredividend.com/sure-analysis-research-database/","Sunopta, Inc.")</f>
        <v>Sunopta, Inc.</v>
      </c>
      <c r="C1506" t="s">
        <v>1805</v>
      </c>
      <c r="D1506">
        <v>3.55</v>
      </c>
      <c r="E1506">
        <v>0</v>
      </c>
      <c r="F1506" t="s">
        <v>1798</v>
      </c>
      <c r="G1506" t="s">
        <v>1798</v>
      </c>
      <c r="H1506">
        <v>0</v>
      </c>
      <c r="I1506">
        <v>419.52122200000002</v>
      </c>
      <c r="J1506" t="s">
        <v>1798</v>
      </c>
      <c r="K1506">
        <v>0</v>
      </c>
      <c r="L1506">
        <v>0.47550196515382298</v>
      </c>
      <c r="M1506">
        <v>11.67</v>
      </c>
      <c r="N1506">
        <v>2.79</v>
      </c>
    </row>
    <row r="1507" spans="1:14" x14ac:dyDescent="0.35">
      <c r="A1507" s="1" t="s">
        <v>1519</v>
      </c>
      <c r="B1507" t="str">
        <f>HYPERLINK("https://www.suredividend.com/sure-analysis-research-database/","ONE Group Hospitality Inc")</f>
        <v>ONE Group Hospitality Inc</v>
      </c>
      <c r="C1507" t="s">
        <v>1802</v>
      </c>
      <c r="D1507">
        <v>4.42</v>
      </c>
      <c r="E1507">
        <v>0</v>
      </c>
      <c r="F1507" t="s">
        <v>1798</v>
      </c>
      <c r="G1507" t="s">
        <v>1798</v>
      </c>
      <c r="H1507">
        <v>0</v>
      </c>
      <c r="I1507">
        <v>139.770274</v>
      </c>
      <c r="J1507">
        <v>0</v>
      </c>
      <c r="K1507" t="s">
        <v>1798</v>
      </c>
      <c r="L1507">
        <v>1.620897922809708</v>
      </c>
      <c r="M1507">
        <v>9.4</v>
      </c>
      <c r="N1507">
        <v>4.3600000000000003</v>
      </c>
    </row>
    <row r="1508" spans="1:14" x14ac:dyDescent="0.35">
      <c r="A1508" s="1" t="s">
        <v>1520</v>
      </c>
      <c r="B1508" t="str">
        <f>HYPERLINK("https://www.suredividend.com/sure-analysis-research-database/","StoneCo Ltd")</f>
        <v>StoneCo Ltd</v>
      </c>
      <c r="C1508" t="s">
        <v>1804</v>
      </c>
      <c r="D1508">
        <v>9.7100000000000009</v>
      </c>
      <c r="E1508">
        <v>0</v>
      </c>
      <c r="F1508" t="s">
        <v>1798</v>
      </c>
      <c r="G1508" t="s">
        <v>1798</v>
      </c>
      <c r="H1508">
        <v>0</v>
      </c>
      <c r="I1508">
        <v>2587.618512</v>
      </c>
      <c r="J1508">
        <v>15.32986992983507</v>
      </c>
      <c r="K1508">
        <v>0</v>
      </c>
      <c r="L1508">
        <v>1.367771033502972</v>
      </c>
      <c r="M1508">
        <v>14.83</v>
      </c>
      <c r="N1508">
        <v>8.09</v>
      </c>
    </row>
    <row r="1509" spans="1:14" x14ac:dyDescent="0.35">
      <c r="A1509" s="1" t="s">
        <v>1521</v>
      </c>
      <c r="B1509" t="str">
        <f>HYPERLINK("https://www.suredividend.com/sure-analysis-research-database/","Scorpio Tankers Inc")</f>
        <v>Scorpio Tankers Inc</v>
      </c>
      <c r="C1509" t="s">
        <v>1808</v>
      </c>
      <c r="D1509">
        <v>56</v>
      </c>
      <c r="E1509">
        <v>1.4201481178616001E-2</v>
      </c>
      <c r="F1509">
        <v>1.5</v>
      </c>
      <c r="G1509">
        <v>0.90365393871587862</v>
      </c>
      <c r="H1509">
        <v>0.79528294600252503</v>
      </c>
      <c r="I1509">
        <v>3051.644624</v>
      </c>
      <c r="J1509">
        <v>0</v>
      </c>
      <c r="K1509" t="s">
        <v>1798</v>
      </c>
      <c r="L1509">
        <v>0.40285017890319702</v>
      </c>
      <c r="M1509">
        <v>63.31</v>
      </c>
      <c r="N1509">
        <v>40.14</v>
      </c>
    </row>
    <row r="1510" spans="1:14" x14ac:dyDescent="0.35">
      <c r="A1510" s="1" t="s">
        <v>1522</v>
      </c>
      <c r="B1510" t="str">
        <f>HYPERLINK("https://www.suredividend.com/sure-analysis-research-database/","Stoke Therapeutics Inc")</f>
        <v>Stoke Therapeutics Inc</v>
      </c>
      <c r="C1510" t="s">
        <v>1803</v>
      </c>
      <c r="D1510">
        <v>4.0949999999999998</v>
      </c>
      <c r="E1510">
        <v>0</v>
      </c>
      <c r="F1510" t="s">
        <v>1798</v>
      </c>
      <c r="G1510" t="s">
        <v>1798</v>
      </c>
      <c r="H1510">
        <v>0</v>
      </c>
      <c r="I1510">
        <v>181.38030599999999</v>
      </c>
      <c r="J1510" t="s">
        <v>1798</v>
      </c>
      <c r="K1510">
        <v>0</v>
      </c>
      <c r="L1510">
        <v>1.3519723147163649</v>
      </c>
      <c r="M1510">
        <v>16.48</v>
      </c>
      <c r="N1510">
        <v>3.37</v>
      </c>
    </row>
    <row r="1511" spans="1:14" x14ac:dyDescent="0.35">
      <c r="A1511" s="1" t="s">
        <v>1523</v>
      </c>
      <c r="B1511" t="str">
        <f>HYPERLINK("https://www.suredividend.com/sure-analysis-research-database/","Sitio Royalties Corp")</f>
        <v>Sitio Royalties Corp</v>
      </c>
      <c r="C1511" t="s">
        <v>1798</v>
      </c>
      <c r="D1511">
        <v>24.57</v>
      </c>
      <c r="E1511">
        <v>5.9846472911392001E-2</v>
      </c>
      <c r="F1511" t="s">
        <v>1798</v>
      </c>
      <c r="G1511" t="s">
        <v>1798</v>
      </c>
      <c r="H1511">
        <v>1.470427839432922</v>
      </c>
      <c r="I1511">
        <v>2006.5004510000001</v>
      </c>
      <c r="J1511">
        <v>0</v>
      </c>
      <c r="K1511" t="s">
        <v>1798</v>
      </c>
      <c r="L1511">
        <v>0.80154103297292001</v>
      </c>
      <c r="M1511">
        <v>28.75</v>
      </c>
      <c r="N1511">
        <v>18.489999999999998</v>
      </c>
    </row>
    <row r="1512" spans="1:14" x14ac:dyDescent="0.35">
      <c r="A1512" s="1" t="s">
        <v>1524</v>
      </c>
      <c r="B1512" t="str">
        <f>HYPERLINK("https://www.suredividend.com/sure-analysis-research-database/","Strategic Education Inc")</f>
        <v>Strategic Education Inc</v>
      </c>
      <c r="C1512" t="s">
        <v>1805</v>
      </c>
      <c r="D1512">
        <v>80.489999999999995</v>
      </c>
      <c r="E1512">
        <v>2.9203124050273001E-2</v>
      </c>
      <c r="F1512">
        <v>0</v>
      </c>
      <c r="G1512">
        <v>3.7137289336648172E-2</v>
      </c>
      <c r="H1512">
        <v>2.3505594548065338</v>
      </c>
      <c r="I1512">
        <v>1968.5795869999999</v>
      </c>
      <c r="J1512">
        <v>53.751080905144171</v>
      </c>
      <c r="K1512">
        <v>1.5263373083159311</v>
      </c>
      <c r="L1512">
        <v>0.46614928103356101</v>
      </c>
      <c r="M1512">
        <v>94.58</v>
      </c>
      <c r="N1512">
        <v>60.64</v>
      </c>
    </row>
    <row r="1513" spans="1:14" x14ac:dyDescent="0.35">
      <c r="A1513" s="1" t="s">
        <v>1525</v>
      </c>
      <c r="B1513" t="str">
        <f>HYPERLINK("https://www.suredividend.com/sure-analysis-research-database/","Sarcos Technology and Robotics Corporation")</f>
        <v>Sarcos Technology and Robotics Corporation</v>
      </c>
      <c r="C1513" t="s">
        <v>1798</v>
      </c>
      <c r="D1513">
        <v>0.72750000000000004</v>
      </c>
      <c r="E1513">
        <v>0</v>
      </c>
      <c r="F1513" t="s">
        <v>1798</v>
      </c>
      <c r="G1513" t="s">
        <v>1798</v>
      </c>
      <c r="H1513">
        <v>0</v>
      </c>
      <c r="I1513">
        <v>18.769500000000001</v>
      </c>
      <c r="J1513" t="s">
        <v>1798</v>
      </c>
      <c r="K1513">
        <v>0</v>
      </c>
      <c r="L1513">
        <v>1.1579454982535491</v>
      </c>
      <c r="M1513">
        <v>13.11</v>
      </c>
      <c r="N1513">
        <v>0.65</v>
      </c>
    </row>
    <row r="1514" spans="1:14" x14ac:dyDescent="0.35">
      <c r="A1514" s="1" t="s">
        <v>1526</v>
      </c>
      <c r="B1514" t="str">
        <f>HYPERLINK("https://www.suredividend.com/sure-analysis-research-database/","Sterling Infrastructure Inc")</f>
        <v>Sterling Infrastructure Inc</v>
      </c>
      <c r="C1514" t="s">
        <v>1799</v>
      </c>
      <c r="D1514">
        <v>72</v>
      </c>
      <c r="E1514">
        <v>0</v>
      </c>
      <c r="F1514" t="s">
        <v>1798</v>
      </c>
      <c r="G1514" t="s">
        <v>1798</v>
      </c>
      <c r="H1514">
        <v>0</v>
      </c>
      <c r="I1514">
        <v>2218.9010400000002</v>
      </c>
      <c r="J1514">
        <v>18.432931872367639</v>
      </c>
      <c r="K1514">
        <v>0</v>
      </c>
      <c r="L1514">
        <v>0.87716245398469106</v>
      </c>
      <c r="M1514">
        <v>84</v>
      </c>
      <c r="N1514">
        <v>23.73</v>
      </c>
    </row>
    <row r="1515" spans="1:14" x14ac:dyDescent="0.35">
      <c r="A1515" s="1" t="s">
        <v>1527</v>
      </c>
      <c r="B1515" t="str">
        <f>HYPERLINK("https://www.suredividend.com/sure-analysis-research-database/","Sutro Biopharma Inc")</f>
        <v>Sutro Biopharma Inc</v>
      </c>
      <c r="C1515" t="s">
        <v>1803</v>
      </c>
      <c r="D1515">
        <v>3.94</v>
      </c>
      <c r="E1515">
        <v>0</v>
      </c>
      <c r="F1515" t="s">
        <v>1798</v>
      </c>
      <c r="G1515" t="s">
        <v>1798</v>
      </c>
      <c r="H1515">
        <v>0</v>
      </c>
      <c r="I1515">
        <v>238.37</v>
      </c>
      <c r="J1515" t="s">
        <v>1798</v>
      </c>
      <c r="K1515">
        <v>0</v>
      </c>
      <c r="L1515">
        <v>0.79130376417985504</v>
      </c>
      <c r="M1515">
        <v>8.7200000000000006</v>
      </c>
      <c r="N1515">
        <v>3.03</v>
      </c>
    </row>
    <row r="1516" spans="1:14" x14ac:dyDescent="0.35">
      <c r="A1516" s="1" t="s">
        <v>1528</v>
      </c>
      <c r="B1516" t="str">
        <f>HYPERLINK("https://www.suredividend.com/sure-analysis-research-database/","Stratus Properties Inc.")</f>
        <v>Stratus Properties Inc.</v>
      </c>
      <c r="C1516" t="s">
        <v>1800</v>
      </c>
      <c r="D1516">
        <v>27.59</v>
      </c>
      <c r="E1516">
        <v>0</v>
      </c>
      <c r="F1516" t="s">
        <v>1798</v>
      </c>
      <c r="G1516" t="s">
        <v>1798</v>
      </c>
      <c r="H1516">
        <v>0</v>
      </c>
      <c r="I1516">
        <v>220.64316199999999</v>
      </c>
      <c r="J1516">
        <v>0</v>
      </c>
      <c r="K1516" t="s">
        <v>1798</v>
      </c>
      <c r="L1516">
        <v>0.93643580733800602</v>
      </c>
      <c r="M1516">
        <v>30.57</v>
      </c>
      <c r="N1516">
        <v>18.510000000000002</v>
      </c>
    </row>
    <row r="1517" spans="1:14" x14ac:dyDescent="0.35">
      <c r="A1517" s="1" t="s">
        <v>1529</v>
      </c>
      <c r="B1517" t="str">
        <f>HYPERLINK("https://www.suredividend.com/sure-analysis-research-database/","Summit Materials Inc")</f>
        <v>Summit Materials Inc</v>
      </c>
      <c r="C1517" t="s">
        <v>1809</v>
      </c>
      <c r="D1517">
        <v>32.79</v>
      </c>
      <c r="E1517">
        <v>0</v>
      </c>
      <c r="F1517" t="s">
        <v>1798</v>
      </c>
      <c r="G1517" t="s">
        <v>1798</v>
      </c>
      <c r="H1517">
        <v>0</v>
      </c>
      <c r="I1517">
        <v>3899.6954190000001</v>
      </c>
      <c r="J1517">
        <v>23.053704070656249</v>
      </c>
      <c r="K1517">
        <v>0</v>
      </c>
      <c r="L1517">
        <v>1.3533781107878839</v>
      </c>
      <c r="M1517">
        <v>39.56</v>
      </c>
      <c r="N1517">
        <v>23.95</v>
      </c>
    </row>
    <row r="1518" spans="1:14" x14ac:dyDescent="0.35">
      <c r="A1518" s="1" t="s">
        <v>1530</v>
      </c>
      <c r="B1518" t="str">
        <f>HYPERLINK("https://www.suredividend.com/sure-analysis-research-database/","Sunlight Financial Holdings Inc")</f>
        <v>Sunlight Financial Holdings Inc</v>
      </c>
      <c r="C1518" t="s">
        <v>1798</v>
      </c>
      <c r="D1518">
        <v>1.25</v>
      </c>
      <c r="E1518">
        <v>0</v>
      </c>
      <c r="F1518" t="s">
        <v>1798</v>
      </c>
      <c r="G1518" t="s">
        <v>1798</v>
      </c>
      <c r="H1518">
        <v>0</v>
      </c>
      <c r="I1518">
        <v>0</v>
      </c>
      <c r="J1518">
        <v>0</v>
      </c>
      <c r="K1518" t="s">
        <v>1798</v>
      </c>
    </row>
    <row r="1519" spans="1:14" x14ac:dyDescent="0.35">
      <c r="A1519" s="1" t="s">
        <v>1531</v>
      </c>
      <c r="B1519" t="str">
        <f>HYPERLINK("https://www.suredividend.com/sure-analysis-research-database/","Supernus Pharmaceuticals Inc")</f>
        <v>Supernus Pharmaceuticals Inc</v>
      </c>
      <c r="C1519" t="s">
        <v>1803</v>
      </c>
      <c r="D1519">
        <v>24.84</v>
      </c>
      <c r="E1519">
        <v>0</v>
      </c>
      <c r="F1519" t="s">
        <v>1798</v>
      </c>
      <c r="G1519" t="s">
        <v>1798</v>
      </c>
      <c r="H1519">
        <v>0</v>
      </c>
      <c r="I1519">
        <v>1356.1249210000001</v>
      </c>
      <c r="J1519">
        <v>31.285323571181401</v>
      </c>
      <c r="K1519">
        <v>0</v>
      </c>
      <c r="L1519">
        <v>0.618725908183553</v>
      </c>
      <c r="M1519">
        <v>42.09</v>
      </c>
      <c r="N1519">
        <v>24.33</v>
      </c>
    </row>
    <row r="1520" spans="1:14" x14ac:dyDescent="0.35">
      <c r="A1520" s="1" t="s">
        <v>1532</v>
      </c>
      <c r="B1520" t="str">
        <f>HYPERLINK("https://www.suredividend.com/sure-analysis-research-database/","Service Properties Trust")</f>
        <v>Service Properties Trust</v>
      </c>
      <c r="C1520" t="s">
        <v>1800</v>
      </c>
      <c r="D1520">
        <v>7.22</v>
      </c>
      <c r="E1520">
        <v>0.10600822396850999</v>
      </c>
      <c r="F1520">
        <v>19</v>
      </c>
      <c r="G1520">
        <v>-0.17709287005834459</v>
      </c>
      <c r="H1520">
        <v>0.76537937705264203</v>
      </c>
      <c r="I1520">
        <v>1194.654585</v>
      </c>
      <c r="J1520" t="s">
        <v>1798</v>
      </c>
      <c r="K1520" t="s">
        <v>1798</v>
      </c>
      <c r="L1520">
        <v>1.2306312536212041</v>
      </c>
      <c r="M1520">
        <v>10.83</v>
      </c>
      <c r="N1520">
        <v>6.31</v>
      </c>
    </row>
    <row r="1521" spans="1:14" x14ac:dyDescent="0.35">
      <c r="A1521" s="1" t="s">
        <v>1533</v>
      </c>
      <c r="B1521" t="str">
        <f>HYPERLINK("https://www.suredividend.com/sure-analysis-research-database/","ShockWave Medical Inc")</f>
        <v>ShockWave Medical Inc</v>
      </c>
      <c r="C1521" t="s">
        <v>1803</v>
      </c>
      <c r="D1521">
        <v>192.81</v>
      </c>
      <c r="E1521">
        <v>0</v>
      </c>
      <c r="F1521" t="s">
        <v>1798</v>
      </c>
      <c r="G1521" t="s">
        <v>1798</v>
      </c>
      <c r="H1521">
        <v>0</v>
      </c>
      <c r="I1521">
        <v>7085.8440460000002</v>
      </c>
      <c r="J1521">
        <v>29.05213199441577</v>
      </c>
      <c r="K1521">
        <v>0</v>
      </c>
      <c r="L1521">
        <v>1.1908909212604299</v>
      </c>
      <c r="M1521">
        <v>320.54000000000002</v>
      </c>
      <c r="N1521">
        <v>172.5</v>
      </c>
    </row>
    <row r="1522" spans="1:14" x14ac:dyDescent="0.35">
      <c r="A1522" s="1" t="s">
        <v>1534</v>
      </c>
      <c r="B1522" t="str">
        <f>HYPERLINK("https://www.suredividend.com/sure-analysis-research-database/","Smith &amp; Wesson Brands Inc")</f>
        <v>Smith &amp; Wesson Brands Inc</v>
      </c>
      <c r="C1522" t="s">
        <v>1798</v>
      </c>
      <c r="D1522">
        <v>14.16</v>
      </c>
      <c r="E1522">
        <v>3.0528852331565E-2</v>
      </c>
      <c r="F1522" t="s">
        <v>1798</v>
      </c>
      <c r="G1522" t="s">
        <v>1798</v>
      </c>
      <c r="H1522">
        <v>0.43228854901496899</v>
      </c>
      <c r="I1522">
        <v>653.46206600000005</v>
      </c>
      <c r="J1522">
        <v>17.814243120876721</v>
      </c>
      <c r="K1522">
        <v>0.54540568889095253</v>
      </c>
      <c r="L1522">
        <v>0.81869973350755509</v>
      </c>
      <c r="M1522">
        <v>14.37</v>
      </c>
      <c r="N1522">
        <v>7.9</v>
      </c>
    </row>
    <row r="1523" spans="1:14" x14ac:dyDescent="0.35">
      <c r="A1523" s="1" t="s">
        <v>1535</v>
      </c>
      <c r="B1523" t="str">
        <f>HYPERLINK("https://www.suredividend.com/sure-analysis-research-database/","SolarWinds Corp")</f>
        <v>SolarWinds Corp</v>
      </c>
      <c r="C1523" t="s">
        <v>1804</v>
      </c>
      <c r="D1523">
        <v>9.1199999999999992</v>
      </c>
      <c r="E1523">
        <v>0</v>
      </c>
      <c r="F1523" t="s">
        <v>1798</v>
      </c>
      <c r="G1523" t="s">
        <v>1798</v>
      </c>
      <c r="H1523">
        <v>0</v>
      </c>
      <c r="I1523">
        <v>1502.0640000000001</v>
      </c>
      <c r="J1523" t="s">
        <v>1798</v>
      </c>
      <c r="K1523">
        <v>0</v>
      </c>
      <c r="L1523">
        <v>1.4906431642152109</v>
      </c>
      <c r="M1523">
        <v>12.22</v>
      </c>
      <c r="N1523">
        <v>7.94</v>
      </c>
    </row>
    <row r="1524" spans="1:14" x14ac:dyDescent="0.35">
      <c r="A1524" s="1" t="s">
        <v>1536</v>
      </c>
      <c r="B1524" t="str">
        <f>HYPERLINK("https://www.suredividend.com/sure-analysis-research-database/","Latham Group Inc")</f>
        <v>Latham Group Inc</v>
      </c>
      <c r="C1524" t="s">
        <v>1798</v>
      </c>
      <c r="D1524">
        <v>2.33</v>
      </c>
      <c r="E1524">
        <v>0</v>
      </c>
      <c r="F1524" t="s">
        <v>1798</v>
      </c>
      <c r="G1524" t="s">
        <v>1798</v>
      </c>
      <c r="H1524">
        <v>0</v>
      </c>
      <c r="I1524">
        <v>267.58037300000001</v>
      </c>
      <c r="J1524" t="s">
        <v>1798</v>
      </c>
      <c r="K1524">
        <v>0</v>
      </c>
      <c r="L1524">
        <v>1.9196428645414361</v>
      </c>
      <c r="M1524">
        <v>4.79</v>
      </c>
      <c r="N1524">
        <v>2.12</v>
      </c>
    </row>
    <row r="1525" spans="1:14" x14ac:dyDescent="0.35">
      <c r="A1525" s="1" t="s">
        <v>1537</v>
      </c>
      <c r="B1525" t="str">
        <f>HYPERLINK("https://www.suredividend.com/sure-analysis-research-database/","Swk Holdings Corp")</f>
        <v>Swk Holdings Corp</v>
      </c>
      <c r="C1525" t="s">
        <v>1801</v>
      </c>
      <c r="D1525">
        <v>15.86</v>
      </c>
      <c r="E1525">
        <v>0</v>
      </c>
      <c r="F1525" t="s">
        <v>1798</v>
      </c>
      <c r="G1525" t="s">
        <v>1798</v>
      </c>
      <c r="H1525">
        <v>0</v>
      </c>
      <c r="I1525">
        <v>198.89205999999999</v>
      </c>
      <c r="J1525">
        <v>11.039133062108011</v>
      </c>
      <c r="K1525">
        <v>0</v>
      </c>
      <c r="L1525">
        <v>0.28253279765183897</v>
      </c>
      <c r="M1525">
        <v>19.989999999999998</v>
      </c>
      <c r="N1525">
        <v>15.26</v>
      </c>
    </row>
    <row r="1526" spans="1:14" x14ac:dyDescent="0.35">
      <c r="A1526" s="1" t="s">
        <v>1538</v>
      </c>
      <c r="B1526" t="str">
        <f>HYPERLINK("https://www.suredividend.com/sure-analysis-research-database/","SpringWorks Therapeutics Inc")</f>
        <v>SpringWorks Therapeutics Inc</v>
      </c>
      <c r="C1526" t="s">
        <v>1803</v>
      </c>
      <c r="D1526">
        <v>22.69</v>
      </c>
      <c r="E1526">
        <v>0</v>
      </c>
      <c r="F1526" t="s">
        <v>1798</v>
      </c>
      <c r="G1526" t="s">
        <v>1798</v>
      </c>
      <c r="H1526">
        <v>0</v>
      </c>
      <c r="I1526">
        <v>1419.709102</v>
      </c>
      <c r="J1526">
        <v>0</v>
      </c>
      <c r="K1526" t="s">
        <v>1798</v>
      </c>
      <c r="L1526">
        <v>1.173563056549906</v>
      </c>
      <c r="M1526">
        <v>34.159999999999997</v>
      </c>
      <c r="N1526">
        <v>21.04</v>
      </c>
    </row>
    <row r="1527" spans="1:14" x14ac:dyDescent="0.35">
      <c r="A1527" s="1" t="s">
        <v>1539</v>
      </c>
      <c r="B1527" t="str">
        <f>HYPERLINK("https://www.suredividend.com/sure-analysis-SWX/","Southwest Gas Holdings Inc")</f>
        <v>Southwest Gas Holdings Inc</v>
      </c>
      <c r="C1527" t="s">
        <v>1806</v>
      </c>
      <c r="D1527">
        <v>57.59</v>
      </c>
      <c r="E1527">
        <v>4.3063031776350062E-2</v>
      </c>
      <c r="F1527">
        <v>0</v>
      </c>
      <c r="G1527">
        <v>3.5804203580214189E-2</v>
      </c>
      <c r="H1527">
        <v>2.4432099822025091</v>
      </c>
      <c r="I1527">
        <v>4116.3377970000001</v>
      </c>
      <c r="J1527" t="s">
        <v>1798</v>
      </c>
      <c r="K1527" t="s">
        <v>1798</v>
      </c>
      <c r="L1527">
        <v>0.75283801170129305</v>
      </c>
      <c r="M1527">
        <v>71.569999999999993</v>
      </c>
      <c r="N1527">
        <v>52.69</v>
      </c>
    </row>
    <row r="1528" spans="1:14" x14ac:dyDescent="0.35">
      <c r="A1528" s="1" t="s">
        <v>1540</v>
      </c>
      <c r="B1528" t="str">
        <f>HYPERLINK("https://www.suredividend.com/sure-analysis-research-database/","SunCoke Energy Inc")</f>
        <v>SunCoke Energy Inc</v>
      </c>
      <c r="C1528" t="s">
        <v>1809</v>
      </c>
      <c r="D1528">
        <v>9.76</v>
      </c>
      <c r="E1528">
        <v>3.4325395725782012E-2</v>
      </c>
      <c r="F1528" t="s">
        <v>1798</v>
      </c>
      <c r="G1528" t="s">
        <v>1798</v>
      </c>
      <c r="H1528">
        <v>0.335015862283639</v>
      </c>
      <c r="I1528">
        <v>817.88800000000003</v>
      </c>
      <c r="J1528">
        <v>9.0977530589543942</v>
      </c>
      <c r="K1528">
        <v>0.31605270026758392</v>
      </c>
      <c r="L1528">
        <v>0.95241231370520307</v>
      </c>
      <c r="M1528">
        <v>10.37</v>
      </c>
      <c r="N1528">
        <v>6.11</v>
      </c>
    </row>
    <row r="1529" spans="1:14" x14ac:dyDescent="0.35">
      <c r="A1529" s="1" t="s">
        <v>1541</v>
      </c>
      <c r="B1529" t="str">
        <f>HYPERLINK("https://www.suredividend.com/sure-analysis-SXI/","Standex International Corp.")</f>
        <v>Standex International Corp.</v>
      </c>
      <c r="C1529" t="s">
        <v>1799</v>
      </c>
      <c r="D1529">
        <v>146.57</v>
      </c>
      <c r="E1529">
        <v>7.6414000136453579E-3</v>
      </c>
      <c r="F1529">
        <v>7.6923076923077094E-2</v>
      </c>
      <c r="G1529">
        <v>6.9610375725068785E-2</v>
      </c>
      <c r="H1529">
        <v>1.116698160305255</v>
      </c>
      <c r="I1529">
        <v>1733.9455250000001</v>
      </c>
      <c r="J1529">
        <v>12.47514623294866</v>
      </c>
      <c r="K1529">
        <v>9.6516694926988333E-2</v>
      </c>
      <c r="L1529">
        <v>0.97927775333815004</v>
      </c>
      <c r="M1529">
        <v>168.81</v>
      </c>
      <c r="N1529">
        <v>84</v>
      </c>
    </row>
    <row r="1530" spans="1:14" x14ac:dyDescent="0.35">
      <c r="A1530" s="1" t="s">
        <v>1542</v>
      </c>
      <c r="B1530" t="str">
        <f>HYPERLINK("https://www.suredividend.com/sure-analysis-SXT/","Sensient Technologies Corp.")</f>
        <v>Sensient Technologies Corp.</v>
      </c>
      <c r="C1530" t="s">
        <v>1809</v>
      </c>
      <c r="D1530">
        <v>53.14</v>
      </c>
      <c r="E1530">
        <v>3.0861874294316902E-2</v>
      </c>
      <c r="F1530">
        <v>0</v>
      </c>
      <c r="G1530">
        <v>2.635185407071083E-2</v>
      </c>
      <c r="H1530">
        <v>1.625312190586685</v>
      </c>
      <c r="I1530">
        <v>2245.1598990000002</v>
      </c>
      <c r="J1530">
        <v>16.899579976063769</v>
      </c>
      <c r="K1530">
        <v>0.51761534732060033</v>
      </c>
      <c r="L1530">
        <v>0.91976272368619305</v>
      </c>
      <c r="M1530">
        <v>78.239999999999995</v>
      </c>
      <c r="N1530">
        <v>52.9</v>
      </c>
    </row>
    <row r="1531" spans="1:14" x14ac:dyDescent="0.35">
      <c r="A1531" s="1" t="s">
        <v>1543</v>
      </c>
      <c r="B1531" t="str">
        <f>HYPERLINK("https://www.suredividend.com/sure-analysis-SYBT/","Stock Yards Bancorp Inc")</f>
        <v>Stock Yards Bancorp Inc</v>
      </c>
      <c r="C1531" t="s">
        <v>1801</v>
      </c>
      <c r="D1531">
        <v>39.76</v>
      </c>
      <c r="E1531">
        <v>3.0181086519114692E-2</v>
      </c>
      <c r="F1531">
        <v>3.4482758620689953E-2</v>
      </c>
      <c r="G1531">
        <v>3.7137289336648172E-2</v>
      </c>
      <c r="H1531">
        <v>1.1499960419503279</v>
      </c>
      <c r="I1531">
        <v>1165.869001</v>
      </c>
      <c r="J1531">
        <v>10.13940201558478</v>
      </c>
      <c r="K1531">
        <v>0.29411663476990479</v>
      </c>
      <c r="L1531">
        <v>0.92437507468391811</v>
      </c>
      <c r="M1531">
        <v>75.98</v>
      </c>
      <c r="N1531">
        <v>38.340000000000003</v>
      </c>
    </row>
    <row r="1532" spans="1:14" x14ac:dyDescent="0.35">
      <c r="A1532" s="1" t="s">
        <v>1544</v>
      </c>
      <c r="B1532" t="str">
        <f>HYPERLINK("https://www.suredividend.com/sure-analysis-research-database/","Synaptics Inc")</f>
        <v>Synaptics Inc</v>
      </c>
      <c r="C1532" t="s">
        <v>1804</v>
      </c>
      <c r="D1532">
        <v>94.92</v>
      </c>
      <c r="E1532">
        <v>0</v>
      </c>
      <c r="F1532" t="s">
        <v>1798</v>
      </c>
      <c r="G1532" t="s">
        <v>1798</v>
      </c>
      <c r="H1532">
        <v>0</v>
      </c>
      <c r="I1532">
        <v>3663.9119999999998</v>
      </c>
      <c r="J1532">
        <v>49.781413043478267</v>
      </c>
      <c r="K1532">
        <v>0</v>
      </c>
      <c r="L1532">
        <v>2.2120522140224121</v>
      </c>
      <c r="M1532">
        <v>142.13999999999999</v>
      </c>
      <c r="N1532">
        <v>67.73</v>
      </c>
    </row>
    <row r="1533" spans="1:14" x14ac:dyDescent="0.35">
      <c r="A1533" s="1" t="s">
        <v>1545</v>
      </c>
      <c r="B1533" t="str">
        <f>HYPERLINK("https://www.suredividend.com/sure-analysis-research-database/","Talos Energy Inc")</f>
        <v>Talos Energy Inc</v>
      </c>
      <c r="C1533" t="s">
        <v>1808</v>
      </c>
      <c r="D1533">
        <v>15.78</v>
      </c>
      <c r="E1533">
        <v>0</v>
      </c>
      <c r="F1533" t="s">
        <v>1798</v>
      </c>
      <c r="G1533" t="s">
        <v>1798</v>
      </c>
      <c r="H1533">
        <v>0</v>
      </c>
      <c r="I1533">
        <v>1957.603128</v>
      </c>
      <c r="J1533">
        <v>5.4872940521706957</v>
      </c>
      <c r="K1533">
        <v>0</v>
      </c>
      <c r="L1533">
        <v>1.4580345264262959</v>
      </c>
      <c r="M1533">
        <v>22.5</v>
      </c>
      <c r="N1533">
        <v>10.69</v>
      </c>
    </row>
    <row r="1534" spans="1:14" x14ac:dyDescent="0.35">
      <c r="A1534" s="1" t="s">
        <v>1546</v>
      </c>
      <c r="B1534" t="str">
        <f>HYPERLINK("https://www.suredividend.com/sure-analysis-research-database/","Talaris Therapeutics Inc")</f>
        <v>Talaris Therapeutics Inc</v>
      </c>
      <c r="C1534" t="s">
        <v>1798</v>
      </c>
      <c r="D1534">
        <v>2.86</v>
      </c>
      <c r="E1534">
        <v>0</v>
      </c>
      <c r="F1534" t="s">
        <v>1798</v>
      </c>
      <c r="G1534" t="s">
        <v>1798</v>
      </c>
      <c r="H1534">
        <v>0</v>
      </c>
      <c r="I1534">
        <v>122.30551199999999</v>
      </c>
      <c r="J1534">
        <v>0</v>
      </c>
      <c r="K1534" t="s">
        <v>1798</v>
      </c>
      <c r="L1534">
        <v>1.0661679149200429</v>
      </c>
      <c r="M1534">
        <v>3.29</v>
      </c>
      <c r="N1534">
        <v>0.89</v>
      </c>
    </row>
    <row r="1535" spans="1:14" x14ac:dyDescent="0.35">
      <c r="A1535" s="1" t="s">
        <v>1547</v>
      </c>
      <c r="B1535" t="str">
        <f>HYPERLINK("https://www.suredividend.com/sure-analysis-research-database/","Tarsus Pharmaceuticals Inc")</f>
        <v>Tarsus Pharmaceuticals Inc</v>
      </c>
      <c r="C1535" t="s">
        <v>1798</v>
      </c>
      <c r="D1535">
        <v>12.98</v>
      </c>
      <c r="E1535">
        <v>0</v>
      </c>
      <c r="F1535" t="s">
        <v>1798</v>
      </c>
      <c r="G1535" t="s">
        <v>1798</v>
      </c>
      <c r="H1535">
        <v>0</v>
      </c>
      <c r="I1535">
        <v>423.362391</v>
      </c>
      <c r="J1535" t="s">
        <v>1798</v>
      </c>
      <c r="K1535">
        <v>0</v>
      </c>
      <c r="L1535">
        <v>0.66306181041503609</v>
      </c>
      <c r="M1535">
        <v>25.25</v>
      </c>
      <c r="N1535">
        <v>11.33</v>
      </c>
    </row>
    <row r="1536" spans="1:14" x14ac:dyDescent="0.35">
      <c r="A1536" s="1" t="s">
        <v>1548</v>
      </c>
      <c r="B1536" t="str">
        <f>HYPERLINK("https://www.suredividend.com/sure-analysis-research-database/","Bancorp Inc. (The)")</f>
        <v>Bancorp Inc. (The)</v>
      </c>
      <c r="C1536" t="s">
        <v>1801</v>
      </c>
      <c r="D1536">
        <v>33.68</v>
      </c>
      <c r="E1536">
        <v>0</v>
      </c>
      <c r="F1536" t="s">
        <v>1798</v>
      </c>
      <c r="G1536" t="s">
        <v>1798</v>
      </c>
      <c r="H1536">
        <v>0</v>
      </c>
      <c r="I1536">
        <v>1828.2196799999999</v>
      </c>
      <c r="J1536">
        <v>10.819404411040621</v>
      </c>
      <c r="K1536">
        <v>0</v>
      </c>
      <c r="L1536">
        <v>1.4886052651563011</v>
      </c>
      <c r="M1536">
        <v>41.52</v>
      </c>
      <c r="N1536">
        <v>23.3</v>
      </c>
    </row>
    <row r="1537" spans="1:14" x14ac:dyDescent="0.35">
      <c r="A1537" s="1" t="s">
        <v>1549</v>
      </c>
      <c r="B1537" t="str">
        <f>HYPERLINK("https://www.suredividend.com/sure-analysis-research-database/","TrueBlue Inc")</f>
        <v>TrueBlue Inc</v>
      </c>
      <c r="C1537" t="s">
        <v>1799</v>
      </c>
      <c r="D1537">
        <v>14.6</v>
      </c>
      <c r="E1537">
        <v>0</v>
      </c>
      <c r="F1537" t="s">
        <v>1798</v>
      </c>
      <c r="G1537" t="s">
        <v>1798</v>
      </c>
      <c r="H1537">
        <v>0</v>
      </c>
      <c r="I1537">
        <v>452.67010900000002</v>
      </c>
      <c r="J1537">
        <v>28.0656029016058</v>
      </c>
      <c r="K1537">
        <v>0</v>
      </c>
      <c r="L1537">
        <v>0.75733802512764103</v>
      </c>
      <c r="M1537">
        <v>22.31</v>
      </c>
      <c r="N1537">
        <v>13.52</v>
      </c>
    </row>
    <row r="1538" spans="1:14" x14ac:dyDescent="0.35">
      <c r="A1538" s="1" t="s">
        <v>1550</v>
      </c>
      <c r="B1538" t="str">
        <f>HYPERLINK("https://www.suredividend.com/sure-analysis-research-database/","Theravance Biopharma Inc")</f>
        <v>Theravance Biopharma Inc</v>
      </c>
      <c r="C1538" t="s">
        <v>1803</v>
      </c>
      <c r="D1538">
        <v>9.06</v>
      </c>
      <c r="E1538">
        <v>0</v>
      </c>
      <c r="F1538" t="s">
        <v>1798</v>
      </c>
      <c r="G1538" t="s">
        <v>1798</v>
      </c>
      <c r="H1538">
        <v>0</v>
      </c>
      <c r="I1538">
        <v>478.48672199999999</v>
      </c>
      <c r="J1538">
        <v>0</v>
      </c>
      <c r="K1538" t="s">
        <v>1798</v>
      </c>
      <c r="L1538">
        <v>0.60550554300189208</v>
      </c>
      <c r="M1538">
        <v>12.03</v>
      </c>
      <c r="N1538">
        <v>8.25</v>
      </c>
    </row>
    <row r="1539" spans="1:14" x14ac:dyDescent="0.35">
      <c r="A1539" s="1" t="s">
        <v>1551</v>
      </c>
      <c r="B1539" t="str">
        <f>HYPERLINK("https://www.suredividend.com/sure-analysis-research-database/","Texas Capital Bancshares, Inc.")</f>
        <v>Texas Capital Bancshares, Inc.</v>
      </c>
      <c r="C1539" t="s">
        <v>1801</v>
      </c>
      <c r="D1539">
        <v>57.36</v>
      </c>
      <c r="E1539">
        <v>0</v>
      </c>
      <c r="F1539" t="s">
        <v>1798</v>
      </c>
      <c r="G1539" t="s">
        <v>1798</v>
      </c>
      <c r="H1539">
        <v>0</v>
      </c>
      <c r="I1539">
        <v>2753.3263470000002</v>
      </c>
      <c r="J1539">
        <v>7.8952727084199568</v>
      </c>
      <c r="K1539">
        <v>0</v>
      </c>
      <c r="L1539">
        <v>1.3504076954504649</v>
      </c>
      <c r="M1539">
        <v>69.27</v>
      </c>
      <c r="N1539">
        <v>42.79</v>
      </c>
    </row>
    <row r="1540" spans="1:14" x14ac:dyDescent="0.35">
      <c r="A1540" s="1" t="s">
        <v>1552</v>
      </c>
      <c r="B1540" t="str">
        <f>HYPERLINK("https://www.suredividend.com/sure-analysis-research-database/","Trico Bancshares")</f>
        <v>Trico Bancshares</v>
      </c>
      <c r="C1540" t="s">
        <v>1801</v>
      </c>
      <c r="D1540">
        <v>31.4</v>
      </c>
      <c r="E1540">
        <v>3.7349924476058012E-2</v>
      </c>
      <c r="F1540">
        <v>0</v>
      </c>
      <c r="G1540">
        <v>9.5654257747853855E-2</v>
      </c>
      <c r="H1540">
        <v>1.1727876285482399</v>
      </c>
      <c r="I1540">
        <v>1044.4690330000001</v>
      </c>
      <c r="J1540">
        <v>7.7710000520810079</v>
      </c>
      <c r="K1540">
        <v>0.29173821605677608</v>
      </c>
      <c r="L1540">
        <v>1.022811705057932</v>
      </c>
      <c r="M1540">
        <v>55.97</v>
      </c>
      <c r="N1540">
        <v>27.71</v>
      </c>
    </row>
    <row r="1541" spans="1:14" x14ac:dyDescent="0.35">
      <c r="A1541" s="1" t="s">
        <v>1553</v>
      </c>
      <c r="B1541" t="str">
        <f>HYPERLINK("https://www.suredividend.com/sure-analysis-research-database/","Third Coast Bancshares Inc")</f>
        <v>Third Coast Bancshares Inc</v>
      </c>
      <c r="C1541" t="s">
        <v>1798</v>
      </c>
      <c r="D1541">
        <v>16.52</v>
      </c>
      <c r="E1541">
        <v>0</v>
      </c>
      <c r="F1541" t="s">
        <v>1798</v>
      </c>
      <c r="G1541" t="s">
        <v>1798</v>
      </c>
      <c r="H1541">
        <v>0</v>
      </c>
      <c r="I1541">
        <v>224.78858199999999</v>
      </c>
      <c r="J1541">
        <v>7.844380989670575</v>
      </c>
      <c r="K1541">
        <v>0</v>
      </c>
      <c r="L1541">
        <v>0.95476064758999912</v>
      </c>
      <c r="M1541">
        <v>21.5</v>
      </c>
      <c r="N1541">
        <v>12.31</v>
      </c>
    </row>
    <row r="1542" spans="1:14" x14ac:dyDescent="0.35">
      <c r="A1542" s="1" t="s">
        <v>1554</v>
      </c>
      <c r="B1542" t="str">
        <f>HYPERLINK("https://www.suredividend.com/sure-analysis-research-database/","Transcontinental Realty Investors, Inc.")</f>
        <v>Transcontinental Realty Investors, Inc.</v>
      </c>
      <c r="C1542" t="s">
        <v>1800</v>
      </c>
      <c r="D1542">
        <v>27.51</v>
      </c>
      <c r="E1542">
        <v>0</v>
      </c>
      <c r="F1542" t="s">
        <v>1798</v>
      </c>
      <c r="G1542" t="s">
        <v>1798</v>
      </c>
      <c r="H1542">
        <v>0</v>
      </c>
      <c r="I1542">
        <v>237.66758300000001</v>
      </c>
      <c r="J1542">
        <v>0.53850625849107003</v>
      </c>
      <c r="K1542">
        <v>0</v>
      </c>
      <c r="L1542">
        <v>0.54693221084625199</v>
      </c>
      <c r="M1542">
        <v>47.35</v>
      </c>
      <c r="N1542">
        <v>27.41</v>
      </c>
    </row>
    <row r="1543" spans="1:14" x14ac:dyDescent="0.35">
      <c r="A1543" s="1" t="s">
        <v>1555</v>
      </c>
      <c r="B1543" t="str">
        <f>HYPERLINK("https://www.suredividend.com/sure-analysis-research-database/","Tactile Systems Technology Inc")</f>
        <v>Tactile Systems Technology Inc</v>
      </c>
      <c r="C1543" t="s">
        <v>1803</v>
      </c>
      <c r="D1543">
        <v>11.15</v>
      </c>
      <c r="E1543">
        <v>0</v>
      </c>
      <c r="F1543" t="s">
        <v>1798</v>
      </c>
      <c r="G1543" t="s">
        <v>1798</v>
      </c>
      <c r="H1543">
        <v>0</v>
      </c>
      <c r="I1543">
        <v>261.58971500000001</v>
      </c>
      <c r="J1543">
        <v>734.80257064606747</v>
      </c>
      <c r="K1543">
        <v>0</v>
      </c>
      <c r="L1543">
        <v>0.96483520489783303</v>
      </c>
      <c r="M1543">
        <v>26.11</v>
      </c>
      <c r="N1543">
        <v>6.52</v>
      </c>
    </row>
    <row r="1544" spans="1:14" x14ac:dyDescent="0.35">
      <c r="A1544" s="1" t="s">
        <v>1556</v>
      </c>
      <c r="B1544" t="str">
        <f>HYPERLINK("https://www.suredividend.com/sure-analysis-research-database/","Container Store Group Inc")</f>
        <v>Container Store Group Inc</v>
      </c>
      <c r="C1544" t="s">
        <v>1802</v>
      </c>
      <c r="D1544">
        <v>2.0299999999999998</v>
      </c>
      <c r="E1544">
        <v>0</v>
      </c>
      <c r="F1544" t="s">
        <v>1798</v>
      </c>
      <c r="G1544" t="s">
        <v>1798</v>
      </c>
      <c r="H1544">
        <v>0</v>
      </c>
      <c r="I1544">
        <v>104.32633199999999</v>
      </c>
      <c r="J1544" t="s">
        <v>1798</v>
      </c>
      <c r="K1544">
        <v>0</v>
      </c>
      <c r="L1544">
        <v>1.557410532502308</v>
      </c>
      <c r="M1544">
        <v>5.8</v>
      </c>
      <c r="N1544">
        <v>1.85</v>
      </c>
    </row>
    <row r="1545" spans="1:14" x14ac:dyDescent="0.35">
      <c r="A1545" s="1" t="s">
        <v>1557</v>
      </c>
      <c r="B1545" t="str">
        <f>HYPERLINK("https://www.suredividend.com/sure-analysis-research-database/","Tucows, Inc.")</f>
        <v>Tucows, Inc.</v>
      </c>
      <c r="C1545" t="s">
        <v>1804</v>
      </c>
      <c r="D1545">
        <v>20.190000000000001</v>
      </c>
      <c r="E1545">
        <v>0</v>
      </c>
      <c r="F1545" t="s">
        <v>1798</v>
      </c>
      <c r="G1545" t="s">
        <v>1798</v>
      </c>
      <c r="H1545">
        <v>0</v>
      </c>
      <c r="I1545">
        <v>217.84135800000001</v>
      </c>
      <c r="J1545" t="s">
        <v>1798</v>
      </c>
      <c r="K1545">
        <v>0</v>
      </c>
      <c r="L1545">
        <v>1.7082498802467769</v>
      </c>
      <c r="M1545">
        <v>47.35</v>
      </c>
      <c r="N1545">
        <v>16.03</v>
      </c>
    </row>
    <row r="1546" spans="1:14" x14ac:dyDescent="0.35">
      <c r="A1546" s="1" t="s">
        <v>1558</v>
      </c>
      <c r="B1546" t="str">
        <f>HYPERLINK("https://www.suredividend.com/sure-analysis-TDS/","Telephone And Data Systems, Inc.")</f>
        <v>Telephone And Data Systems, Inc.</v>
      </c>
      <c r="C1546" t="s">
        <v>1807</v>
      </c>
      <c r="D1546">
        <v>17.88</v>
      </c>
      <c r="E1546">
        <v>4.1387024608501119E-2</v>
      </c>
      <c r="F1546">
        <v>2.7777777777777901E-2</v>
      </c>
      <c r="G1546">
        <v>2.9462068239258569E-2</v>
      </c>
      <c r="H1546">
        <v>0.71735948394733307</v>
      </c>
      <c r="I1546">
        <v>1882.3241519999999</v>
      </c>
      <c r="J1546" t="s">
        <v>1798</v>
      </c>
      <c r="K1546" t="s">
        <v>1798</v>
      </c>
      <c r="L1546">
        <v>0.33387190194101102</v>
      </c>
      <c r="M1546">
        <v>21.52</v>
      </c>
      <c r="N1546">
        <v>6.21</v>
      </c>
    </row>
    <row r="1547" spans="1:14" x14ac:dyDescent="0.35">
      <c r="A1547" s="1" t="s">
        <v>1559</v>
      </c>
      <c r="B1547" t="str">
        <f>HYPERLINK("https://www.suredividend.com/sure-analysis-research-database/","ThredUp Inc")</f>
        <v>ThredUp Inc</v>
      </c>
      <c r="C1547" t="s">
        <v>1798</v>
      </c>
      <c r="D1547">
        <v>3.04</v>
      </c>
      <c r="E1547">
        <v>0</v>
      </c>
      <c r="F1547" t="s">
        <v>1798</v>
      </c>
      <c r="G1547" t="s">
        <v>1798</v>
      </c>
      <c r="H1547">
        <v>0</v>
      </c>
      <c r="I1547">
        <v>228.72352000000001</v>
      </c>
      <c r="J1547" t="s">
        <v>1798</v>
      </c>
      <c r="K1547">
        <v>0</v>
      </c>
      <c r="L1547">
        <v>1.3804729087461649</v>
      </c>
      <c r="M1547">
        <v>4.3899999999999997</v>
      </c>
      <c r="N1547">
        <v>0.73050000000000004</v>
      </c>
    </row>
    <row r="1548" spans="1:14" x14ac:dyDescent="0.35">
      <c r="A1548" s="1" t="s">
        <v>1560</v>
      </c>
      <c r="B1548" t="str">
        <f>HYPERLINK("https://www.suredividend.com/sure-analysis-research-database/","Tidewater Inc.")</f>
        <v>Tidewater Inc.</v>
      </c>
      <c r="C1548" t="s">
        <v>1808</v>
      </c>
      <c r="D1548">
        <v>69.430000000000007</v>
      </c>
      <c r="E1548">
        <v>0</v>
      </c>
      <c r="F1548" t="s">
        <v>1798</v>
      </c>
      <c r="G1548" t="s">
        <v>1798</v>
      </c>
      <c r="H1548">
        <v>0</v>
      </c>
      <c r="I1548">
        <v>3656.6662689999998</v>
      </c>
      <c r="J1548">
        <v>74.138645413203037</v>
      </c>
      <c r="K1548">
        <v>0</v>
      </c>
      <c r="L1548">
        <v>0.87613842983647205</v>
      </c>
      <c r="M1548">
        <v>73.55</v>
      </c>
      <c r="N1548">
        <v>24.49</v>
      </c>
    </row>
    <row r="1549" spans="1:14" x14ac:dyDescent="0.35">
      <c r="A1549" s="1" t="s">
        <v>1561</v>
      </c>
      <c r="B1549" t="str">
        <f>HYPERLINK("https://www.suredividend.com/sure-analysis-research-database/","Tellurian Inc")</f>
        <v>Tellurian Inc</v>
      </c>
      <c r="C1549" t="s">
        <v>1808</v>
      </c>
      <c r="D1549">
        <v>0.88300000000000001</v>
      </c>
      <c r="E1549">
        <v>0</v>
      </c>
      <c r="F1549" t="s">
        <v>1798</v>
      </c>
      <c r="G1549" t="s">
        <v>1798</v>
      </c>
      <c r="H1549">
        <v>0</v>
      </c>
      <c r="I1549">
        <v>513.74681799999996</v>
      </c>
      <c r="J1549" t="s">
        <v>1798</v>
      </c>
      <c r="K1549">
        <v>0</v>
      </c>
      <c r="L1549">
        <v>1.966002086315054</v>
      </c>
      <c r="M1549">
        <v>3.14</v>
      </c>
      <c r="N1549">
        <v>0.85</v>
      </c>
    </row>
    <row r="1550" spans="1:14" x14ac:dyDescent="0.35">
      <c r="A1550" s="1" t="s">
        <v>1562</v>
      </c>
      <c r="B1550" t="str">
        <f>HYPERLINK("https://www.suredividend.com/sure-analysis-research-database/","Tenable Holdings Inc")</f>
        <v>Tenable Holdings Inc</v>
      </c>
      <c r="C1550" t="s">
        <v>1804</v>
      </c>
      <c r="D1550">
        <v>42.82</v>
      </c>
      <c r="E1550">
        <v>0</v>
      </c>
      <c r="F1550" t="s">
        <v>1798</v>
      </c>
      <c r="G1550" t="s">
        <v>1798</v>
      </c>
      <c r="H1550">
        <v>0</v>
      </c>
      <c r="I1550">
        <v>4951.6626219999998</v>
      </c>
      <c r="J1550" t="s">
        <v>1798</v>
      </c>
      <c r="K1550">
        <v>0</v>
      </c>
      <c r="L1550">
        <v>1.458484190602894</v>
      </c>
      <c r="M1550">
        <v>49.77</v>
      </c>
      <c r="N1550">
        <v>29.62</v>
      </c>
    </row>
    <row r="1551" spans="1:14" x14ac:dyDescent="0.35">
      <c r="A1551" s="1" t="s">
        <v>1563</v>
      </c>
      <c r="B1551" t="str">
        <f>HYPERLINK("https://www.suredividend.com/sure-analysis-research-database/","Terex Corp.")</f>
        <v>Terex Corp.</v>
      </c>
      <c r="C1551" t="s">
        <v>1799</v>
      </c>
      <c r="D1551">
        <v>53.04</v>
      </c>
      <c r="E1551">
        <v>1.1283309224188E-2</v>
      </c>
      <c r="F1551" t="s">
        <v>1798</v>
      </c>
      <c r="G1551" t="s">
        <v>1798</v>
      </c>
      <c r="H1551">
        <v>0.598466721250972</v>
      </c>
      <c r="I1551">
        <v>3574.8960000000002</v>
      </c>
      <c r="J1551">
        <v>8.0154618834080722</v>
      </c>
      <c r="K1551">
        <v>9.2071803269380303E-2</v>
      </c>
      <c r="L1551">
        <v>1.349043852627948</v>
      </c>
      <c r="M1551">
        <v>65.459999999999994</v>
      </c>
      <c r="N1551">
        <v>31.96</v>
      </c>
    </row>
    <row r="1552" spans="1:14" x14ac:dyDescent="0.35">
      <c r="A1552" s="1" t="s">
        <v>1564</v>
      </c>
      <c r="B1552" t="str">
        <f>HYPERLINK("https://www.suredividend.com/sure-analysis-research-database/","Triumph Financial Inc")</f>
        <v>Triumph Financial Inc</v>
      </c>
      <c r="C1552" t="s">
        <v>1798</v>
      </c>
      <c r="D1552">
        <v>59.5</v>
      </c>
      <c r="E1552">
        <v>0</v>
      </c>
      <c r="F1552" t="s">
        <v>1798</v>
      </c>
      <c r="G1552" t="s">
        <v>1798</v>
      </c>
      <c r="H1552">
        <v>0</v>
      </c>
      <c r="I1552">
        <v>1384.9014729999999</v>
      </c>
      <c r="J1552">
        <v>28.123253035902849</v>
      </c>
      <c r="K1552">
        <v>0</v>
      </c>
      <c r="L1552">
        <v>1.431198949258891</v>
      </c>
      <c r="M1552">
        <v>72.62</v>
      </c>
      <c r="N1552">
        <v>45.08</v>
      </c>
    </row>
    <row r="1553" spans="1:14" x14ac:dyDescent="0.35">
      <c r="A1553" s="1" t="s">
        <v>1565</v>
      </c>
      <c r="B1553" t="str">
        <f>HYPERLINK("https://www.suredividend.com/sure-analysis-research-database/","Fresh Market Holdings Inc (The)")</f>
        <v>Fresh Market Holdings Inc (The)</v>
      </c>
      <c r="C1553" t="s">
        <v>1798</v>
      </c>
      <c r="E1553">
        <v>0</v>
      </c>
      <c r="F1553" t="s">
        <v>1798</v>
      </c>
      <c r="G1553" t="s">
        <v>1798</v>
      </c>
      <c r="H1553">
        <v>0</v>
      </c>
      <c r="I1553">
        <v>0</v>
      </c>
      <c r="J1553">
        <v>0</v>
      </c>
      <c r="K1553" t="s">
        <v>1798</v>
      </c>
    </row>
    <row r="1554" spans="1:14" x14ac:dyDescent="0.35">
      <c r="A1554" s="1" t="s">
        <v>1566</v>
      </c>
      <c r="B1554" t="str">
        <f>HYPERLINK("https://www.suredividend.com/sure-analysis-research-database/","Tredegar Corp.")</f>
        <v>Tredegar Corp.</v>
      </c>
      <c r="C1554" t="s">
        <v>1809</v>
      </c>
      <c r="D1554">
        <v>5.2</v>
      </c>
      <c r="E1554">
        <v>7.3628702373310012E-2</v>
      </c>
      <c r="F1554">
        <v>8.3333333333333481E-2</v>
      </c>
      <c r="G1554">
        <v>3.3975226531950183E-2</v>
      </c>
      <c r="H1554">
        <v>0.38286925234121699</v>
      </c>
      <c r="I1554">
        <v>178.80032</v>
      </c>
      <c r="J1554" t="s">
        <v>1798</v>
      </c>
      <c r="K1554" t="s">
        <v>1798</v>
      </c>
      <c r="L1554">
        <v>0.81621579317162307</v>
      </c>
      <c r="M1554">
        <v>12.08</v>
      </c>
      <c r="N1554">
        <v>4.9000000000000004</v>
      </c>
    </row>
    <row r="1555" spans="1:14" x14ac:dyDescent="0.35">
      <c r="A1555" s="1" t="s">
        <v>1567</v>
      </c>
      <c r="B1555" t="str">
        <f>HYPERLINK("https://www.suredividend.com/sure-analysis-research-database/","Transphorm Inc")</f>
        <v>Transphorm Inc</v>
      </c>
      <c r="C1555" t="s">
        <v>1798</v>
      </c>
      <c r="D1555">
        <v>2.16</v>
      </c>
      <c r="E1555">
        <v>0</v>
      </c>
      <c r="F1555" t="s">
        <v>1798</v>
      </c>
      <c r="G1555" t="s">
        <v>1798</v>
      </c>
      <c r="H1555">
        <v>0</v>
      </c>
      <c r="I1555">
        <v>133.834982</v>
      </c>
      <c r="J1555">
        <v>0</v>
      </c>
      <c r="K1555" t="s">
        <v>1798</v>
      </c>
      <c r="L1555">
        <v>1.7330468267462511</v>
      </c>
      <c r="M1555">
        <v>7.67</v>
      </c>
      <c r="N1555">
        <v>1.94</v>
      </c>
    </row>
    <row r="1556" spans="1:14" x14ac:dyDescent="0.35">
      <c r="A1556" s="1" t="s">
        <v>1568</v>
      </c>
      <c r="B1556" t="str">
        <f>HYPERLINK("https://www.suredividend.com/sure-analysis-research-database/","Textainer Group Holdings Limited")</f>
        <v>Textainer Group Holdings Limited</v>
      </c>
      <c r="C1556" t="s">
        <v>1799</v>
      </c>
      <c r="D1556">
        <v>35.729999999999997</v>
      </c>
      <c r="E1556">
        <v>3.1816458075397999E-2</v>
      </c>
      <c r="F1556" t="s">
        <v>1798</v>
      </c>
      <c r="G1556" t="s">
        <v>1798</v>
      </c>
      <c r="H1556">
        <v>1.136802047033991</v>
      </c>
      <c r="I1556">
        <v>1514.854421</v>
      </c>
      <c r="J1556">
        <v>6.2285348641103244</v>
      </c>
      <c r="K1556">
        <v>0.20820550311977859</v>
      </c>
      <c r="L1556">
        <v>0.67713294621923403</v>
      </c>
      <c r="M1556">
        <v>42.68</v>
      </c>
      <c r="N1556">
        <v>26.86</v>
      </c>
    </row>
    <row r="1557" spans="1:14" x14ac:dyDescent="0.35">
      <c r="A1557" s="1" t="s">
        <v>1569</v>
      </c>
      <c r="B1557" t="str">
        <f>HYPERLINK("https://www.suredividend.com/sure-analysis-research-database/","Triumph Group Inc.")</f>
        <v>Triumph Group Inc.</v>
      </c>
      <c r="C1557" t="s">
        <v>1799</v>
      </c>
      <c r="D1557">
        <v>7.17</v>
      </c>
      <c r="E1557">
        <v>0</v>
      </c>
      <c r="F1557" t="s">
        <v>1798</v>
      </c>
      <c r="G1557" t="s">
        <v>1798</v>
      </c>
      <c r="H1557">
        <v>0</v>
      </c>
      <c r="I1557">
        <v>550.03422499999999</v>
      </c>
      <c r="J1557">
        <v>6.7264372250892723</v>
      </c>
      <c r="K1557">
        <v>0</v>
      </c>
      <c r="M1557">
        <v>13.33</v>
      </c>
      <c r="N1557">
        <v>7</v>
      </c>
    </row>
    <row r="1558" spans="1:14" x14ac:dyDescent="0.35">
      <c r="A1558" s="1" t="s">
        <v>1570</v>
      </c>
      <c r="B1558" t="str">
        <f>HYPERLINK("https://www.suredividend.com/sure-analysis-research-database/","TEGNA Inc")</f>
        <v>TEGNA Inc</v>
      </c>
      <c r="C1558" t="s">
        <v>1807</v>
      </c>
      <c r="D1558">
        <v>14.08</v>
      </c>
      <c r="E1558">
        <v>2.8059674693574999E-2</v>
      </c>
      <c r="F1558">
        <v>0.19736842105263161</v>
      </c>
      <c r="G1558">
        <v>0.10197228772148011</v>
      </c>
      <c r="H1558">
        <v>0.39508021968554902</v>
      </c>
      <c r="I1558">
        <v>2837.42983</v>
      </c>
      <c r="J1558">
        <v>4.2408311044817166</v>
      </c>
      <c r="K1558">
        <v>0.13169340656184969</v>
      </c>
      <c r="L1558">
        <v>0.37926272775531211</v>
      </c>
      <c r="M1558">
        <v>21.88</v>
      </c>
      <c r="N1558">
        <v>13.66</v>
      </c>
    </row>
    <row r="1559" spans="1:14" x14ac:dyDescent="0.35">
      <c r="A1559" s="1" t="s">
        <v>1571</v>
      </c>
      <c r="B1559" t="str">
        <f>HYPERLINK("https://www.suredividend.com/sure-analysis-research-database/","TG Therapeutics Inc")</f>
        <v>TG Therapeutics Inc</v>
      </c>
      <c r="C1559" t="s">
        <v>1803</v>
      </c>
      <c r="D1559">
        <v>6.69</v>
      </c>
      <c r="E1559">
        <v>0</v>
      </c>
      <c r="F1559" t="s">
        <v>1798</v>
      </c>
      <c r="G1559" t="s">
        <v>1798</v>
      </c>
      <c r="H1559">
        <v>0</v>
      </c>
      <c r="I1559">
        <v>1010.039903</v>
      </c>
      <c r="J1559" t="s">
        <v>1798</v>
      </c>
      <c r="K1559">
        <v>0</v>
      </c>
      <c r="L1559">
        <v>3.0845686800354999</v>
      </c>
      <c r="M1559">
        <v>35.67</v>
      </c>
      <c r="N1559">
        <v>4.8600000000000003</v>
      </c>
    </row>
    <row r="1560" spans="1:14" x14ac:dyDescent="0.35">
      <c r="A1560" s="1" t="s">
        <v>1572</v>
      </c>
      <c r="B1560" t="str">
        <f>HYPERLINK("https://www.suredividend.com/sure-analysis-research-database/","Target Hospitality Corp")</f>
        <v>Target Hospitality Corp</v>
      </c>
      <c r="C1560" t="s">
        <v>1808</v>
      </c>
      <c r="D1560">
        <v>14.94</v>
      </c>
      <c r="E1560">
        <v>0</v>
      </c>
      <c r="F1560" t="s">
        <v>1798</v>
      </c>
      <c r="G1560" t="s">
        <v>1798</v>
      </c>
      <c r="H1560">
        <v>0</v>
      </c>
      <c r="I1560">
        <v>1517.8450769999999</v>
      </c>
      <c r="J1560">
        <v>10.77463993298881</v>
      </c>
      <c r="K1560">
        <v>0</v>
      </c>
      <c r="L1560">
        <v>0.18363864491686499</v>
      </c>
      <c r="M1560">
        <v>18.48</v>
      </c>
      <c r="N1560">
        <v>10.4</v>
      </c>
    </row>
    <row r="1561" spans="1:14" x14ac:dyDescent="0.35">
      <c r="A1561" s="1" t="s">
        <v>1573</v>
      </c>
      <c r="B1561" t="str">
        <f>HYPERLINK("https://www.suredividend.com/sure-analysis-THFF/","First Financial Corp. - Indiana")</f>
        <v>First Financial Corp. - Indiana</v>
      </c>
      <c r="C1561" t="s">
        <v>1801</v>
      </c>
      <c r="D1561">
        <v>33.08</v>
      </c>
      <c r="E1561">
        <v>3.2648125755743662E-2</v>
      </c>
      <c r="F1561" t="s">
        <v>1798</v>
      </c>
      <c r="G1561" t="s">
        <v>1798</v>
      </c>
      <c r="H1561">
        <v>1.0635774982663351</v>
      </c>
      <c r="I1561">
        <v>396.15202099999999</v>
      </c>
      <c r="J1561">
        <v>5.9536816152932861</v>
      </c>
      <c r="K1561">
        <v>0.1923286615309828</v>
      </c>
      <c r="L1561">
        <v>0.688979744008686</v>
      </c>
      <c r="M1561">
        <v>47.81</v>
      </c>
      <c r="N1561">
        <v>30.06</v>
      </c>
    </row>
    <row r="1562" spans="1:14" x14ac:dyDescent="0.35">
      <c r="A1562" s="1" t="s">
        <v>1574</v>
      </c>
      <c r="B1562" t="str">
        <f>HYPERLINK("https://www.suredividend.com/sure-analysis-research-database/","Thermon Group Holdings Inc")</f>
        <v>Thermon Group Holdings Inc</v>
      </c>
      <c r="C1562" t="s">
        <v>1799</v>
      </c>
      <c r="D1562">
        <v>27.16</v>
      </c>
      <c r="E1562">
        <v>0</v>
      </c>
      <c r="F1562" t="s">
        <v>1798</v>
      </c>
      <c r="G1562" t="s">
        <v>1798</v>
      </c>
      <c r="H1562">
        <v>0</v>
      </c>
      <c r="I1562">
        <v>914.94459600000005</v>
      </c>
      <c r="J1562">
        <v>24.047114078006729</v>
      </c>
      <c r="K1562">
        <v>0</v>
      </c>
      <c r="L1562">
        <v>0.8877713252601811</v>
      </c>
      <c r="M1562">
        <v>29.17</v>
      </c>
      <c r="N1562">
        <v>16.09</v>
      </c>
    </row>
    <row r="1563" spans="1:14" x14ac:dyDescent="0.35">
      <c r="A1563" s="1" t="s">
        <v>1575</v>
      </c>
      <c r="B1563" t="str">
        <f>HYPERLINK("https://www.suredividend.com/sure-analysis-research-database/","Third Harmonic Bio Inc")</f>
        <v>Third Harmonic Bio Inc</v>
      </c>
      <c r="C1563" t="s">
        <v>1798</v>
      </c>
      <c r="D1563">
        <v>6.74</v>
      </c>
      <c r="E1563">
        <v>0</v>
      </c>
      <c r="F1563" t="s">
        <v>1798</v>
      </c>
      <c r="G1563" t="s">
        <v>1798</v>
      </c>
      <c r="H1563">
        <v>0</v>
      </c>
      <c r="I1563">
        <v>272.157715</v>
      </c>
      <c r="J1563">
        <v>0</v>
      </c>
      <c r="K1563" t="s">
        <v>1798</v>
      </c>
      <c r="L1563">
        <v>1.1908037420772111</v>
      </c>
      <c r="M1563">
        <v>24.6</v>
      </c>
      <c r="N1563">
        <v>3.75</v>
      </c>
    </row>
    <row r="1564" spans="1:14" x14ac:dyDescent="0.35">
      <c r="A1564" s="1" t="s">
        <v>1576</v>
      </c>
      <c r="B1564" t="str">
        <f>HYPERLINK("https://www.suredividend.com/sure-analysis-research-database/","Gentherm Inc")</f>
        <v>Gentherm Inc</v>
      </c>
      <c r="C1564" t="s">
        <v>1802</v>
      </c>
      <c r="D1564">
        <v>53.5</v>
      </c>
      <c r="E1564">
        <v>0</v>
      </c>
      <c r="F1564" t="s">
        <v>1798</v>
      </c>
      <c r="G1564" t="s">
        <v>1798</v>
      </c>
      <c r="H1564">
        <v>0</v>
      </c>
      <c r="I1564">
        <v>1764.994211</v>
      </c>
      <c r="J1564">
        <v>146.66729358484301</v>
      </c>
      <c r="K1564">
        <v>0</v>
      </c>
      <c r="L1564">
        <v>1.125391152899349</v>
      </c>
      <c r="M1564">
        <v>76.13</v>
      </c>
      <c r="N1564">
        <v>51.95</v>
      </c>
    </row>
    <row r="1565" spans="1:14" x14ac:dyDescent="0.35">
      <c r="A1565" s="1" t="s">
        <v>1577</v>
      </c>
      <c r="B1565" t="str">
        <f>HYPERLINK("https://www.suredividend.com/sure-analysis-research-database/","Thorne Healthtech Inc")</f>
        <v>Thorne Healthtech Inc</v>
      </c>
      <c r="C1565" t="s">
        <v>1798</v>
      </c>
      <c r="D1565">
        <v>10.19</v>
      </c>
      <c r="E1565">
        <v>0</v>
      </c>
      <c r="F1565" t="s">
        <v>1798</v>
      </c>
      <c r="G1565" t="s">
        <v>1798</v>
      </c>
      <c r="H1565">
        <v>0</v>
      </c>
      <c r="I1565">
        <v>549.44500400000004</v>
      </c>
      <c r="J1565">
        <v>0</v>
      </c>
      <c r="K1565" t="s">
        <v>1798</v>
      </c>
      <c r="L1565">
        <v>0.34453098890781497</v>
      </c>
      <c r="M1565">
        <v>10.199999999999999</v>
      </c>
      <c r="N1565">
        <v>3.41</v>
      </c>
    </row>
    <row r="1566" spans="1:14" x14ac:dyDescent="0.35">
      <c r="A1566" s="1" t="s">
        <v>1578</v>
      </c>
      <c r="B1566" t="str">
        <f>HYPERLINK("https://www.suredividend.com/sure-analysis-research-database/","Theseus Pharmaceuticals Inc")</f>
        <v>Theseus Pharmaceuticals Inc</v>
      </c>
      <c r="C1566" t="s">
        <v>1798</v>
      </c>
      <c r="D1566">
        <v>2.35</v>
      </c>
      <c r="E1566">
        <v>0</v>
      </c>
      <c r="F1566" t="s">
        <v>1798</v>
      </c>
      <c r="G1566" t="s">
        <v>1798</v>
      </c>
      <c r="H1566">
        <v>0</v>
      </c>
      <c r="I1566">
        <v>102.467917</v>
      </c>
      <c r="J1566">
        <v>0</v>
      </c>
      <c r="K1566" t="s">
        <v>1798</v>
      </c>
      <c r="L1566">
        <v>1.695752158508995</v>
      </c>
      <c r="M1566">
        <v>14.77</v>
      </c>
      <c r="N1566">
        <v>2.2799999999999998</v>
      </c>
    </row>
    <row r="1567" spans="1:14" x14ac:dyDescent="0.35">
      <c r="A1567" s="1" t="s">
        <v>1579</v>
      </c>
      <c r="B1567" t="str">
        <f>HYPERLINK("https://www.suredividend.com/sure-analysis-research-database/","Thryv Holdings Inc")</f>
        <v>Thryv Holdings Inc</v>
      </c>
      <c r="C1567" t="s">
        <v>1798</v>
      </c>
      <c r="D1567">
        <v>18.41</v>
      </c>
      <c r="E1567">
        <v>0</v>
      </c>
      <c r="F1567" t="s">
        <v>1798</v>
      </c>
      <c r="G1567" t="s">
        <v>1798</v>
      </c>
      <c r="H1567">
        <v>0</v>
      </c>
      <c r="I1567">
        <v>637.05724699999996</v>
      </c>
      <c r="J1567" t="s">
        <v>1798</v>
      </c>
      <c r="K1567">
        <v>0</v>
      </c>
      <c r="L1567">
        <v>1.0688623233468559</v>
      </c>
      <c r="M1567">
        <v>26.01</v>
      </c>
      <c r="N1567">
        <v>17.3</v>
      </c>
    </row>
    <row r="1568" spans="1:14" x14ac:dyDescent="0.35">
      <c r="A1568" s="1" t="s">
        <v>1580</v>
      </c>
      <c r="B1568" t="str">
        <f>HYPERLINK("https://www.suredividend.com/sure-analysis-research-database/","Treehouse Foods Inc")</f>
        <v>Treehouse Foods Inc</v>
      </c>
      <c r="C1568" t="s">
        <v>1805</v>
      </c>
      <c r="D1568">
        <v>40.28</v>
      </c>
      <c r="E1568">
        <v>0</v>
      </c>
      <c r="F1568" t="s">
        <v>1798</v>
      </c>
      <c r="G1568" t="s">
        <v>1798</v>
      </c>
      <c r="H1568">
        <v>0</v>
      </c>
      <c r="I1568">
        <v>2270.9269469999999</v>
      </c>
      <c r="J1568" t="s">
        <v>1798</v>
      </c>
      <c r="K1568">
        <v>0</v>
      </c>
      <c r="L1568">
        <v>0.33265596345291498</v>
      </c>
      <c r="M1568">
        <v>55.3</v>
      </c>
      <c r="N1568">
        <v>38.18</v>
      </c>
    </row>
    <row r="1569" spans="1:14" x14ac:dyDescent="0.35">
      <c r="A1569" s="1" t="s">
        <v>1581</v>
      </c>
      <c r="B1569" t="str">
        <f>HYPERLINK("https://www.suredividend.com/sure-analysis-research-database/","Instil Bio Inc")</f>
        <v>Instil Bio Inc</v>
      </c>
      <c r="C1569" t="s">
        <v>1798</v>
      </c>
      <c r="D1569">
        <v>0.36899999999999999</v>
      </c>
      <c r="E1569">
        <v>0</v>
      </c>
      <c r="F1569" t="s">
        <v>1798</v>
      </c>
      <c r="G1569" t="s">
        <v>1798</v>
      </c>
      <c r="H1569">
        <v>0</v>
      </c>
      <c r="I1569">
        <v>47.999186999999999</v>
      </c>
      <c r="J1569">
        <v>0</v>
      </c>
      <c r="K1569" t="s">
        <v>1798</v>
      </c>
      <c r="L1569">
        <v>1.3037908132592371</v>
      </c>
      <c r="M1569">
        <v>5.26</v>
      </c>
      <c r="N1569">
        <v>0.34710000000000002</v>
      </c>
    </row>
    <row r="1570" spans="1:14" x14ac:dyDescent="0.35">
      <c r="A1570" s="1" t="s">
        <v>1582</v>
      </c>
      <c r="B1570" t="str">
        <f>HYPERLINK("https://www.suredividend.com/sure-analysis-research-database/","Interface Inc.")</f>
        <v>Interface Inc.</v>
      </c>
      <c r="C1570" t="s">
        <v>1802</v>
      </c>
      <c r="D1570">
        <v>9.27</v>
      </c>
      <c r="E1570">
        <v>4.3011023975500001E-3</v>
      </c>
      <c r="F1570">
        <v>0</v>
      </c>
      <c r="G1570">
        <v>-0.312271014707454</v>
      </c>
      <c r="H1570">
        <v>3.9871219225291001E-2</v>
      </c>
      <c r="I1570">
        <v>538.651658</v>
      </c>
      <c r="J1570">
        <v>111.9857917359667</v>
      </c>
      <c r="K1570">
        <v>0.48328750576110302</v>
      </c>
      <c r="L1570">
        <v>1.207984600511637</v>
      </c>
      <c r="M1570">
        <v>12.22</v>
      </c>
      <c r="N1570">
        <v>6.48</v>
      </c>
    </row>
    <row r="1571" spans="1:14" x14ac:dyDescent="0.35">
      <c r="A1571" s="1" t="s">
        <v>1583</v>
      </c>
      <c r="B1571" t="str">
        <f>HYPERLINK("https://www.suredividend.com/sure-analysis-research-database/","Tiptree Inc")</f>
        <v>Tiptree Inc</v>
      </c>
      <c r="C1571" t="s">
        <v>1801</v>
      </c>
      <c r="D1571">
        <v>15.75</v>
      </c>
      <c r="E1571">
        <v>1.1984789605588001E-2</v>
      </c>
      <c r="F1571">
        <v>0.25</v>
      </c>
      <c r="G1571">
        <v>7.3940923785779322E-2</v>
      </c>
      <c r="H1571">
        <v>0.188760436288018</v>
      </c>
      <c r="I1571">
        <v>578.80884600000002</v>
      </c>
      <c r="J1571">
        <v>0</v>
      </c>
      <c r="K1571" t="s">
        <v>1798</v>
      </c>
      <c r="L1571">
        <v>0.46128631439833512</v>
      </c>
      <c r="M1571">
        <v>18</v>
      </c>
      <c r="N1571">
        <v>10.87</v>
      </c>
    </row>
    <row r="1572" spans="1:14" x14ac:dyDescent="0.35">
      <c r="A1572" s="1" t="s">
        <v>1584</v>
      </c>
      <c r="B1572" t="str">
        <f>HYPERLINK("https://www.suredividend.com/sure-analysis-research-database/","Titan Machinery Inc")</f>
        <v>Titan Machinery Inc</v>
      </c>
      <c r="C1572" t="s">
        <v>1799</v>
      </c>
      <c r="D1572">
        <v>25.61</v>
      </c>
      <c r="E1572">
        <v>0</v>
      </c>
      <c r="F1572" t="s">
        <v>1798</v>
      </c>
      <c r="G1572" t="s">
        <v>1798</v>
      </c>
      <c r="H1572">
        <v>0</v>
      </c>
      <c r="I1572">
        <v>585.54476099999999</v>
      </c>
      <c r="J1572">
        <v>5.0405864083294594</v>
      </c>
      <c r="K1572">
        <v>0</v>
      </c>
      <c r="L1572">
        <v>1.160891768675012</v>
      </c>
      <c r="M1572">
        <v>47.87</v>
      </c>
      <c r="N1572">
        <v>24.48</v>
      </c>
    </row>
    <row r="1573" spans="1:14" x14ac:dyDescent="0.35">
      <c r="A1573" s="1" t="s">
        <v>1585</v>
      </c>
      <c r="B1573" t="str">
        <f>HYPERLINK("https://www.suredividend.com/sure-analysis-research-database/","Teekay Corp")</f>
        <v>Teekay Corp</v>
      </c>
      <c r="C1573" t="s">
        <v>1808</v>
      </c>
      <c r="D1573">
        <v>6.55</v>
      </c>
      <c r="E1573">
        <v>0</v>
      </c>
      <c r="F1573" t="s">
        <v>1798</v>
      </c>
      <c r="G1573" t="s">
        <v>1798</v>
      </c>
      <c r="H1573">
        <v>0</v>
      </c>
      <c r="I1573">
        <v>598.50565400000005</v>
      </c>
      <c r="J1573">
        <v>3.7096384853537292</v>
      </c>
      <c r="K1573">
        <v>0</v>
      </c>
      <c r="L1573">
        <v>0.60363424044939606</v>
      </c>
      <c r="M1573">
        <v>7.26</v>
      </c>
      <c r="N1573">
        <v>3.66</v>
      </c>
    </row>
    <row r="1574" spans="1:14" x14ac:dyDescent="0.35">
      <c r="A1574" s="1" t="s">
        <v>1586</v>
      </c>
      <c r="B1574" t="str">
        <f>HYPERLINK("https://www.suredividend.com/sure-analysis-research-database/","Alpha Teknova Inc")</f>
        <v>Alpha Teknova Inc</v>
      </c>
      <c r="C1574" t="s">
        <v>1798</v>
      </c>
      <c r="D1574">
        <v>1.98</v>
      </c>
      <c r="E1574">
        <v>0</v>
      </c>
      <c r="F1574" t="s">
        <v>1798</v>
      </c>
      <c r="G1574" t="s">
        <v>1798</v>
      </c>
      <c r="H1574">
        <v>0</v>
      </c>
      <c r="I1574">
        <v>56.115777999999999</v>
      </c>
      <c r="J1574" t="s">
        <v>1798</v>
      </c>
      <c r="K1574">
        <v>0</v>
      </c>
      <c r="L1574">
        <v>1.4760621315809419</v>
      </c>
      <c r="M1574">
        <v>6.48</v>
      </c>
      <c r="N1574">
        <v>1.62</v>
      </c>
    </row>
    <row r="1575" spans="1:14" x14ac:dyDescent="0.35">
      <c r="A1575" s="1" t="s">
        <v>1587</v>
      </c>
      <c r="B1575" t="str">
        <f>HYPERLINK("https://www.suredividend.com/sure-analysis-research-database/","Telos Corp")</f>
        <v>Telos Corp</v>
      </c>
      <c r="C1575" t="s">
        <v>1798</v>
      </c>
      <c r="D1575">
        <v>2.37</v>
      </c>
      <c r="E1575">
        <v>0</v>
      </c>
      <c r="F1575" t="s">
        <v>1798</v>
      </c>
      <c r="G1575" t="s">
        <v>1798</v>
      </c>
      <c r="H1575">
        <v>0</v>
      </c>
      <c r="I1575">
        <v>164.91125700000001</v>
      </c>
      <c r="J1575">
        <v>0</v>
      </c>
      <c r="K1575" t="s">
        <v>1798</v>
      </c>
      <c r="L1575">
        <v>1.683505274485515</v>
      </c>
      <c r="M1575">
        <v>11.24</v>
      </c>
      <c r="N1575">
        <v>1.53</v>
      </c>
    </row>
    <row r="1576" spans="1:14" x14ac:dyDescent="0.35">
      <c r="A1576" s="1" t="s">
        <v>1588</v>
      </c>
      <c r="B1576" t="str">
        <f>HYPERLINK("https://www.suredividend.com/sure-analysis-research-database/","Tillys Inc")</f>
        <v>Tillys Inc</v>
      </c>
      <c r="C1576" t="s">
        <v>1802</v>
      </c>
      <c r="D1576">
        <v>8.1</v>
      </c>
      <c r="E1576">
        <v>0</v>
      </c>
      <c r="F1576" t="s">
        <v>1798</v>
      </c>
      <c r="G1576" t="s">
        <v>1798</v>
      </c>
      <c r="H1576">
        <v>0</v>
      </c>
      <c r="I1576">
        <v>183.49837199999999</v>
      </c>
      <c r="J1576" t="s">
        <v>1798</v>
      </c>
      <c r="K1576">
        <v>0</v>
      </c>
      <c r="L1576">
        <v>0.98128563201647812</v>
      </c>
      <c r="M1576">
        <v>10.35</v>
      </c>
      <c r="N1576">
        <v>6.05</v>
      </c>
    </row>
    <row r="1577" spans="1:14" x14ac:dyDescent="0.35">
      <c r="A1577" s="1" t="s">
        <v>1589</v>
      </c>
      <c r="B1577" t="str">
        <f>HYPERLINK("https://www.suredividend.com/sure-analysis-research-database/","Treace Medical Concepts Inc")</f>
        <v>Treace Medical Concepts Inc</v>
      </c>
      <c r="C1577" t="s">
        <v>1798</v>
      </c>
      <c r="D1577">
        <v>10.11</v>
      </c>
      <c r="E1577">
        <v>0</v>
      </c>
      <c r="F1577" t="s">
        <v>1798</v>
      </c>
      <c r="G1577" t="s">
        <v>1798</v>
      </c>
      <c r="H1577">
        <v>0</v>
      </c>
      <c r="I1577">
        <v>622.216634</v>
      </c>
      <c r="J1577" t="s">
        <v>1798</v>
      </c>
      <c r="K1577">
        <v>0</v>
      </c>
      <c r="L1577">
        <v>1.027524969354191</v>
      </c>
      <c r="M1577">
        <v>27.97</v>
      </c>
      <c r="N1577">
        <v>9.56</v>
      </c>
    </row>
    <row r="1578" spans="1:14" x14ac:dyDescent="0.35">
      <c r="A1578" s="1" t="s">
        <v>1590</v>
      </c>
      <c r="B1578" t="str">
        <f>HYPERLINK("https://www.suredividend.com/sure-analysis-research-database/","Transmedics Group Inc")</f>
        <v>Transmedics Group Inc</v>
      </c>
      <c r="C1578" t="s">
        <v>1803</v>
      </c>
      <c r="D1578">
        <v>42.75</v>
      </c>
      <c r="E1578">
        <v>0</v>
      </c>
      <c r="F1578" t="s">
        <v>1798</v>
      </c>
      <c r="G1578" t="s">
        <v>1798</v>
      </c>
      <c r="H1578">
        <v>0</v>
      </c>
      <c r="I1578">
        <v>1393.65</v>
      </c>
      <c r="J1578" t="s">
        <v>1798</v>
      </c>
      <c r="K1578">
        <v>0</v>
      </c>
      <c r="L1578">
        <v>1.5368150772931519</v>
      </c>
      <c r="M1578">
        <v>99.63</v>
      </c>
      <c r="N1578">
        <v>39.53</v>
      </c>
    </row>
    <row r="1579" spans="1:14" x14ac:dyDescent="0.35">
      <c r="A1579" s="1" t="s">
        <v>1591</v>
      </c>
      <c r="B1579" t="str">
        <f>HYPERLINK("https://www.suredividend.com/sure-analysis-research-database/","Taylor Morrison Home Corp.")</f>
        <v>Taylor Morrison Home Corp.</v>
      </c>
      <c r="C1579" t="s">
        <v>1802</v>
      </c>
      <c r="D1579">
        <v>40.770000000000003</v>
      </c>
      <c r="E1579">
        <v>0</v>
      </c>
      <c r="F1579" t="s">
        <v>1798</v>
      </c>
      <c r="G1579" t="s">
        <v>1798</v>
      </c>
      <c r="H1579">
        <v>0</v>
      </c>
      <c r="I1579">
        <v>4462.1985889999996</v>
      </c>
      <c r="J1579">
        <v>4.4146833516165511</v>
      </c>
      <c r="K1579">
        <v>0</v>
      </c>
      <c r="L1579">
        <v>1.453212466016309</v>
      </c>
      <c r="M1579">
        <v>52.09</v>
      </c>
      <c r="N1579">
        <v>23.51</v>
      </c>
    </row>
    <row r="1580" spans="1:14" x14ac:dyDescent="0.35">
      <c r="A1580" s="1" t="s">
        <v>1592</v>
      </c>
      <c r="B1580" t="str">
        <f>HYPERLINK("https://www.suredividend.com/sure-analysis-TMP/","Tompkins Financial Corp")</f>
        <v>Tompkins Financial Corp</v>
      </c>
      <c r="C1580" t="s">
        <v>1801</v>
      </c>
      <c r="D1580">
        <v>49.15</v>
      </c>
      <c r="E1580">
        <v>4.8830111902339768E-2</v>
      </c>
      <c r="F1580">
        <v>5.2631578947368363E-2</v>
      </c>
      <c r="G1580">
        <v>3.7137289336648172E-2</v>
      </c>
      <c r="H1580">
        <v>2.334893604152763</v>
      </c>
      <c r="I1580">
        <v>705.95295099999998</v>
      </c>
      <c r="J1580">
        <v>10.28920947224206</v>
      </c>
      <c r="K1580">
        <v>0.48949551449743472</v>
      </c>
      <c r="L1580">
        <v>0.93039080484001202</v>
      </c>
      <c r="M1580">
        <v>80.91</v>
      </c>
      <c r="N1580">
        <v>46.69</v>
      </c>
    </row>
    <row r="1581" spans="1:14" x14ac:dyDescent="0.35">
      <c r="A1581" s="1" t="s">
        <v>1593</v>
      </c>
      <c r="B1581" t="str">
        <f>HYPERLINK("https://www.suredividend.com/sure-analysis-research-database/","TimkenSteel Corp")</f>
        <v>TimkenSteel Corp</v>
      </c>
      <c r="C1581" t="s">
        <v>1809</v>
      </c>
      <c r="D1581">
        <v>20.34</v>
      </c>
      <c r="E1581">
        <v>0</v>
      </c>
      <c r="F1581" t="s">
        <v>1798</v>
      </c>
      <c r="G1581" t="s">
        <v>1798</v>
      </c>
      <c r="H1581">
        <v>0</v>
      </c>
      <c r="I1581">
        <v>883.871893</v>
      </c>
      <c r="J1581" t="s">
        <v>1798</v>
      </c>
      <c r="K1581">
        <v>0</v>
      </c>
      <c r="L1581">
        <v>1.548897727805336</v>
      </c>
      <c r="M1581">
        <v>23.49</v>
      </c>
      <c r="N1581">
        <v>15.3</v>
      </c>
    </row>
    <row r="1582" spans="1:14" x14ac:dyDescent="0.35">
      <c r="A1582" s="1" t="s">
        <v>1594</v>
      </c>
      <c r="B1582" t="str">
        <f>HYPERLINK("https://www.suredividend.com/sure-analysis-TNC/","Tennant Co.")</f>
        <v>Tennant Co.</v>
      </c>
      <c r="C1582" t="s">
        <v>1799</v>
      </c>
      <c r="D1582">
        <v>75</v>
      </c>
      <c r="E1582">
        <v>1.4133333333333329E-2</v>
      </c>
      <c r="F1582">
        <v>6.0000000000000053E-2</v>
      </c>
      <c r="G1582">
        <v>3.7921811632987579E-2</v>
      </c>
      <c r="H1582">
        <v>1.0546056349977659</v>
      </c>
      <c r="I1582">
        <v>1393.75755</v>
      </c>
      <c r="J1582">
        <v>14.67113210526316</v>
      </c>
      <c r="K1582">
        <v>0.20719167681684991</v>
      </c>
      <c r="L1582">
        <v>0.91617775283693703</v>
      </c>
      <c r="M1582">
        <v>87.25</v>
      </c>
      <c r="N1582">
        <v>56.37</v>
      </c>
    </row>
    <row r="1583" spans="1:14" x14ac:dyDescent="0.35">
      <c r="A1583" s="1" t="s">
        <v>1595</v>
      </c>
      <c r="B1583" t="str">
        <f>HYPERLINK("https://www.suredividend.com/sure-analysis-research-database/","TriNet Group Inc")</f>
        <v>TriNet Group Inc</v>
      </c>
      <c r="C1583" t="s">
        <v>1799</v>
      </c>
      <c r="D1583">
        <v>119.17</v>
      </c>
      <c r="E1583">
        <v>0</v>
      </c>
      <c r="F1583" t="s">
        <v>1798</v>
      </c>
      <c r="G1583" t="s">
        <v>1798</v>
      </c>
      <c r="H1583">
        <v>0</v>
      </c>
      <c r="I1583">
        <v>7112.216469</v>
      </c>
      <c r="J1583">
        <v>21.042060559822492</v>
      </c>
      <c r="K1583">
        <v>0</v>
      </c>
      <c r="L1583">
        <v>0.9272774856705821</v>
      </c>
      <c r="M1583">
        <v>121.24</v>
      </c>
      <c r="N1583">
        <v>60.61</v>
      </c>
    </row>
    <row r="1584" spans="1:14" x14ac:dyDescent="0.35">
      <c r="A1584" s="1" t="s">
        <v>1596</v>
      </c>
      <c r="B1584" t="str">
        <f>HYPERLINK("https://www.suredividend.com/sure-analysis-research-database/","Tango Therapeutics Inc")</f>
        <v>Tango Therapeutics Inc</v>
      </c>
      <c r="C1584" t="s">
        <v>1798</v>
      </c>
      <c r="D1584">
        <v>7.69</v>
      </c>
      <c r="E1584">
        <v>0</v>
      </c>
      <c r="F1584" t="s">
        <v>1798</v>
      </c>
      <c r="G1584" t="s">
        <v>1798</v>
      </c>
      <c r="H1584">
        <v>0</v>
      </c>
      <c r="I1584">
        <v>782.36863400000004</v>
      </c>
      <c r="J1584" t="s">
        <v>1798</v>
      </c>
      <c r="K1584">
        <v>0</v>
      </c>
      <c r="L1584">
        <v>1.015496616235118</v>
      </c>
      <c r="M1584">
        <v>13.03</v>
      </c>
      <c r="N1584">
        <v>2.4700000000000002</v>
      </c>
    </row>
    <row r="1585" spans="1:14" x14ac:dyDescent="0.35">
      <c r="A1585" s="1" t="s">
        <v>1597</v>
      </c>
      <c r="B1585" t="str">
        <f>HYPERLINK("https://www.suredividend.com/sure-analysis-research-database/","Teekay Tankers Ltd")</f>
        <v>Teekay Tankers Ltd</v>
      </c>
      <c r="C1585" t="s">
        <v>1808</v>
      </c>
      <c r="D1585">
        <v>43.13</v>
      </c>
      <c r="E1585">
        <v>5.7964293994890014E-3</v>
      </c>
      <c r="F1585" t="s">
        <v>1798</v>
      </c>
      <c r="G1585" t="s">
        <v>1798</v>
      </c>
      <c r="H1585">
        <v>0.25</v>
      </c>
      <c r="I1585">
        <v>1268.9277300000001</v>
      </c>
      <c r="J1585">
        <v>2.3714241689731281</v>
      </c>
      <c r="K1585">
        <v>1.6129032258064519E-2</v>
      </c>
      <c r="L1585">
        <v>0.39211383451651699</v>
      </c>
      <c r="M1585">
        <v>47.48</v>
      </c>
      <c r="N1585">
        <v>26.09</v>
      </c>
    </row>
    <row r="1586" spans="1:14" x14ac:dyDescent="0.35">
      <c r="A1586" s="1" t="s">
        <v>1598</v>
      </c>
      <c r="B1586" t="str">
        <f>HYPERLINK("https://www.suredividend.com/sure-analysis-research-database/","Tenaya Therapeutics Inc")</f>
        <v>Tenaya Therapeutics Inc</v>
      </c>
      <c r="C1586" t="s">
        <v>1798</v>
      </c>
      <c r="D1586">
        <v>2.29</v>
      </c>
      <c r="E1586">
        <v>0</v>
      </c>
      <c r="F1586" t="s">
        <v>1798</v>
      </c>
      <c r="G1586" t="s">
        <v>1798</v>
      </c>
      <c r="H1586">
        <v>0</v>
      </c>
      <c r="I1586">
        <v>155.41085000000001</v>
      </c>
      <c r="J1586">
        <v>0</v>
      </c>
      <c r="K1586" t="s">
        <v>1798</v>
      </c>
      <c r="L1586">
        <v>1.519500908118864</v>
      </c>
      <c r="M1586">
        <v>8.09</v>
      </c>
      <c r="N1586">
        <v>1.64</v>
      </c>
    </row>
    <row r="1587" spans="1:14" x14ac:dyDescent="0.35">
      <c r="A1587" s="1" t="s">
        <v>1599</v>
      </c>
      <c r="B1587" t="str">
        <f>HYPERLINK("https://www.suredividend.com/sure-analysis-research-database/","Oncology Institute Inc (The)")</f>
        <v>Oncology Institute Inc (The)</v>
      </c>
      <c r="C1587" t="s">
        <v>1798</v>
      </c>
      <c r="D1587">
        <v>1.55</v>
      </c>
      <c r="E1587">
        <v>0</v>
      </c>
      <c r="F1587" t="s">
        <v>1798</v>
      </c>
      <c r="G1587" t="s">
        <v>1798</v>
      </c>
      <c r="H1587">
        <v>0</v>
      </c>
      <c r="I1587">
        <v>113.080386</v>
      </c>
      <c r="J1587" t="s">
        <v>1798</v>
      </c>
      <c r="K1587">
        <v>0</v>
      </c>
      <c r="L1587">
        <v>1.37501618565457</v>
      </c>
      <c r="M1587">
        <v>5.47</v>
      </c>
      <c r="N1587">
        <v>0.33</v>
      </c>
    </row>
    <row r="1588" spans="1:14" x14ac:dyDescent="0.35">
      <c r="A1588" s="1" t="s">
        <v>1600</v>
      </c>
      <c r="B1588" t="str">
        <f>HYPERLINK("https://www.suredividend.com/sure-analysis-research-database/","Townebank Portsmouth VA")</f>
        <v>Townebank Portsmouth VA</v>
      </c>
      <c r="C1588" t="s">
        <v>1801</v>
      </c>
      <c r="D1588">
        <v>22.5</v>
      </c>
      <c r="E1588">
        <v>4.1473810660462997E-2</v>
      </c>
      <c r="F1588">
        <v>8.6956521739130377E-2</v>
      </c>
      <c r="G1588">
        <v>9.3362073943278112E-2</v>
      </c>
      <c r="H1588">
        <v>0.93316073986043913</v>
      </c>
      <c r="I1588">
        <v>1162.770008</v>
      </c>
      <c r="J1588">
        <v>0</v>
      </c>
      <c r="K1588" t="s">
        <v>1798</v>
      </c>
      <c r="L1588">
        <v>0.92788159849238205</v>
      </c>
      <c r="M1588">
        <v>31.5</v>
      </c>
      <c r="N1588">
        <v>20.32</v>
      </c>
    </row>
    <row r="1589" spans="1:14" x14ac:dyDescent="0.35">
      <c r="A1589" s="1" t="s">
        <v>1601</v>
      </c>
      <c r="B1589" t="str">
        <f>HYPERLINK("https://www.suredividend.com/sure-analysis-research-database/","Turning Point Brands Inc")</f>
        <v>Turning Point Brands Inc</v>
      </c>
      <c r="C1589" t="s">
        <v>1805</v>
      </c>
      <c r="D1589">
        <v>21.18</v>
      </c>
      <c r="E1589">
        <v>1.1990201213352999E-2</v>
      </c>
      <c r="F1589">
        <v>8.3333333333333481E-2</v>
      </c>
      <c r="G1589">
        <v>7.6316922514810814E-2</v>
      </c>
      <c r="H1589">
        <v>0.25395246169882502</v>
      </c>
      <c r="I1589">
        <v>372.67436300000003</v>
      </c>
      <c r="J1589">
        <v>0</v>
      </c>
      <c r="K1589" t="s">
        <v>1798</v>
      </c>
      <c r="L1589">
        <v>0.55773114802495904</v>
      </c>
      <c r="M1589">
        <v>26.24</v>
      </c>
      <c r="N1589">
        <v>18.8</v>
      </c>
    </row>
    <row r="1590" spans="1:14" x14ac:dyDescent="0.35">
      <c r="A1590" s="1" t="s">
        <v>1602</v>
      </c>
      <c r="B1590" t="str">
        <f>HYPERLINK("https://www.suredividend.com/sure-analysis-research-database/","Tutor Perini Corp")</f>
        <v>Tutor Perini Corp</v>
      </c>
      <c r="C1590" t="s">
        <v>1799</v>
      </c>
      <c r="D1590">
        <v>7.32</v>
      </c>
      <c r="E1590">
        <v>0</v>
      </c>
      <c r="F1590" t="s">
        <v>1798</v>
      </c>
      <c r="G1590" t="s">
        <v>1798</v>
      </c>
      <c r="H1590">
        <v>0</v>
      </c>
      <c r="I1590">
        <v>380.46274599999998</v>
      </c>
      <c r="J1590" t="s">
        <v>1798</v>
      </c>
      <c r="K1590">
        <v>0</v>
      </c>
      <c r="L1590">
        <v>1.2638539921568099</v>
      </c>
      <c r="M1590">
        <v>9.6</v>
      </c>
      <c r="N1590">
        <v>4.9000000000000004</v>
      </c>
    </row>
    <row r="1591" spans="1:14" x14ac:dyDescent="0.35">
      <c r="A1591" s="1" t="s">
        <v>1603</v>
      </c>
      <c r="B1591" t="str">
        <f>HYPERLINK("https://www.suredividend.com/sure-analysis-research-database/","Tri Pointe Homes Inc.")</f>
        <v>Tri Pointe Homes Inc.</v>
      </c>
      <c r="C1591" t="s">
        <v>1802</v>
      </c>
      <c r="D1591">
        <v>26.25</v>
      </c>
      <c r="E1591">
        <v>0</v>
      </c>
      <c r="F1591" t="s">
        <v>1798</v>
      </c>
      <c r="G1591" t="s">
        <v>1798</v>
      </c>
      <c r="H1591">
        <v>0</v>
      </c>
      <c r="I1591">
        <v>2598.604523</v>
      </c>
      <c r="J1591">
        <v>5.3286672664636576</v>
      </c>
      <c r="K1591">
        <v>0</v>
      </c>
      <c r="L1591">
        <v>1.334070989365681</v>
      </c>
      <c r="M1591">
        <v>34.04</v>
      </c>
      <c r="N1591">
        <v>14.63</v>
      </c>
    </row>
    <row r="1592" spans="1:14" x14ac:dyDescent="0.35">
      <c r="A1592" s="1" t="s">
        <v>1604</v>
      </c>
      <c r="B1592" t="str">
        <f>HYPERLINK("https://www.suredividend.com/sure-analysis-research-database/","TPI Composites Inc")</f>
        <v>TPI Composites Inc</v>
      </c>
      <c r="C1592" t="s">
        <v>1799</v>
      </c>
      <c r="D1592">
        <v>2.415</v>
      </c>
      <c r="E1592">
        <v>0</v>
      </c>
      <c r="F1592" t="s">
        <v>1798</v>
      </c>
      <c r="G1592" t="s">
        <v>1798</v>
      </c>
      <c r="H1592">
        <v>0</v>
      </c>
      <c r="I1592">
        <v>102.803862</v>
      </c>
      <c r="J1592" t="s">
        <v>1798</v>
      </c>
      <c r="K1592">
        <v>0</v>
      </c>
      <c r="L1592">
        <v>2.4686655140211489</v>
      </c>
      <c r="M1592">
        <v>14.8</v>
      </c>
      <c r="N1592">
        <v>2.15</v>
      </c>
    </row>
    <row r="1593" spans="1:14" x14ac:dyDescent="0.35">
      <c r="A1593" s="1" t="s">
        <v>1605</v>
      </c>
      <c r="B1593" t="str">
        <f>HYPERLINK("https://www.suredividend.com/sure-analysis-TR/","Tootsie Roll Industries, Inc.")</f>
        <v>Tootsie Roll Industries, Inc.</v>
      </c>
      <c r="C1593" t="s">
        <v>1805</v>
      </c>
      <c r="D1593">
        <v>30.46</v>
      </c>
      <c r="E1593">
        <v>1.1818778726198289E-2</v>
      </c>
      <c r="F1593">
        <v>0</v>
      </c>
      <c r="G1593">
        <v>0</v>
      </c>
      <c r="H1593">
        <v>0.35600541661072799</v>
      </c>
      <c r="I1593">
        <v>1233.3252170000001</v>
      </c>
      <c r="J1593">
        <v>15.4073208230062</v>
      </c>
      <c r="K1593">
        <v>0.31228545316730533</v>
      </c>
      <c r="L1593">
        <v>0.42062443329889798</v>
      </c>
      <c r="M1593">
        <v>45.77</v>
      </c>
      <c r="N1593">
        <v>29.71</v>
      </c>
    </row>
    <row r="1594" spans="1:14" x14ac:dyDescent="0.35">
      <c r="A1594" s="1" t="s">
        <v>1606</v>
      </c>
      <c r="B1594" t="str">
        <f>HYPERLINK("https://www.suredividend.com/sure-analysis-research-database/","Tejon Ranch Co.")</f>
        <v>Tejon Ranch Co.</v>
      </c>
      <c r="C1594" t="s">
        <v>1799</v>
      </c>
      <c r="D1594">
        <v>15.66</v>
      </c>
      <c r="E1594">
        <v>0</v>
      </c>
      <c r="F1594" t="s">
        <v>1798</v>
      </c>
      <c r="G1594" t="s">
        <v>1798</v>
      </c>
      <c r="H1594">
        <v>0</v>
      </c>
      <c r="I1594">
        <v>418.53642600000001</v>
      </c>
      <c r="J1594">
        <v>29.455727091280181</v>
      </c>
      <c r="K1594">
        <v>0</v>
      </c>
      <c r="L1594">
        <v>0.90237970967677306</v>
      </c>
      <c r="M1594">
        <v>20.65</v>
      </c>
      <c r="N1594">
        <v>14.89</v>
      </c>
    </row>
    <row r="1595" spans="1:14" x14ac:dyDescent="0.35">
      <c r="A1595" s="1" t="s">
        <v>1607</v>
      </c>
      <c r="B1595" t="str">
        <f>HYPERLINK("https://www.suredividend.com/sure-analysis-research-database/","LendingTree Inc.")</f>
        <v>LendingTree Inc.</v>
      </c>
      <c r="C1595" t="s">
        <v>1801</v>
      </c>
      <c r="D1595">
        <v>11.88</v>
      </c>
      <c r="E1595">
        <v>0</v>
      </c>
      <c r="F1595" t="s">
        <v>1798</v>
      </c>
      <c r="G1595" t="s">
        <v>1798</v>
      </c>
      <c r="H1595">
        <v>0</v>
      </c>
      <c r="I1595">
        <v>154.44</v>
      </c>
      <c r="J1595" t="s">
        <v>1798</v>
      </c>
      <c r="K1595">
        <v>0</v>
      </c>
      <c r="L1595">
        <v>2.7692510763931608</v>
      </c>
      <c r="M1595">
        <v>47.82</v>
      </c>
      <c r="N1595">
        <v>11.74</v>
      </c>
    </row>
    <row r="1596" spans="1:14" x14ac:dyDescent="0.35">
      <c r="A1596" s="1" t="s">
        <v>1608</v>
      </c>
      <c r="B1596" t="str">
        <f>HYPERLINK("https://www.suredividend.com/sure-analysis-research-database/","Trustmark Corp.")</f>
        <v>Trustmark Corp.</v>
      </c>
      <c r="C1596" t="s">
        <v>1801</v>
      </c>
      <c r="D1596">
        <v>20.9</v>
      </c>
      <c r="E1596">
        <v>4.2836209481902997E-2</v>
      </c>
      <c r="F1596">
        <v>0</v>
      </c>
      <c r="G1596">
        <v>0</v>
      </c>
      <c r="H1596">
        <v>0.89527677817177609</v>
      </c>
      <c r="I1596">
        <v>1276.364986</v>
      </c>
      <c r="J1596">
        <v>12.304803724127289</v>
      </c>
      <c r="K1596">
        <v>0.52974957288270774</v>
      </c>
      <c r="L1596">
        <v>0.82874658752934605</v>
      </c>
      <c r="M1596">
        <v>36.4</v>
      </c>
      <c r="N1596">
        <v>19.46</v>
      </c>
    </row>
    <row r="1597" spans="1:14" x14ac:dyDescent="0.35">
      <c r="A1597" s="1" t="s">
        <v>1609</v>
      </c>
      <c r="B1597" t="str">
        <f>HYPERLINK("https://www.suredividend.com/sure-analysis-TRN/","Trinity Industries, Inc.")</f>
        <v>Trinity Industries, Inc.</v>
      </c>
      <c r="C1597" t="s">
        <v>1799</v>
      </c>
      <c r="D1597">
        <v>21.91</v>
      </c>
      <c r="E1597">
        <v>4.7466910086718397E-2</v>
      </c>
      <c r="F1597">
        <v>0.13043478260869559</v>
      </c>
      <c r="G1597">
        <v>0.1486983549970351</v>
      </c>
      <c r="H1597">
        <v>1.0231262056842001</v>
      </c>
      <c r="I1597">
        <v>1793.411302</v>
      </c>
      <c r="J1597">
        <v>22.846003852356692</v>
      </c>
      <c r="K1597">
        <v>1.0866980410878391</v>
      </c>
      <c r="L1597">
        <v>1.054795488309122</v>
      </c>
      <c r="M1597">
        <v>30.38</v>
      </c>
      <c r="N1597">
        <v>19.64</v>
      </c>
    </row>
    <row r="1598" spans="1:14" x14ac:dyDescent="0.35">
      <c r="A1598" s="1" t="s">
        <v>1610</v>
      </c>
      <c r="B1598" t="str">
        <f>HYPERLINK("https://www.suredividend.com/sure-analysis-research-database/","Terreno Realty Corp")</f>
        <v>Terreno Realty Corp</v>
      </c>
      <c r="C1598" t="s">
        <v>1800</v>
      </c>
      <c r="D1598">
        <v>55.52</v>
      </c>
      <c r="E1598">
        <v>2.9406094517503999E-2</v>
      </c>
      <c r="F1598">
        <v>0.125</v>
      </c>
      <c r="G1598">
        <v>0.13396657763302719</v>
      </c>
      <c r="H1598">
        <v>1.6326263676118249</v>
      </c>
      <c r="I1598">
        <v>4658.7229520000001</v>
      </c>
      <c r="J1598">
        <v>32.301099317192232</v>
      </c>
      <c r="K1598">
        <v>0.89214555607203549</v>
      </c>
      <c r="L1598">
        <v>0.95520365240221905</v>
      </c>
      <c r="M1598">
        <v>65.63</v>
      </c>
      <c r="N1598">
        <v>50.01</v>
      </c>
    </row>
    <row r="1599" spans="1:14" x14ac:dyDescent="0.35">
      <c r="A1599" s="1" t="s">
        <v>1611</v>
      </c>
      <c r="B1599" t="str">
        <f>HYPERLINK("https://www.suredividend.com/sure-analysis-research-database/","Transcat Inc")</f>
        <v>Transcat Inc</v>
      </c>
      <c r="C1599" t="s">
        <v>1799</v>
      </c>
      <c r="D1599">
        <v>95.5</v>
      </c>
      <c r="E1599">
        <v>0</v>
      </c>
      <c r="F1599" t="s">
        <v>1798</v>
      </c>
      <c r="G1599" t="s">
        <v>1798</v>
      </c>
      <c r="H1599">
        <v>0</v>
      </c>
      <c r="I1599">
        <v>761.217894</v>
      </c>
      <c r="J1599">
        <v>0</v>
      </c>
      <c r="K1599" t="s">
        <v>1798</v>
      </c>
      <c r="L1599">
        <v>1.00750031708902</v>
      </c>
      <c r="M1599">
        <v>115.41</v>
      </c>
      <c r="N1599">
        <v>65.599999999999994</v>
      </c>
    </row>
    <row r="1600" spans="1:14" x14ac:dyDescent="0.35">
      <c r="A1600" s="1" t="s">
        <v>1612</v>
      </c>
      <c r="B1600" t="str">
        <f>HYPERLINK("https://www.suredividend.com/sure-analysis-research-database/","Tronox Holdings plc")</f>
        <v>Tronox Holdings plc</v>
      </c>
      <c r="C1600" t="s">
        <v>1809</v>
      </c>
      <c r="D1600">
        <v>11.33</v>
      </c>
      <c r="E1600">
        <v>4.3399496489975001E-2</v>
      </c>
      <c r="F1600">
        <v>0</v>
      </c>
      <c r="G1600">
        <v>0.2267032046963888</v>
      </c>
      <c r="H1600">
        <v>0.49171629523141702</v>
      </c>
      <c r="I1600">
        <v>1776.3943420000001</v>
      </c>
      <c r="J1600">
        <v>0</v>
      </c>
      <c r="K1600" t="s">
        <v>1798</v>
      </c>
      <c r="L1600">
        <v>1.7391191459022259</v>
      </c>
      <c r="M1600">
        <v>17.12</v>
      </c>
      <c r="N1600">
        <v>10.48</v>
      </c>
    </row>
    <row r="1601" spans="1:14" x14ac:dyDescent="0.35">
      <c r="A1601" s="1" t="s">
        <v>1613</v>
      </c>
      <c r="B1601" t="str">
        <f>HYPERLINK("https://www.suredividend.com/sure-analysis-research-database/","Trimas Corporation")</f>
        <v>Trimas Corporation</v>
      </c>
      <c r="C1601" t="s">
        <v>1799</v>
      </c>
      <c r="D1601">
        <v>24.11</v>
      </c>
      <c r="E1601">
        <v>6.6083062546019996E-3</v>
      </c>
      <c r="F1601" t="s">
        <v>1798</v>
      </c>
      <c r="G1601" t="s">
        <v>1798</v>
      </c>
      <c r="H1601">
        <v>0.15932626379846701</v>
      </c>
      <c r="I1601">
        <v>998.77297599999997</v>
      </c>
      <c r="J1601">
        <v>20.777469857083421</v>
      </c>
      <c r="K1601">
        <v>0.13854457721605831</v>
      </c>
      <c r="L1601">
        <v>0.77617833219654508</v>
      </c>
      <c r="M1601">
        <v>31.64</v>
      </c>
      <c r="N1601">
        <v>21.21</v>
      </c>
    </row>
    <row r="1602" spans="1:14" x14ac:dyDescent="0.35">
      <c r="A1602" s="1" t="s">
        <v>1614</v>
      </c>
      <c r="B1602" t="str">
        <f>HYPERLINK("https://www.suredividend.com/sure-analysis-TRST/","Trustco Bank Corp.")</f>
        <v>Trustco Bank Corp.</v>
      </c>
      <c r="C1602" t="s">
        <v>1801</v>
      </c>
      <c r="D1602">
        <v>26.37</v>
      </c>
      <c r="E1602">
        <v>5.4607508532423202E-2</v>
      </c>
      <c r="F1602">
        <v>2.857142857142847E-2</v>
      </c>
      <c r="G1602">
        <v>0.39508027119532563</v>
      </c>
      <c r="H1602">
        <v>1.391725945538961</v>
      </c>
      <c r="I1602">
        <v>501.67429800000002</v>
      </c>
      <c r="J1602">
        <v>6.7436592403753099</v>
      </c>
      <c r="K1602">
        <v>0.35685280654845147</v>
      </c>
      <c r="L1602">
        <v>0.7812388491255231</v>
      </c>
      <c r="M1602">
        <v>36.69</v>
      </c>
      <c r="N1602">
        <v>25.91</v>
      </c>
    </row>
    <row r="1603" spans="1:14" x14ac:dyDescent="0.35">
      <c r="A1603" s="1" t="s">
        <v>1615</v>
      </c>
      <c r="B1603" t="str">
        <f>HYPERLINK("https://www.suredividend.com/sure-analysis-research-database/","Triton International Ltd")</f>
        <v>Triton International Ltd</v>
      </c>
      <c r="C1603" t="s">
        <v>1799</v>
      </c>
      <c r="D1603">
        <v>79.55</v>
      </c>
      <c r="E1603">
        <v>3.4738928593399013E-2</v>
      </c>
      <c r="F1603">
        <v>7.6923076923077094E-2</v>
      </c>
      <c r="G1603">
        <v>6.1253020375036993E-2</v>
      </c>
      <c r="H1603">
        <v>2.763481769604919</v>
      </c>
      <c r="I1603">
        <v>4380.1152780000002</v>
      </c>
      <c r="J1603">
        <v>7.3676305079157887</v>
      </c>
      <c r="K1603">
        <v>0.26803896892385248</v>
      </c>
      <c r="L1603">
        <v>0.57600958577738903</v>
      </c>
      <c r="M1603">
        <v>84</v>
      </c>
      <c r="N1603">
        <v>51.32</v>
      </c>
    </row>
    <row r="1604" spans="1:14" x14ac:dyDescent="0.35">
      <c r="A1604" s="1" t="s">
        <v>1616</v>
      </c>
      <c r="B1604" t="str">
        <f>HYPERLINK("https://www.suredividend.com/sure-analysis-research-database/","TPG RE Finance Trust Inc")</f>
        <v>TPG RE Finance Trust Inc</v>
      </c>
      <c r="C1604" t="s">
        <v>1800</v>
      </c>
      <c r="D1604">
        <v>6.2</v>
      </c>
      <c r="E1604">
        <v>0.14723468072524501</v>
      </c>
      <c r="F1604">
        <v>0</v>
      </c>
      <c r="G1604">
        <v>-0.11008493827036971</v>
      </c>
      <c r="H1604">
        <v>0.91285502049652212</v>
      </c>
      <c r="I1604">
        <v>481.92958399999998</v>
      </c>
      <c r="J1604" t="s">
        <v>1798</v>
      </c>
      <c r="K1604" t="s">
        <v>1798</v>
      </c>
      <c r="L1604">
        <v>1.641276190342007</v>
      </c>
      <c r="M1604">
        <v>8.34</v>
      </c>
      <c r="N1604">
        <v>4.8</v>
      </c>
    </row>
    <row r="1605" spans="1:14" x14ac:dyDescent="0.35">
      <c r="A1605" s="1" t="s">
        <v>1617</v>
      </c>
      <c r="B1605" t="str">
        <f>HYPERLINK("https://www.suredividend.com/sure-analysis-research-database/","Truecar Inc")</f>
        <v>Truecar Inc</v>
      </c>
      <c r="C1605" t="s">
        <v>1807</v>
      </c>
      <c r="D1605">
        <v>2.02</v>
      </c>
      <c r="E1605">
        <v>0</v>
      </c>
      <c r="F1605" t="s">
        <v>1798</v>
      </c>
      <c r="G1605" t="s">
        <v>1798</v>
      </c>
      <c r="H1605">
        <v>0</v>
      </c>
      <c r="I1605">
        <v>181.92257799999999</v>
      </c>
      <c r="J1605" t="s">
        <v>1798</v>
      </c>
      <c r="K1605">
        <v>0</v>
      </c>
      <c r="L1605">
        <v>1.4753886996112511</v>
      </c>
      <c r="M1605">
        <v>3.49</v>
      </c>
      <c r="N1605">
        <v>1.3</v>
      </c>
    </row>
    <row r="1606" spans="1:14" x14ac:dyDescent="0.35">
      <c r="A1606" s="1" t="s">
        <v>1618</v>
      </c>
      <c r="B1606" t="str">
        <f>HYPERLINK("https://www.suredividend.com/sure-analysis-research-database/","Trupanion Inc")</f>
        <v>Trupanion Inc</v>
      </c>
      <c r="C1606" t="s">
        <v>1801</v>
      </c>
      <c r="D1606">
        <v>25.425000000000001</v>
      </c>
      <c r="E1606">
        <v>0</v>
      </c>
      <c r="F1606" t="s">
        <v>1798</v>
      </c>
      <c r="G1606" t="s">
        <v>1798</v>
      </c>
      <c r="H1606">
        <v>0</v>
      </c>
      <c r="I1606">
        <v>1052.595</v>
      </c>
      <c r="J1606" t="s">
        <v>1798</v>
      </c>
      <c r="K1606">
        <v>0</v>
      </c>
      <c r="L1606">
        <v>2.312709339771442</v>
      </c>
      <c r="M1606">
        <v>69.150000000000006</v>
      </c>
      <c r="N1606">
        <v>18.45</v>
      </c>
    </row>
    <row r="1607" spans="1:14" x14ac:dyDescent="0.35">
      <c r="A1607" s="1" t="s">
        <v>1619</v>
      </c>
      <c r="B1607" t="str">
        <f>HYPERLINK("https://www.suredividend.com/sure-analysis-research-database/","Trinseo PLC")</f>
        <v>Trinseo PLC</v>
      </c>
      <c r="C1607" t="s">
        <v>1809</v>
      </c>
      <c r="D1607">
        <v>6.63</v>
      </c>
      <c r="E1607">
        <v>7.1939480118144009E-2</v>
      </c>
      <c r="F1607">
        <v>-0.96875</v>
      </c>
      <c r="G1607">
        <v>-0.52182375010498161</v>
      </c>
      <c r="H1607">
        <v>0.47695875318330011</v>
      </c>
      <c r="I1607">
        <v>233.30395200000001</v>
      </c>
      <c r="J1607" t="s">
        <v>1798</v>
      </c>
      <c r="K1607" t="s">
        <v>1798</v>
      </c>
      <c r="L1607">
        <v>1.807300195535577</v>
      </c>
      <c r="M1607">
        <v>30.27</v>
      </c>
      <c r="N1607">
        <v>6.02</v>
      </c>
    </row>
    <row r="1608" spans="1:14" x14ac:dyDescent="0.35">
      <c r="A1608" s="1" t="s">
        <v>1620</v>
      </c>
      <c r="B1608" t="str">
        <f>HYPERLINK("https://www.suredividend.com/sure-analysis-research-database/","TuSimple Holdings Inc")</f>
        <v>TuSimple Holdings Inc</v>
      </c>
      <c r="C1608" t="s">
        <v>1798</v>
      </c>
      <c r="D1608">
        <v>1.06</v>
      </c>
      <c r="E1608">
        <v>0</v>
      </c>
      <c r="F1608" t="s">
        <v>1798</v>
      </c>
      <c r="G1608" t="s">
        <v>1798</v>
      </c>
      <c r="H1608">
        <v>0</v>
      </c>
      <c r="I1608">
        <v>217.40937500000001</v>
      </c>
      <c r="J1608" t="s">
        <v>1798</v>
      </c>
      <c r="K1608">
        <v>0</v>
      </c>
      <c r="L1608">
        <v>3.0918048028043832</v>
      </c>
      <c r="M1608">
        <v>6.77</v>
      </c>
      <c r="N1608">
        <v>0.75</v>
      </c>
    </row>
    <row r="1609" spans="1:14" x14ac:dyDescent="0.35">
      <c r="A1609" s="1" t="s">
        <v>1621</v>
      </c>
      <c r="B1609" t="str">
        <f>HYPERLINK("https://www.suredividend.com/sure-analysis-research-database/","2seventy bio Inc")</f>
        <v>2seventy bio Inc</v>
      </c>
      <c r="C1609" t="s">
        <v>1798</v>
      </c>
      <c r="D1609">
        <v>4.42</v>
      </c>
      <c r="E1609">
        <v>0</v>
      </c>
      <c r="F1609" t="s">
        <v>1798</v>
      </c>
      <c r="G1609" t="s">
        <v>1798</v>
      </c>
      <c r="H1609">
        <v>0</v>
      </c>
      <c r="I1609">
        <v>223.05343500000001</v>
      </c>
      <c r="J1609" t="s">
        <v>1798</v>
      </c>
      <c r="K1609">
        <v>0</v>
      </c>
      <c r="L1609">
        <v>1.2744921922200529</v>
      </c>
      <c r="M1609">
        <v>17.559999999999999</v>
      </c>
      <c r="N1609">
        <v>3.01</v>
      </c>
    </row>
    <row r="1610" spans="1:14" x14ac:dyDescent="0.35">
      <c r="A1610" s="1" t="s">
        <v>1622</v>
      </c>
      <c r="B1610" t="str">
        <f>HYPERLINK("https://www.suredividend.com/sure-analysis-research-database/","Tattooed Chef Inc")</f>
        <v>Tattooed Chef Inc</v>
      </c>
      <c r="C1610" t="s">
        <v>1798</v>
      </c>
      <c r="D1610">
        <v>0.158</v>
      </c>
      <c r="E1610">
        <v>0</v>
      </c>
      <c r="F1610" t="s">
        <v>1798</v>
      </c>
      <c r="G1610" t="s">
        <v>1798</v>
      </c>
      <c r="H1610">
        <v>0</v>
      </c>
      <c r="I1610">
        <v>0</v>
      </c>
      <c r="J1610">
        <v>0</v>
      </c>
      <c r="K1610">
        <v>0</v>
      </c>
    </row>
    <row r="1611" spans="1:14" x14ac:dyDescent="0.35">
      <c r="A1611" s="1" t="s">
        <v>1623</v>
      </c>
      <c r="B1611" t="str">
        <f>HYPERLINK("https://www.suredividend.com/sure-analysis-research-database/","TTEC Holdings Inc")</f>
        <v>TTEC Holdings Inc</v>
      </c>
      <c r="C1611" t="s">
        <v>1804</v>
      </c>
      <c r="D1611">
        <v>22.51</v>
      </c>
      <c r="E1611">
        <v>4.5192590980015997E-2</v>
      </c>
      <c r="F1611" t="s">
        <v>1798</v>
      </c>
      <c r="G1611" t="s">
        <v>1798</v>
      </c>
      <c r="H1611">
        <v>1.017285222960171</v>
      </c>
      <c r="I1611">
        <v>1067.3692759999999</v>
      </c>
      <c r="J1611">
        <v>16.558629779708351</v>
      </c>
      <c r="K1611">
        <v>0.7480038404118905</v>
      </c>
      <c r="L1611">
        <v>1.3754747024875209</v>
      </c>
      <c r="M1611">
        <v>51.1</v>
      </c>
      <c r="N1611">
        <v>21.82</v>
      </c>
    </row>
    <row r="1612" spans="1:14" x14ac:dyDescent="0.35">
      <c r="A1612" s="1" t="s">
        <v>1624</v>
      </c>
      <c r="B1612" t="str">
        <f>HYPERLINK("https://www.suredividend.com/sure-analysis-research-database/","Techtarget Inc.")</f>
        <v>Techtarget Inc.</v>
      </c>
      <c r="C1612" t="s">
        <v>1807</v>
      </c>
      <c r="D1612">
        <v>26.54</v>
      </c>
      <c r="E1612">
        <v>0</v>
      </c>
      <c r="F1612" t="s">
        <v>1798</v>
      </c>
      <c r="G1612" t="s">
        <v>1798</v>
      </c>
      <c r="H1612">
        <v>0</v>
      </c>
      <c r="I1612">
        <v>738.36265200000003</v>
      </c>
      <c r="J1612">
        <v>28.02135301404174</v>
      </c>
      <c r="K1612">
        <v>0</v>
      </c>
      <c r="L1612">
        <v>0.92781266814980212</v>
      </c>
      <c r="M1612">
        <v>67.84</v>
      </c>
      <c r="N1612">
        <v>26</v>
      </c>
    </row>
    <row r="1613" spans="1:14" x14ac:dyDescent="0.35">
      <c r="A1613" s="1" t="s">
        <v>1625</v>
      </c>
      <c r="B1613" t="str">
        <f>HYPERLINK("https://www.suredividend.com/sure-analysis-research-database/","Tetra Technologies, Inc.")</f>
        <v>Tetra Technologies, Inc.</v>
      </c>
      <c r="C1613" t="s">
        <v>1808</v>
      </c>
      <c r="D1613">
        <v>6.3</v>
      </c>
      <c r="E1613">
        <v>0</v>
      </c>
      <c r="F1613" t="s">
        <v>1798</v>
      </c>
      <c r="G1613" t="s">
        <v>1798</v>
      </c>
      <c r="H1613">
        <v>0</v>
      </c>
      <c r="I1613">
        <v>816.20669999999996</v>
      </c>
      <c r="J1613">
        <v>36.069057390958513</v>
      </c>
      <c r="K1613">
        <v>0</v>
      </c>
      <c r="L1613">
        <v>1.339718558361388</v>
      </c>
      <c r="M1613">
        <v>6.64</v>
      </c>
      <c r="N1613">
        <v>2.4300000000000002</v>
      </c>
    </row>
    <row r="1614" spans="1:14" x14ac:dyDescent="0.35">
      <c r="A1614" s="1" t="s">
        <v>1626</v>
      </c>
      <c r="B1614" t="str">
        <f>HYPERLINK("https://www.suredividend.com/sure-analysis-research-database/","TTM Technologies Inc")</f>
        <v>TTM Technologies Inc</v>
      </c>
      <c r="C1614" t="s">
        <v>1804</v>
      </c>
      <c r="D1614">
        <v>12.46</v>
      </c>
      <c r="E1614">
        <v>0</v>
      </c>
      <c r="F1614" t="s">
        <v>1798</v>
      </c>
      <c r="G1614" t="s">
        <v>1798</v>
      </c>
      <c r="H1614">
        <v>0</v>
      </c>
      <c r="I1614">
        <v>1294.2354640000001</v>
      </c>
      <c r="J1614">
        <v>25.600543240035609</v>
      </c>
      <c r="K1614">
        <v>0</v>
      </c>
      <c r="L1614">
        <v>1.3843855911672029</v>
      </c>
      <c r="M1614">
        <v>17.46</v>
      </c>
      <c r="N1614">
        <v>11.13</v>
      </c>
    </row>
    <row r="1615" spans="1:14" x14ac:dyDescent="0.35">
      <c r="A1615" s="1" t="s">
        <v>1627</v>
      </c>
      <c r="B1615" t="str">
        <f>HYPERLINK("https://www.suredividend.com/sure-analysis-research-database/","Tile Shop Hldgs Inc")</f>
        <v>Tile Shop Hldgs Inc</v>
      </c>
      <c r="C1615" t="s">
        <v>1802</v>
      </c>
      <c r="D1615">
        <v>5.0999999999999996</v>
      </c>
      <c r="E1615">
        <v>0</v>
      </c>
      <c r="F1615" t="s">
        <v>1798</v>
      </c>
      <c r="G1615" t="s">
        <v>1798</v>
      </c>
      <c r="H1615">
        <v>0</v>
      </c>
      <c r="I1615">
        <v>227.263925</v>
      </c>
      <c r="J1615">
        <v>17.66254180461646</v>
      </c>
      <c r="K1615">
        <v>0</v>
      </c>
      <c r="L1615">
        <v>1.0585708962805711</v>
      </c>
      <c r="M1615">
        <v>6.51</v>
      </c>
      <c r="N1615">
        <v>3.64</v>
      </c>
    </row>
    <row r="1616" spans="1:14" x14ac:dyDescent="0.35">
      <c r="A1616" s="1" t="s">
        <v>1628</v>
      </c>
      <c r="B1616" t="str">
        <f>HYPERLINK("https://www.suredividend.com/sure-analysis-research-database/","Tupperware Brands Corporation")</f>
        <v>Tupperware Brands Corporation</v>
      </c>
      <c r="C1616" t="s">
        <v>1802</v>
      </c>
      <c r="D1616">
        <v>2.19</v>
      </c>
      <c r="E1616">
        <v>0</v>
      </c>
      <c r="F1616" t="s">
        <v>1798</v>
      </c>
      <c r="G1616" t="s">
        <v>1798</v>
      </c>
      <c r="H1616">
        <v>0</v>
      </c>
      <c r="I1616">
        <v>97.406876999999994</v>
      </c>
      <c r="J1616">
        <v>2.335896329496403</v>
      </c>
      <c r="K1616">
        <v>0</v>
      </c>
      <c r="L1616">
        <v>2.9450943044515761</v>
      </c>
      <c r="M1616">
        <v>8</v>
      </c>
      <c r="N1616">
        <v>0.61</v>
      </c>
    </row>
    <row r="1617" spans="1:14" x14ac:dyDescent="0.35">
      <c r="A1617" s="1" t="s">
        <v>1629</v>
      </c>
      <c r="B1617" t="str">
        <f>HYPERLINK("https://www.suredividend.com/sure-analysis-research-database/","Travere Therapeutics Inc")</f>
        <v>Travere Therapeutics Inc</v>
      </c>
      <c r="C1617" t="s">
        <v>1798</v>
      </c>
      <c r="D1617">
        <v>7.1</v>
      </c>
      <c r="E1617">
        <v>0</v>
      </c>
      <c r="F1617" t="s">
        <v>1798</v>
      </c>
      <c r="G1617" t="s">
        <v>1798</v>
      </c>
      <c r="H1617">
        <v>0</v>
      </c>
      <c r="I1617">
        <v>532.57714199999998</v>
      </c>
      <c r="J1617">
        <v>0</v>
      </c>
      <c r="K1617" t="s">
        <v>1798</v>
      </c>
      <c r="L1617">
        <v>1.0573098054867189</v>
      </c>
      <c r="M1617">
        <v>23.53</v>
      </c>
      <c r="N1617">
        <v>6.66</v>
      </c>
    </row>
    <row r="1618" spans="1:14" x14ac:dyDescent="0.35">
      <c r="A1618" s="1" t="s">
        <v>1630</v>
      </c>
      <c r="B1618" t="str">
        <f>HYPERLINK("https://www.suredividend.com/sure-analysis-research-database/","Titan International, Inc.")</f>
        <v>Titan International, Inc.</v>
      </c>
      <c r="C1618" t="s">
        <v>1799</v>
      </c>
      <c r="D1618">
        <v>12.78</v>
      </c>
      <c r="E1618">
        <v>0</v>
      </c>
      <c r="F1618" t="s">
        <v>1798</v>
      </c>
      <c r="G1618" t="s">
        <v>1798</v>
      </c>
      <c r="H1618">
        <v>0</v>
      </c>
      <c r="I1618">
        <v>801.65148199999999</v>
      </c>
      <c r="J1618">
        <v>5.4440047926711674</v>
      </c>
      <c r="K1618">
        <v>0</v>
      </c>
      <c r="L1618">
        <v>1.074593549058753</v>
      </c>
      <c r="M1618">
        <v>17.29</v>
      </c>
      <c r="N1618">
        <v>9.23</v>
      </c>
    </row>
    <row r="1619" spans="1:14" x14ac:dyDescent="0.35">
      <c r="A1619" s="1" t="s">
        <v>1631</v>
      </c>
      <c r="B1619" t="str">
        <f>HYPERLINK("https://www.suredividend.com/sure-analysis-research-database/","Hostess Brands Inc")</f>
        <v>Hostess Brands Inc</v>
      </c>
      <c r="C1619" t="s">
        <v>1805</v>
      </c>
      <c r="D1619">
        <v>33.18</v>
      </c>
      <c r="E1619">
        <v>0</v>
      </c>
      <c r="F1619" t="s">
        <v>1798</v>
      </c>
      <c r="G1619" t="s">
        <v>1798</v>
      </c>
      <c r="H1619">
        <v>0</v>
      </c>
      <c r="I1619">
        <v>4409.0047189999996</v>
      </c>
      <c r="J1619">
        <v>25.9450894412014</v>
      </c>
      <c r="K1619">
        <v>0</v>
      </c>
      <c r="L1619">
        <v>0.44437487523762098</v>
      </c>
      <c r="M1619">
        <v>33.74</v>
      </c>
      <c r="N1619">
        <v>21.59</v>
      </c>
    </row>
    <row r="1620" spans="1:14" x14ac:dyDescent="0.35">
      <c r="A1620" s="1" t="s">
        <v>1632</v>
      </c>
      <c r="B1620" t="str">
        <f>HYPERLINK("https://www.suredividend.com/sure-analysis-TWO/","Two Harbors Investment Corp")</f>
        <v>Two Harbors Investment Corp</v>
      </c>
      <c r="C1620" t="s">
        <v>1800</v>
      </c>
      <c r="D1620">
        <v>11.99</v>
      </c>
      <c r="E1620">
        <v>0.15012510425354461</v>
      </c>
      <c r="F1620">
        <v>1.6470588235294119</v>
      </c>
      <c r="G1620">
        <v>-8.6593126886237437E-3</v>
      </c>
      <c r="H1620">
        <v>1.983461797643532</v>
      </c>
      <c r="I1620">
        <v>1153.032582</v>
      </c>
      <c r="J1620" t="s">
        <v>1798</v>
      </c>
      <c r="K1620" t="s">
        <v>1798</v>
      </c>
      <c r="L1620">
        <v>1.114588473638916</v>
      </c>
      <c r="M1620">
        <v>16.739999999999998</v>
      </c>
      <c r="N1620">
        <v>10.74</v>
      </c>
    </row>
    <row r="1621" spans="1:14" x14ac:dyDescent="0.35">
      <c r="A1621" s="1" t="s">
        <v>1633</v>
      </c>
      <c r="B1621" t="str">
        <f>HYPERLINK("https://www.suredividend.com/sure-analysis-research-database/","2U Inc")</f>
        <v>2U Inc</v>
      </c>
      <c r="C1621" t="s">
        <v>1805</v>
      </c>
      <c r="D1621">
        <v>2.06</v>
      </c>
      <c r="E1621">
        <v>0</v>
      </c>
      <c r="F1621" t="s">
        <v>1798</v>
      </c>
      <c r="G1621" t="s">
        <v>1798</v>
      </c>
      <c r="H1621">
        <v>0</v>
      </c>
      <c r="I1621">
        <v>167.725134</v>
      </c>
      <c r="J1621" t="s">
        <v>1798</v>
      </c>
      <c r="K1621">
        <v>0</v>
      </c>
      <c r="L1621">
        <v>2.9154901711315122</v>
      </c>
      <c r="M1621">
        <v>13.15</v>
      </c>
      <c r="N1621">
        <v>2.04</v>
      </c>
    </row>
    <row r="1622" spans="1:14" x14ac:dyDescent="0.35">
      <c r="A1622" s="1" t="s">
        <v>1634</v>
      </c>
      <c r="B1622" t="str">
        <f>HYPERLINK("https://www.suredividend.com/sure-analysis-research-database/","Twist Bioscience Corp")</f>
        <v>Twist Bioscience Corp</v>
      </c>
      <c r="C1622" t="s">
        <v>1803</v>
      </c>
      <c r="D1622">
        <v>16.98</v>
      </c>
      <c r="E1622">
        <v>0</v>
      </c>
      <c r="F1622" t="s">
        <v>1798</v>
      </c>
      <c r="G1622" t="s">
        <v>1798</v>
      </c>
      <c r="H1622">
        <v>0</v>
      </c>
      <c r="I1622">
        <v>974.58630400000004</v>
      </c>
      <c r="J1622" t="s">
        <v>1798</v>
      </c>
      <c r="K1622">
        <v>0</v>
      </c>
      <c r="L1622">
        <v>2.516306056889634</v>
      </c>
      <c r="M1622">
        <v>40.5</v>
      </c>
      <c r="N1622">
        <v>11.46</v>
      </c>
    </row>
    <row r="1623" spans="1:14" x14ac:dyDescent="0.35">
      <c r="A1623" s="1" t="s">
        <v>1635</v>
      </c>
      <c r="B1623" t="str">
        <f>HYPERLINK("https://www.suredividend.com/sure-analysis-research-database/","Texas Roadhouse Inc")</f>
        <v>Texas Roadhouse Inc</v>
      </c>
      <c r="C1623" t="s">
        <v>1802</v>
      </c>
      <c r="D1623">
        <v>92.24</v>
      </c>
      <c r="E1623">
        <v>2.2618560368736999E-2</v>
      </c>
      <c r="F1623" t="s">
        <v>1798</v>
      </c>
      <c r="G1623" t="s">
        <v>1798</v>
      </c>
      <c r="H1623">
        <v>2.0863360084123581</v>
      </c>
      <c r="I1623">
        <v>6152.4080000000004</v>
      </c>
      <c r="J1623">
        <v>21.15283560537037</v>
      </c>
      <c r="K1623">
        <v>0.4818327964000827</v>
      </c>
      <c r="L1623">
        <v>0.48302443289493702</v>
      </c>
      <c r="M1623">
        <v>116.92</v>
      </c>
      <c r="N1623">
        <v>88.52</v>
      </c>
    </row>
    <row r="1624" spans="1:14" x14ac:dyDescent="0.35">
      <c r="A1624" s="1" t="s">
        <v>1636</v>
      </c>
      <c r="B1624" t="str">
        <f>HYPERLINK("https://www.suredividend.com/sure-analysis-research-database/","Tyra Biosciences Inc")</f>
        <v>Tyra Biosciences Inc</v>
      </c>
      <c r="C1624" t="s">
        <v>1798</v>
      </c>
      <c r="D1624">
        <v>14.14</v>
      </c>
      <c r="E1624">
        <v>0</v>
      </c>
      <c r="F1624" t="s">
        <v>1798</v>
      </c>
      <c r="G1624" t="s">
        <v>1798</v>
      </c>
      <c r="H1624">
        <v>0</v>
      </c>
      <c r="I1624">
        <v>608.17118500000004</v>
      </c>
      <c r="J1624">
        <v>0</v>
      </c>
      <c r="K1624" t="s">
        <v>1798</v>
      </c>
      <c r="L1624">
        <v>1.56616668783143</v>
      </c>
      <c r="M1624">
        <v>19.739999999999998</v>
      </c>
      <c r="N1624">
        <v>6.25</v>
      </c>
    </row>
    <row r="1625" spans="1:14" x14ac:dyDescent="0.35">
      <c r="A1625" s="1" t="s">
        <v>1637</v>
      </c>
      <c r="B1625" t="str">
        <f>HYPERLINK("https://www.suredividend.com/sure-analysis-research-database/","Urstadt Biddle Properties, Inc.")</f>
        <v>Urstadt Biddle Properties, Inc.</v>
      </c>
      <c r="C1625" t="s">
        <v>1800</v>
      </c>
      <c r="D1625">
        <v>21.14</v>
      </c>
      <c r="E1625">
        <v>5.5464129916136001E-2</v>
      </c>
      <c r="F1625" t="s">
        <v>1798</v>
      </c>
      <c r="G1625" t="s">
        <v>1798</v>
      </c>
      <c r="H1625">
        <v>1.1725117064271331</v>
      </c>
      <c r="I1625">
        <v>832.17413299999998</v>
      </c>
      <c r="J1625">
        <v>32.572965921011431</v>
      </c>
      <c r="K1625">
        <v>1.743771127940412</v>
      </c>
      <c r="L1625">
        <v>0.81191969794392305</v>
      </c>
      <c r="M1625">
        <v>23.16</v>
      </c>
      <c r="N1625">
        <v>14.51</v>
      </c>
    </row>
    <row r="1626" spans="1:14" x14ac:dyDescent="0.35">
      <c r="A1626" s="1" t="s">
        <v>1638</v>
      </c>
      <c r="B1626" t="str">
        <f>HYPERLINK("https://www.suredividend.com/sure-analysis-UBSI/","United Bankshares, Inc.")</f>
        <v>United Bankshares, Inc.</v>
      </c>
      <c r="C1626" t="s">
        <v>1801</v>
      </c>
      <c r="D1626">
        <v>26.42</v>
      </c>
      <c r="E1626">
        <v>5.450416351249053E-2</v>
      </c>
      <c r="F1626">
        <v>0</v>
      </c>
      <c r="G1626">
        <v>1.1497274155136241E-2</v>
      </c>
      <c r="H1626">
        <v>1.3954033493399309</v>
      </c>
      <c r="I1626">
        <v>3564.983995</v>
      </c>
      <c r="J1626">
        <v>9.0685293770286641</v>
      </c>
      <c r="K1626">
        <v>0.47787785936299021</v>
      </c>
      <c r="L1626">
        <v>1.051792084703963</v>
      </c>
      <c r="M1626">
        <v>41.4</v>
      </c>
      <c r="N1626">
        <v>26.41</v>
      </c>
    </row>
    <row r="1627" spans="1:14" x14ac:dyDescent="0.35">
      <c r="A1627" s="1" t="s">
        <v>1639</v>
      </c>
      <c r="B1627" t="str">
        <f>HYPERLINK("https://www.suredividend.com/sure-analysis-research-database/","United Community Banks Inc")</f>
        <v>United Community Banks Inc</v>
      </c>
      <c r="C1627" t="s">
        <v>1801</v>
      </c>
      <c r="D1627">
        <v>24.92</v>
      </c>
      <c r="E1627">
        <v>3.5803039665183001E-2</v>
      </c>
      <c r="F1627">
        <v>4.5454545454545407E-2</v>
      </c>
      <c r="G1627">
        <v>7.5280006405569644E-2</v>
      </c>
      <c r="H1627">
        <v>0.89221174845636309</v>
      </c>
      <c r="I1627">
        <v>2961.8257560000002</v>
      </c>
      <c r="J1627">
        <v>10.586229072453101</v>
      </c>
      <c r="K1627">
        <v>0.35546284799058292</v>
      </c>
      <c r="L1627">
        <v>1.2385300845323619</v>
      </c>
      <c r="M1627">
        <v>37.89</v>
      </c>
      <c r="N1627">
        <v>19.829999999999998</v>
      </c>
    </row>
    <row r="1628" spans="1:14" x14ac:dyDescent="0.35">
      <c r="A1628" s="1" t="s">
        <v>1640</v>
      </c>
      <c r="B1628" t="str">
        <f>HYPERLINK("https://www.suredividend.com/sure-analysis-research-database/","Ultra Clean Hldgs Inc")</f>
        <v>Ultra Clean Hldgs Inc</v>
      </c>
      <c r="C1628" t="s">
        <v>1804</v>
      </c>
      <c r="D1628">
        <v>26.55</v>
      </c>
      <c r="E1628">
        <v>0</v>
      </c>
      <c r="F1628" t="s">
        <v>1798</v>
      </c>
      <c r="G1628" t="s">
        <v>1798</v>
      </c>
      <c r="H1628">
        <v>0</v>
      </c>
      <c r="I1628">
        <v>1189.5357919999999</v>
      </c>
      <c r="J1628">
        <v>47.965152919354843</v>
      </c>
      <c r="K1628">
        <v>0</v>
      </c>
      <c r="L1628">
        <v>1.681141390247425</v>
      </c>
      <c r="M1628">
        <v>40.799999999999997</v>
      </c>
      <c r="N1628">
        <v>24.73</v>
      </c>
    </row>
    <row r="1629" spans="1:14" x14ac:dyDescent="0.35">
      <c r="A1629" s="1" t="s">
        <v>1641</v>
      </c>
      <c r="B1629" t="str">
        <f>HYPERLINK("https://www.suredividend.com/sure-analysis-research-database/","Udemy Inc")</f>
        <v>Udemy Inc</v>
      </c>
      <c r="C1629" t="s">
        <v>1798</v>
      </c>
      <c r="D1629">
        <v>9.52</v>
      </c>
      <c r="E1629">
        <v>0</v>
      </c>
      <c r="F1629" t="s">
        <v>1798</v>
      </c>
      <c r="G1629" t="s">
        <v>1798</v>
      </c>
      <c r="H1629">
        <v>0</v>
      </c>
      <c r="I1629">
        <v>1431.6800229999999</v>
      </c>
      <c r="J1629" t="s">
        <v>1798</v>
      </c>
      <c r="K1629">
        <v>0</v>
      </c>
      <c r="L1629">
        <v>1.2490612386344959</v>
      </c>
      <c r="M1629">
        <v>17.260000000000002</v>
      </c>
      <c r="N1629">
        <v>8.17</v>
      </c>
    </row>
    <row r="1630" spans="1:14" x14ac:dyDescent="0.35">
      <c r="A1630" s="1" t="s">
        <v>1642</v>
      </c>
      <c r="B1630" t="str">
        <f>HYPERLINK("https://www.suredividend.com/sure-analysis-UE/","Urban Edge Properties")</f>
        <v>Urban Edge Properties</v>
      </c>
      <c r="C1630" t="s">
        <v>1800</v>
      </c>
      <c r="D1630">
        <v>14.89</v>
      </c>
      <c r="E1630">
        <v>4.2981867024848887E-2</v>
      </c>
      <c r="F1630" t="s">
        <v>1798</v>
      </c>
      <c r="G1630" t="s">
        <v>1798</v>
      </c>
      <c r="H1630">
        <v>0.63011094125715505</v>
      </c>
      <c r="I1630">
        <v>1751.6536739999999</v>
      </c>
      <c r="J1630">
        <v>108.1601527496141</v>
      </c>
      <c r="K1630">
        <v>4.7341167637652521</v>
      </c>
      <c r="L1630">
        <v>1.092681821262848</v>
      </c>
      <c r="M1630">
        <v>17.510000000000002</v>
      </c>
      <c r="N1630">
        <v>12.4</v>
      </c>
    </row>
    <row r="1631" spans="1:14" x14ac:dyDescent="0.35">
      <c r="A1631" s="1" t="s">
        <v>1643</v>
      </c>
      <c r="B1631" t="str">
        <f>HYPERLINK("https://www.suredividend.com/sure-analysis-research-database/","Uranium Energy Corp")</f>
        <v>Uranium Energy Corp</v>
      </c>
      <c r="C1631" t="s">
        <v>1808</v>
      </c>
      <c r="D1631">
        <v>5.15</v>
      </c>
      <c r="E1631">
        <v>0</v>
      </c>
      <c r="F1631" t="s">
        <v>1798</v>
      </c>
      <c r="G1631" t="s">
        <v>1798</v>
      </c>
      <c r="H1631">
        <v>0</v>
      </c>
      <c r="I1631">
        <v>1987.119481</v>
      </c>
      <c r="J1631" t="s">
        <v>1798</v>
      </c>
      <c r="K1631">
        <v>0</v>
      </c>
      <c r="L1631">
        <v>1.680291852272626</v>
      </c>
      <c r="M1631">
        <v>5.77</v>
      </c>
      <c r="N1631">
        <v>2.2999999999999998</v>
      </c>
    </row>
    <row r="1632" spans="1:14" x14ac:dyDescent="0.35">
      <c r="A1632" s="1" t="s">
        <v>1644</v>
      </c>
      <c r="B1632" t="str">
        <f>HYPERLINK("https://www.suredividend.com/sure-analysis-research-database/","Universal Electronics Inc.")</f>
        <v>Universal Electronics Inc.</v>
      </c>
      <c r="C1632" t="s">
        <v>1804</v>
      </c>
      <c r="D1632">
        <v>7.81</v>
      </c>
      <c r="E1632">
        <v>0</v>
      </c>
      <c r="F1632" t="s">
        <v>1798</v>
      </c>
      <c r="G1632" t="s">
        <v>1798</v>
      </c>
      <c r="H1632">
        <v>0</v>
      </c>
      <c r="I1632">
        <v>100.817064</v>
      </c>
      <c r="J1632" t="s">
        <v>1798</v>
      </c>
      <c r="K1632">
        <v>0</v>
      </c>
      <c r="L1632">
        <v>1.015891112955073</v>
      </c>
      <c r="M1632">
        <v>25.91</v>
      </c>
      <c r="N1632">
        <v>7.59</v>
      </c>
    </row>
    <row r="1633" spans="1:14" x14ac:dyDescent="0.35">
      <c r="A1633" s="1" t="s">
        <v>1645</v>
      </c>
      <c r="B1633" t="str">
        <f>HYPERLINK("https://www.suredividend.com/sure-analysis-research-database/","United Fire Group Inc")</f>
        <v>United Fire Group Inc</v>
      </c>
      <c r="C1633" t="s">
        <v>1801</v>
      </c>
      <c r="D1633">
        <v>19.3</v>
      </c>
      <c r="E1633">
        <v>3.2480462498291E-2</v>
      </c>
      <c r="F1633">
        <v>0</v>
      </c>
      <c r="G1633">
        <v>-0.1239040801101997</v>
      </c>
      <c r="H1633">
        <v>0.62687292621703206</v>
      </c>
      <c r="I1633">
        <v>487.60596900000002</v>
      </c>
      <c r="J1633" t="s">
        <v>1798</v>
      </c>
      <c r="K1633" t="s">
        <v>1798</v>
      </c>
      <c r="L1633">
        <v>0.39830097377341311</v>
      </c>
      <c r="M1633">
        <v>32.58</v>
      </c>
      <c r="N1633">
        <v>18.41</v>
      </c>
    </row>
    <row r="1634" spans="1:14" x14ac:dyDescent="0.35">
      <c r="A1634" s="1" t="s">
        <v>1646</v>
      </c>
      <c r="B1634" t="str">
        <f>HYPERLINK("https://www.suredividend.com/sure-analysis-research-database/","UNIFI, Inc.")</f>
        <v>UNIFI, Inc.</v>
      </c>
      <c r="C1634" t="s">
        <v>1802</v>
      </c>
      <c r="D1634">
        <v>6.65</v>
      </c>
      <c r="E1634">
        <v>0</v>
      </c>
      <c r="F1634" t="s">
        <v>1798</v>
      </c>
      <c r="G1634" t="s">
        <v>1798</v>
      </c>
      <c r="H1634">
        <v>0</v>
      </c>
      <c r="I1634">
        <v>120.26207100000001</v>
      </c>
      <c r="J1634" t="s">
        <v>1798</v>
      </c>
      <c r="K1634">
        <v>0</v>
      </c>
      <c r="L1634">
        <v>1.0553210098366019</v>
      </c>
      <c r="M1634">
        <v>10.54</v>
      </c>
      <c r="N1634">
        <v>5.85</v>
      </c>
    </row>
    <row r="1635" spans="1:14" x14ac:dyDescent="0.35">
      <c r="A1635" s="1" t="s">
        <v>1647</v>
      </c>
      <c r="B1635" t="str">
        <f>HYPERLINK("https://www.suredividend.com/sure-analysis-research-database/","UFP Industries Inc")</f>
        <v>UFP Industries Inc</v>
      </c>
      <c r="C1635" t="s">
        <v>1809</v>
      </c>
      <c r="D1635">
        <v>97.8</v>
      </c>
      <c r="E1635">
        <v>1.0669084238925E-2</v>
      </c>
      <c r="F1635" t="s">
        <v>1798</v>
      </c>
      <c r="G1635" t="s">
        <v>1798</v>
      </c>
      <c r="H1635">
        <v>1.043436438566876</v>
      </c>
      <c r="I1635">
        <v>6073.38</v>
      </c>
      <c r="J1635">
        <v>11.020888112230731</v>
      </c>
      <c r="K1635">
        <v>0.1147894871910755</v>
      </c>
      <c r="L1635">
        <v>1.3390851251978231</v>
      </c>
      <c r="M1635">
        <v>107.57</v>
      </c>
      <c r="N1635">
        <v>65.19</v>
      </c>
    </row>
    <row r="1636" spans="1:14" x14ac:dyDescent="0.35">
      <c r="A1636" s="1" t="s">
        <v>1648</v>
      </c>
      <c r="B1636" t="str">
        <f>HYPERLINK("https://www.suredividend.com/sure-analysis-research-database/","UFP Technologies Inc.")</f>
        <v>UFP Technologies Inc.</v>
      </c>
      <c r="C1636" t="s">
        <v>1802</v>
      </c>
      <c r="D1636">
        <v>152.99</v>
      </c>
      <c r="E1636">
        <v>0</v>
      </c>
      <c r="F1636" t="s">
        <v>1798</v>
      </c>
      <c r="G1636" t="s">
        <v>1798</v>
      </c>
      <c r="H1636">
        <v>0</v>
      </c>
      <c r="I1636">
        <v>1168.661848</v>
      </c>
      <c r="J1636">
        <v>23.550335480412709</v>
      </c>
      <c r="K1636">
        <v>0</v>
      </c>
      <c r="L1636">
        <v>0.67100671887226004</v>
      </c>
      <c r="M1636">
        <v>205.08</v>
      </c>
      <c r="N1636">
        <v>86.75</v>
      </c>
    </row>
    <row r="1637" spans="1:14" x14ac:dyDescent="0.35">
      <c r="A1637" s="1" t="s">
        <v>1649</v>
      </c>
      <c r="B1637" t="str">
        <f>HYPERLINK("https://www.suredividend.com/sure-analysis-UHT/","Universal Health Realty Income Trust")</f>
        <v>Universal Health Realty Income Trust</v>
      </c>
      <c r="C1637" t="s">
        <v>1800</v>
      </c>
      <c r="D1637">
        <v>38.64</v>
      </c>
      <c r="E1637">
        <v>7.4534161490683232E-2</v>
      </c>
      <c r="F1637">
        <v>1.4084507042253501E-2</v>
      </c>
      <c r="G1637">
        <v>1.299136822423641E-2</v>
      </c>
      <c r="H1637">
        <v>2.8050605880423678</v>
      </c>
      <c r="I1637">
        <v>534.08602099999996</v>
      </c>
      <c r="J1637">
        <v>29.004345676115999</v>
      </c>
      <c r="K1637">
        <v>2.1090681113100511</v>
      </c>
      <c r="L1637">
        <v>0.72048981912545607</v>
      </c>
      <c r="M1637">
        <v>54.97</v>
      </c>
      <c r="N1637">
        <v>38.54</v>
      </c>
    </row>
    <row r="1638" spans="1:14" x14ac:dyDescent="0.35">
      <c r="A1638" s="1" t="s">
        <v>1650</v>
      </c>
      <c r="B1638" t="str">
        <f>HYPERLINK("https://www.suredividend.com/sure-analysis-research-database/","Unisys Corp.")</f>
        <v>Unisys Corp.</v>
      </c>
      <c r="C1638" t="s">
        <v>1804</v>
      </c>
      <c r="D1638">
        <v>3.06</v>
      </c>
      <c r="E1638">
        <v>0</v>
      </c>
      <c r="F1638" t="s">
        <v>1798</v>
      </c>
      <c r="G1638" t="s">
        <v>1798</v>
      </c>
      <c r="H1638">
        <v>0</v>
      </c>
      <c r="I1638">
        <v>208.99950899999999</v>
      </c>
      <c r="J1638" t="s">
        <v>1798</v>
      </c>
      <c r="K1638">
        <v>0</v>
      </c>
      <c r="L1638">
        <v>1.5620027160235439</v>
      </c>
      <c r="M1638">
        <v>9.4</v>
      </c>
      <c r="N1638">
        <v>3.05</v>
      </c>
    </row>
    <row r="1639" spans="1:14" x14ac:dyDescent="0.35">
      <c r="A1639" s="1" t="s">
        <v>1651</v>
      </c>
      <c r="B1639" t="str">
        <f>HYPERLINK("https://www.suredividend.com/sure-analysis-research-database/","Frontier Group Holdings Inc")</f>
        <v>Frontier Group Holdings Inc</v>
      </c>
      <c r="C1639" t="s">
        <v>1798</v>
      </c>
      <c r="D1639">
        <v>4.47</v>
      </c>
      <c r="E1639">
        <v>0</v>
      </c>
      <c r="F1639" t="s">
        <v>1798</v>
      </c>
      <c r="G1639" t="s">
        <v>1798</v>
      </c>
      <c r="H1639">
        <v>0</v>
      </c>
      <c r="I1639">
        <v>986.43630099999996</v>
      </c>
      <c r="J1639">
        <v>7.6467930320930222</v>
      </c>
      <c r="K1639">
        <v>0</v>
      </c>
      <c r="L1639">
        <v>1.2840102189701099</v>
      </c>
      <c r="M1639">
        <v>14.34</v>
      </c>
      <c r="N1639">
        <v>4.2699999999999996</v>
      </c>
    </row>
    <row r="1640" spans="1:14" x14ac:dyDescent="0.35">
      <c r="A1640" s="1" t="s">
        <v>1652</v>
      </c>
      <c r="B1640" t="str">
        <f>HYPERLINK("https://www.suredividend.com/sure-analysis-research-database/","Universal Logistics Holdings Inc")</f>
        <v>Universal Logistics Holdings Inc</v>
      </c>
      <c r="C1640" t="s">
        <v>1799</v>
      </c>
      <c r="D1640">
        <v>24.22</v>
      </c>
      <c r="E1640">
        <v>1.7160780687381999E-2</v>
      </c>
      <c r="F1640">
        <v>0</v>
      </c>
      <c r="G1640">
        <v>0</v>
      </c>
      <c r="H1640">
        <v>0.41563410824839297</v>
      </c>
      <c r="I1640">
        <v>636.694706</v>
      </c>
      <c r="J1640">
        <v>4.8838640611504438</v>
      </c>
      <c r="K1640">
        <v>8.3966486514826869E-2</v>
      </c>
      <c r="L1640">
        <v>0.98262099338716613</v>
      </c>
      <c r="M1640">
        <v>44.16</v>
      </c>
      <c r="N1640">
        <v>23.73</v>
      </c>
    </row>
    <row r="1641" spans="1:14" x14ac:dyDescent="0.35">
      <c r="A1641" s="1" t="s">
        <v>1653</v>
      </c>
      <c r="B1641" t="str">
        <f>HYPERLINK("https://www.suredividend.com/sure-analysis-UMBF/","UMB Financial Corp.")</f>
        <v>UMB Financial Corp.</v>
      </c>
      <c r="C1641" t="s">
        <v>1801</v>
      </c>
      <c r="D1641">
        <v>61.79</v>
      </c>
      <c r="E1641">
        <v>2.4599449749150348E-2</v>
      </c>
      <c r="F1641">
        <v>2.702702702702697E-2</v>
      </c>
      <c r="G1641">
        <v>4.8413171284721328E-2</v>
      </c>
      <c r="H1641">
        <v>1.4956918121128731</v>
      </c>
      <c r="I1641">
        <v>2998.5513609999998</v>
      </c>
      <c r="J1641">
        <v>8.0886713624935922</v>
      </c>
      <c r="K1641">
        <v>0.19654294508710549</v>
      </c>
      <c r="L1641">
        <v>1.2113971257010061</v>
      </c>
      <c r="M1641">
        <v>90.09</v>
      </c>
      <c r="N1641">
        <v>49.48</v>
      </c>
    </row>
    <row r="1642" spans="1:14" x14ac:dyDescent="0.35">
      <c r="A1642" s="1" t="s">
        <v>1654</v>
      </c>
      <c r="B1642" t="str">
        <f>HYPERLINK("https://www.suredividend.com/sure-analysis-UMH/","UMH Properties Inc")</f>
        <v>UMH Properties Inc</v>
      </c>
      <c r="C1642" t="s">
        <v>1800</v>
      </c>
      <c r="D1642">
        <v>14.12</v>
      </c>
      <c r="E1642">
        <v>5.8073654390934842E-2</v>
      </c>
      <c r="F1642">
        <v>2.4999999999999911E-2</v>
      </c>
      <c r="G1642">
        <v>2.635185407071083E-2</v>
      </c>
      <c r="H1642">
        <v>0.79985114279567104</v>
      </c>
      <c r="I1642">
        <v>921.60182399999997</v>
      </c>
      <c r="J1642" t="s">
        <v>1798</v>
      </c>
      <c r="K1642" t="s">
        <v>1798</v>
      </c>
      <c r="L1642">
        <v>1.030905048452905</v>
      </c>
      <c r="M1642">
        <v>18.18</v>
      </c>
      <c r="N1642">
        <v>13.26</v>
      </c>
    </row>
    <row r="1643" spans="1:14" x14ac:dyDescent="0.35">
      <c r="A1643" s="1" t="s">
        <v>1655</v>
      </c>
      <c r="B1643" t="str">
        <f>HYPERLINK("https://www.suredividend.com/sure-analysis-UNF/","Unifirst Corp.")</f>
        <v>Unifirst Corp.</v>
      </c>
      <c r="C1643" t="s">
        <v>1799</v>
      </c>
      <c r="D1643">
        <v>160.47</v>
      </c>
      <c r="E1643">
        <v>7.7273010531563532E-3</v>
      </c>
      <c r="F1643">
        <v>3.3333333333333208E-2</v>
      </c>
      <c r="G1643">
        <v>0.22473416853114969</v>
      </c>
      <c r="H1643">
        <v>1.2367786064589441</v>
      </c>
      <c r="I1643">
        <v>2423.7444959999998</v>
      </c>
      <c r="J1643">
        <v>23.71013163689544</v>
      </c>
      <c r="K1643">
        <v>0.22734900854024709</v>
      </c>
      <c r="L1643">
        <v>0.73524051839281901</v>
      </c>
      <c r="M1643">
        <v>204.54</v>
      </c>
      <c r="N1643">
        <v>150.22999999999999</v>
      </c>
    </row>
    <row r="1644" spans="1:14" x14ac:dyDescent="0.35">
      <c r="A1644" s="1" t="s">
        <v>1656</v>
      </c>
      <c r="B1644" t="str">
        <f>HYPERLINK("https://www.suredividend.com/sure-analysis-research-database/","United Natural Foods Inc.")</f>
        <v>United Natural Foods Inc.</v>
      </c>
      <c r="C1644" t="s">
        <v>1805</v>
      </c>
      <c r="D1644">
        <v>15.37</v>
      </c>
      <c r="E1644">
        <v>0</v>
      </c>
      <c r="F1644" t="s">
        <v>1798</v>
      </c>
      <c r="G1644" t="s">
        <v>1798</v>
      </c>
      <c r="H1644">
        <v>0</v>
      </c>
      <c r="I1644">
        <v>899.144047</v>
      </c>
      <c r="J1644">
        <v>37.464335294166673</v>
      </c>
      <c r="K1644">
        <v>0</v>
      </c>
      <c r="L1644">
        <v>1.0958913080757831</v>
      </c>
      <c r="M1644">
        <v>47.88</v>
      </c>
      <c r="N1644">
        <v>12.88</v>
      </c>
    </row>
    <row r="1645" spans="1:14" x14ac:dyDescent="0.35">
      <c r="A1645" s="1" t="s">
        <v>1657</v>
      </c>
      <c r="B1645" t="str">
        <f>HYPERLINK("https://www.suredividend.com/sure-analysis-UNIT/","Uniti Group Inc")</f>
        <v>Uniti Group Inc</v>
      </c>
      <c r="C1645" t="s">
        <v>1800</v>
      </c>
      <c r="D1645">
        <v>4.54</v>
      </c>
      <c r="E1645">
        <v>0.13215859030836999</v>
      </c>
      <c r="F1645">
        <v>0</v>
      </c>
      <c r="G1645">
        <v>-0.24214171674480101</v>
      </c>
      <c r="H1645">
        <v>0.562851550861724</v>
      </c>
      <c r="I1645">
        <v>1083.646262</v>
      </c>
      <c r="J1645" t="s">
        <v>1798</v>
      </c>
      <c r="K1645" t="s">
        <v>1798</v>
      </c>
      <c r="L1645">
        <v>1.9345249963709279</v>
      </c>
      <c r="M1645">
        <v>6.83</v>
      </c>
      <c r="N1645">
        <v>2.67</v>
      </c>
    </row>
    <row r="1646" spans="1:14" x14ac:dyDescent="0.35">
      <c r="A1646" s="1" t="s">
        <v>1658</v>
      </c>
      <c r="B1646" t="str">
        <f>HYPERLINK("https://www.suredividend.com/sure-analysis-research-database/","Unity Bancorp, Inc.")</f>
        <v>Unity Bancorp, Inc.</v>
      </c>
      <c r="C1646" t="s">
        <v>1801</v>
      </c>
      <c r="D1646">
        <v>23.74</v>
      </c>
      <c r="E1646">
        <v>1.9532141415298E-2</v>
      </c>
      <c r="F1646">
        <v>9.0909090909090828E-2</v>
      </c>
      <c r="G1646">
        <v>0.1138241786028789</v>
      </c>
      <c r="H1646">
        <v>0.46369303719917798</v>
      </c>
      <c r="I1646">
        <v>240.61358899999999</v>
      </c>
      <c r="J1646">
        <v>0</v>
      </c>
      <c r="K1646" t="s">
        <v>1798</v>
      </c>
      <c r="L1646">
        <v>0.61089109450631707</v>
      </c>
      <c r="M1646">
        <v>29.03</v>
      </c>
      <c r="N1646">
        <v>19.61</v>
      </c>
    </row>
    <row r="1647" spans="1:14" x14ac:dyDescent="0.35">
      <c r="A1647" s="1" t="s">
        <v>1659</v>
      </c>
      <c r="B1647" t="str">
        <f>HYPERLINK("https://www.suredividend.com/sure-analysis-research-database/","Urban One Inc")</f>
        <v>Urban One Inc</v>
      </c>
      <c r="C1647" t="s">
        <v>1807</v>
      </c>
      <c r="D1647">
        <v>5.39</v>
      </c>
      <c r="E1647">
        <v>0</v>
      </c>
      <c r="F1647" t="s">
        <v>1798</v>
      </c>
      <c r="G1647" t="s">
        <v>1798</v>
      </c>
      <c r="H1647">
        <v>0</v>
      </c>
      <c r="I1647">
        <v>236.542812</v>
      </c>
      <c r="J1647">
        <v>6.3367036839990361</v>
      </c>
      <c r="K1647">
        <v>0</v>
      </c>
      <c r="L1647">
        <v>0.99884893837272504</v>
      </c>
      <c r="M1647">
        <v>8.0399999999999991</v>
      </c>
      <c r="N1647">
        <v>4.33</v>
      </c>
    </row>
    <row r="1648" spans="1:14" x14ac:dyDescent="0.35">
      <c r="A1648" s="1" t="s">
        <v>1660</v>
      </c>
      <c r="B1648" t="str">
        <f>HYPERLINK("https://www.suredividend.com/sure-analysis-research-database/","Urban One Inc")</f>
        <v>Urban One Inc</v>
      </c>
      <c r="C1648" t="s">
        <v>1807</v>
      </c>
      <c r="D1648">
        <v>5.38</v>
      </c>
      <c r="E1648">
        <v>0</v>
      </c>
      <c r="F1648" t="s">
        <v>1798</v>
      </c>
      <c r="G1648" t="s">
        <v>1798</v>
      </c>
      <c r="H1648">
        <v>0</v>
      </c>
      <c r="I1648">
        <v>236.542812</v>
      </c>
      <c r="J1648">
        <v>6.3367036839990361</v>
      </c>
      <c r="K1648">
        <v>0</v>
      </c>
      <c r="L1648">
        <v>0.90877490518517212</v>
      </c>
      <c r="M1648">
        <v>6.34</v>
      </c>
      <c r="N1648">
        <v>3.64</v>
      </c>
    </row>
    <row r="1649" spans="1:14" x14ac:dyDescent="0.35">
      <c r="A1649" s="1" t="s">
        <v>1661</v>
      </c>
      <c r="B1649" t="str">
        <f>HYPERLINK("https://www.suredividend.com/sure-analysis-research-database/","Wheels Up Experience Inc")</f>
        <v>Wheels Up Experience Inc</v>
      </c>
      <c r="C1649" t="s">
        <v>1798</v>
      </c>
      <c r="D1649">
        <v>1.58</v>
      </c>
      <c r="E1649">
        <v>0</v>
      </c>
      <c r="F1649" t="s">
        <v>1798</v>
      </c>
      <c r="G1649" t="s">
        <v>1798</v>
      </c>
      <c r="H1649">
        <v>0</v>
      </c>
      <c r="I1649">
        <v>40.094228999999999</v>
      </c>
      <c r="J1649" t="s">
        <v>1798</v>
      </c>
      <c r="K1649">
        <v>0</v>
      </c>
      <c r="L1649">
        <v>2.377567154647807</v>
      </c>
      <c r="M1649">
        <v>18.399999999999999</v>
      </c>
      <c r="N1649">
        <v>0.98</v>
      </c>
    </row>
    <row r="1650" spans="1:14" x14ac:dyDescent="0.35">
      <c r="A1650" s="1" t="s">
        <v>1662</v>
      </c>
      <c r="B1650" t="str">
        <f>HYPERLINK("https://www.suredividend.com/sure-analysis-research-database/","Upbound Group Inc")</f>
        <v>Upbound Group Inc</v>
      </c>
      <c r="C1650" t="s">
        <v>1798</v>
      </c>
      <c r="D1650">
        <v>28.76</v>
      </c>
      <c r="E1650">
        <v>4.6511108585036001E-2</v>
      </c>
      <c r="F1650" t="s">
        <v>1798</v>
      </c>
      <c r="G1650" t="s">
        <v>1798</v>
      </c>
      <c r="H1650">
        <v>1.3376594829056401</v>
      </c>
      <c r="I1650">
        <v>1609.955062</v>
      </c>
      <c r="J1650">
        <v>0</v>
      </c>
      <c r="K1650" t="s">
        <v>1798</v>
      </c>
      <c r="L1650">
        <v>1.385713861296626</v>
      </c>
      <c r="M1650">
        <v>35.340000000000003</v>
      </c>
      <c r="N1650">
        <v>16.71</v>
      </c>
    </row>
    <row r="1651" spans="1:14" x14ac:dyDescent="0.35">
      <c r="A1651" s="1" t="s">
        <v>1663</v>
      </c>
      <c r="B1651" t="str">
        <f>HYPERLINK("https://www.suredividend.com/sure-analysis-research-database/","Upland Software Inc")</f>
        <v>Upland Software Inc</v>
      </c>
      <c r="C1651" t="s">
        <v>1804</v>
      </c>
      <c r="D1651">
        <v>4.12</v>
      </c>
      <c r="E1651">
        <v>0</v>
      </c>
      <c r="F1651" t="s">
        <v>1798</v>
      </c>
      <c r="G1651" t="s">
        <v>1798</v>
      </c>
      <c r="H1651">
        <v>0</v>
      </c>
      <c r="I1651">
        <v>134.537014</v>
      </c>
      <c r="J1651">
        <v>0</v>
      </c>
      <c r="K1651" t="s">
        <v>1798</v>
      </c>
      <c r="L1651">
        <v>2.2812029947089871</v>
      </c>
      <c r="M1651">
        <v>9.7100000000000009</v>
      </c>
      <c r="N1651">
        <v>2.42</v>
      </c>
    </row>
    <row r="1652" spans="1:14" x14ac:dyDescent="0.35">
      <c r="A1652" s="1" t="s">
        <v>1664</v>
      </c>
      <c r="B1652" t="str">
        <f>HYPERLINK("https://www.suredividend.com/sure-analysis-research-database/","Upwork Inc")</f>
        <v>Upwork Inc</v>
      </c>
      <c r="C1652" t="s">
        <v>1799</v>
      </c>
      <c r="D1652">
        <v>11.12</v>
      </c>
      <c r="E1652">
        <v>0</v>
      </c>
      <c r="F1652" t="s">
        <v>1798</v>
      </c>
      <c r="G1652" t="s">
        <v>1798</v>
      </c>
      <c r="H1652">
        <v>0</v>
      </c>
      <c r="I1652">
        <v>1499.9055989999999</v>
      </c>
      <c r="J1652" t="s">
        <v>1798</v>
      </c>
      <c r="K1652">
        <v>0</v>
      </c>
      <c r="L1652">
        <v>1.949667171666966</v>
      </c>
      <c r="M1652">
        <v>15.88</v>
      </c>
      <c r="N1652">
        <v>6.56</v>
      </c>
    </row>
    <row r="1653" spans="1:14" x14ac:dyDescent="0.35">
      <c r="A1653" s="1" t="s">
        <v>1665</v>
      </c>
      <c r="B1653" t="str">
        <f>HYPERLINK("https://www.suredividend.com/sure-analysis-research-database/","Urban Outfitters, Inc.")</f>
        <v>Urban Outfitters, Inc.</v>
      </c>
      <c r="C1653" t="s">
        <v>1802</v>
      </c>
      <c r="D1653">
        <v>31.61</v>
      </c>
      <c r="E1653">
        <v>0</v>
      </c>
      <c r="F1653" t="s">
        <v>1798</v>
      </c>
      <c r="G1653" t="s">
        <v>1798</v>
      </c>
      <c r="H1653">
        <v>0</v>
      </c>
      <c r="I1653">
        <v>2932.598626</v>
      </c>
      <c r="J1653">
        <v>12.998992145238081</v>
      </c>
      <c r="K1653">
        <v>0</v>
      </c>
      <c r="L1653">
        <v>1.1501375780314651</v>
      </c>
      <c r="M1653">
        <v>37.82</v>
      </c>
      <c r="N1653">
        <v>22.1</v>
      </c>
    </row>
    <row r="1654" spans="1:14" x14ac:dyDescent="0.35">
      <c r="A1654" s="1" t="s">
        <v>1666</v>
      </c>
      <c r="B1654" t="str">
        <f>HYPERLINK("https://www.suredividend.com/sure-analysis-research-database/","Ur-Energy Inc.")</f>
        <v>Ur-Energy Inc.</v>
      </c>
      <c r="C1654" t="s">
        <v>1808</v>
      </c>
      <c r="D1654">
        <v>1.49</v>
      </c>
      <c r="E1654">
        <v>0</v>
      </c>
      <c r="F1654" t="s">
        <v>1798</v>
      </c>
      <c r="G1654" t="s">
        <v>1798</v>
      </c>
      <c r="H1654">
        <v>0</v>
      </c>
      <c r="I1654">
        <v>396.06931600000001</v>
      </c>
      <c r="J1654">
        <v>0</v>
      </c>
      <c r="K1654" t="s">
        <v>1798</v>
      </c>
      <c r="L1654">
        <v>1.5868161950428059</v>
      </c>
      <c r="M1654">
        <v>1.68</v>
      </c>
      <c r="N1654">
        <v>0.82010000000000005</v>
      </c>
    </row>
    <row r="1655" spans="1:14" x14ac:dyDescent="0.35">
      <c r="A1655" s="1" t="s">
        <v>1667</v>
      </c>
      <c r="B1655" t="str">
        <f>HYPERLINK("https://www.suredividend.com/sure-analysis-research-database/","USCB Financial Holdings Inc")</f>
        <v>USCB Financial Holdings Inc</v>
      </c>
      <c r="C1655" t="s">
        <v>1798</v>
      </c>
      <c r="D1655">
        <v>11.8</v>
      </c>
      <c r="E1655">
        <v>0</v>
      </c>
      <c r="F1655" t="s">
        <v>1798</v>
      </c>
      <c r="G1655" t="s">
        <v>1798</v>
      </c>
      <c r="H1655">
        <v>0</v>
      </c>
      <c r="I1655">
        <v>230.62836899999999</v>
      </c>
      <c r="J1655">
        <v>0</v>
      </c>
      <c r="K1655" t="s">
        <v>1798</v>
      </c>
      <c r="L1655">
        <v>0.33743787987861901</v>
      </c>
      <c r="M1655">
        <v>14.35</v>
      </c>
      <c r="N1655">
        <v>8.56</v>
      </c>
    </row>
    <row r="1656" spans="1:14" x14ac:dyDescent="0.35">
      <c r="A1656" s="1" t="s">
        <v>1668</v>
      </c>
      <c r="B1656" t="str">
        <f>HYPERLINK("https://www.suredividend.com/sure-analysis-research-database/","United States Lime &amp; Minerals Inc.")</f>
        <v>United States Lime &amp; Minerals Inc.</v>
      </c>
      <c r="C1656" t="s">
        <v>1809</v>
      </c>
      <c r="D1656">
        <v>208.04</v>
      </c>
      <c r="E1656">
        <v>3.834423258461E-3</v>
      </c>
      <c r="F1656">
        <v>0</v>
      </c>
      <c r="G1656">
        <v>8.1780741066402873E-2</v>
      </c>
      <c r="H1656">
        <v>0.79771341469027002</v>
      </c>
      <c r="I1656">
        <v>1183.7475999999999</v>
      </c>
      <c r="J1656">
        <v>18.689079398159109</v>
      </c>
      <c r="K1656">
        <v>7.1672364302809516E-2</v>
      </c>
      <c r="L1656">
        <v>0.76163210246236301</v>
      </c>
      <c r="M1656">
        <v>226.47</v>
      </c>
      <c r="N1656">
        <v>105.56</v>
      </c>
    </row>
    <row r="1657" spans="1:14" x14ac:dyDescent="0.35">
      <c r="A1657" s="1" t="s">
        <v>1669</v>
      </c>
      <c r="B1657" t="str">
        <f>HYPERLINK("https://www.suredividend.com/sure-analysis-research-database/","United States Cellular Corporation")</f>
        <v>United States Cellular Corporation</v>
      </c>
      <c r="C1657" t="s">
        <v>1807</v>
      </c>
      <c r="D1657">
        <v>41.31</v>
      </c>
      <c r="E1657">
        <v>0</v>
      </c>
      <c r="F1657" t="s">
        <v>1798</v>
      </c>
      <c r="G1657" t="s">
        <v>1798</v>
      </c>
      <c r="H1657">
        <v>0</v>
      </c>
      <c r="I1657">
        <v>2159.1291150000002</v>
      </c>
      <c r="J1657" t="s">
        <v>1798</v>
      </c>
      <c r="K1657">
        <v>0</v>
      </c>
      <c r="L1657">
        <v>0.203220230854642</v>
      </c>
      <c r="M1657">
        <v>46.86</v>
      </c>
      <c r="N1657">
        <v>13.79</v>
      </c>
    </row>
    <row r="1658" spans="1:14" x14ac:dyDescent="0.35">
      <c r="A1658" s="1" t="s">
        <v>1670</v>
      </c>
      <c r="B1658" t="str">
        <f>HYPERLINK("https://www.suredividend.com/sure-analysis-research-database/","Usana Health Sciences Inc")</f>
        <v>Usana Health Sciences Inc</v>
      </c>
      <c r="C1658" t="s">
        <v>1805</v>
      </c>
      <c r="D1658">
        <v>55.09</v>
      </c>
      <c r="E1658">
        <v>0</v>
      </c>
      <c r="F1658" t="s">
        <v>1798</v>
      </c>
      <c r="G1658" t="s">
        <v>1798</v>
      </c>
      <c r="H1658">
        <v>0</v>
      </c>
      <c r="I1658">
        <v>1063.332306</v>
      </c>
      <c r="J1658">
        <v>16.772067472673069</v>
      </c>
      <c r="K1658">
        <v>0</v>
      </c>
      <c r="L1658">
        <v>0.68603021144922405</v>
      </c>
      <c r="M1658">
        <v>69.599999999999994</v>
      </c>
      <c r="N1658">
        <v>48.61</v>
      </c>
    </row>
    <row r="1659" spans="1:14" x14ac:dyDescent="0.35">
      <c r="A1659" s="1" t="s">
        <v>1671</v>
      </c>
      <c r="B1659" t="str">
        <f>HYPERLINK("https://www.suredividend.com/sure-analysis-research-database/","U.S. Physical Therapy, Inc.")</f>
        <v>U.S. Physical Therapy, Inc.</v>
      </c>
      <c r="C1659" t="s">
        <v>1803</v>
      </c>
      <c r="D1659">
        <v>87.06</v>
      </c>
      <c r="E1659">
        <v>1.9406674014178001E-2</v>
      </c>
      <c r="F1659" t="s">
        <v>1798</v>
      </c>
      <c r="G1659" t="s">
        <v>1798</v>
      </c>
      <c r="H1659">
        <v>1.6895450396743881</v>
      </c>
      <c r="I1659">
        <v>1304.7957309999999</v>
      </c>
      <c r="J1659">
        <v>51.146396886049153</v>
      </c>
      <c r="K1659">
        <v>0.87541193765512326</v>
      </c>
      <c r="L1659">
        <v>0.96176436725459302</v>
      </c>
      <c r="M1659">
        <v>123.58</v>
      </c>
      <c r="N1659">
        <v>76.87</v>
      </c>
    </row>
    <row r="1660" spans="1:14" x14ac:dyDescent="0.35">
      <c r="A1660" s="1" t="s">
        <v>1672</v>
      </c>
      <c r="B1660" t="str">
        <f>HYPERLINK("https://www.suredividend.com/sure-analysis-research-database/","Universal Technical Institute Inc")</f>
        <v>Universal Technical Institute Inc</v>
      </c>
      <c r="C1660" t="s">
        <v>1805</v>
      </c>
      <c r="D1660">
        <v>8.3800000000000008</v>
      </c>
      <c r="E1660">
        <v>0</v>
      </c>
      <c r="F1660" t="s">
        <v>1798</v>
      </c>
      <c r="G1660" t="s">
        <v>1798</v>
      </c>
      <c r="H1660">
        <v>0</v>
      </c>
      <c r="I1660">
        <v>285.49997999999999</v>
      </c>
      <c r="J1660">
        <v>154.91046109603911</v>
      </c>
      <c r="K1660">
        <v>0</v>
      </c>
      <c r="L1660">
        <v>0.73743006661659205</v>
      </c>
      <c r="M1660">
        <v>8.9</v>
      </c>
      <c r="N1660">
        <v>5.57</v>
      </c>
    </row>
    <row r="1661" spans="1:14" x14ac:dyDescent="0.35">
      <c r="A1661" s="1" t="s">
        <v>1673</v>
      </c>
      <c r="B1661" t="str">
        <f>HYPERLINK("https://www.suredividend.com/sure-analysis-research-database/","Unitil Corp.")</f>
        <v>Unitil Corp.</v>
      </c>
      <c r="C1661" t="s">
        <v>1806</v>
      </c>
      <c r="D1661">
        <v>45.44</v>
      </c>
      <c r="E1661">
        <v>3.4857418208287E-2</v>
      </c>
      <c r="F1661">
        <v>3.8461538461538547E-2</v>
      </c>
      <c r="G1661">
        <v>1.824118682704667E-2</v>
      </c>
      <c r="H1661">
        <v>1.583921083384582</v>
      </c>
      <c r="I1661">
        <v>731.25510499999996</v>
      </c>
      <c r="J1661">
        <v>16.888108666974599</v>
      </c>
      <c r="K1661">
        <v>0.58447272449615573</v>
      </c>
      <c r="L1661">
        <v>0.66255993654763901</v>
      </c>
      <c r="M1661">
        <v>59.68</v>
      </c>
      <c r="N1661">
        <v>41.43</v>
      </c>
    </row>
    <row r="1662" spans="1:14" x14ac:dyDescent="0.35">
      <c r="A1662" s="1" t="s">
        <v>1674</v>
      </c>
      <c r="B1662" t="str">
        <f>HYPERLINK("https://www.suredividend.com/sure-analysis-research-database/","Utah Medical Products, Inc.")</f>
        <v>Utah Medical Products, Inc.</v>
      </c>
      <c r="C1662" t="s">
        <v>1803</v>
      </c>
      <c r="D1662">
        <v>83.25</v>
      </c>
      <c r="E1662">
        <v>1.4048758419285001E-2</v>
      </c>
      <c r="F1662">
        <v>1.7241379310344751E-2</v>
      </c>
      <c r="G1662">
        <v>1.413988746585337E-2</v>
      </c>
      <c r="H1662">
        <v>1.169559138405488</v>
      </c>
      <c r="I1662">
        <v>302.15795600000001</v>
      </c>
      <c r="J1662">
        <v>0</v>
      </c>
      <c r="K1662" t="s">
        <v>1798</v>
      </c>
      <c r="L1662">
        <v>0.7254377902601421</v>
      </c>
      <c r="M1662">
        <v>107.41</v>
      </c>
      <c r="N1662">
        <v>79.459999999999994</v>
      </c>
    </row>
    <row r="1663" spans="1:14" x14ac:dyDescent="0.35">
      <c r="A1663" s="1" t="s">
        <v>1675</v>
      </c>
      <c r="B1663" t="str">
        <f>HYPERLINK("https://www.suredividend.com/sure-analysis-research-database/","Utz Brands Inc")</f>
        <v>Utz Brands Inc</v>
      </c>
      <c r="C1663" t="s">
        <v>1798</v>
      </c>
      <c r="D1663">
        <v>11.92</v>
      </c>
      <c r="E1663">
        <v>1.9022980908445002E-2</v>
      </c>
      <c r="F1663" t="s">
        <v>1798</v>
      </c>
      <c r="G1663" t="s">
        <v>1798</v>
      </c>
      <c r="H1663">
        <v>0.226753932428674</v>
      </c>
      <c r="I1663">
        <v>967.205691</v>
      </c>
      <c r="J1663">
        <v>0</v>
      </c>
      <c r="K1663" t="s">
        <v>1798</v>
      </c>
      <c r="L1663">
        <v>0.57438982789585302</v>
      </c>
      <c r="M1663">
        <v>18.96</v>
      </c>
      <c r="N1663">
        <v>11.17</v>
      </c>
    </row>
    <row r="1664" spans="1:14" x14ac:dyDescent="0.35">
      <c r="A1664" s="1" t="s">
        <v>1676</v>
      </c>
      <c r="B1664" t="str">
        <f>HYPERLINK("https://www.suredividend.com/sure-analysis-research-database/","Energy Fuels Inc")</f>
        <v>Energy Fuels Inc</v>
      </c>
      <c r="C1664" t="s">
        <v>1808</v>
      </c>
      <c r="D1664">
        <v>7.54</v>
      </c>
      <c r="E1664">
        <v>0</v>
      </c>
      <c r="F1664" t="s">
        <v>1798</v>
      </c>
      <c r="G1664" t="s">
        <v>1798</v>
      </c>
      <c r="H1664">
        <v>0</v>
      </c>
      <c r="I1664">
        <v>1193.9533899999999</v>
      </c>
      <c r="J1664">
        <v>0</v>
      </c>
      <c r="K1664" t="s">
        <v>1798</v>
      </c>
      <c r="L1664">
        <v>1.711196511560888</v>
      </c>
      <c r="M1664">
        <v>9.0299999999999994</v>
      </c>
      <c r="N1664">
        <v>4.8499999999999996</v>
      </c>
    </row>
    <row r="1665" spans="1:14" x14ac:dyDescent="0.35">
      <c r="A1665" s="1" t="s">
        <v>1677</v>
      </c>
      <c r="B1665" t="str">
        <f>HYPERLINK("https://www.suredividend.com/sure-analysis-research-database/","Universal Insurance Holdings Inc")</f>
        <v>Universal Insurance Holdings Inc</v>
      </c>
      <c r="C1665" t="s">
        <v>1801</v>
      </c>
      <c r="D1665">
        <v>13.72</v>
      </c>
      <c r="E1665">
        <v>4.5946540504838998E-2</v>
      </c>
      <c r="F1665">
        <v>0.23076923076923081</v>
      </c>
      <c r="G1665">
        <v>4.2402216277297899E-2</v>
      </c>
      <c r="H1665">
        <v>0.63038653572639203</v>
      </c>
      <c r="I1665">
        <v>412.97199999999998</v>
      </c>
      <c r="J1665">
        <v>74.208805031446545</v>
      </c>
      <c r="K1665">
        <v>3.4598602399911749</v>
      </c>
      <c r="L1665">
        <v>0.66438434329951301</v>
      </c>
      <c r="M1665">
        <v>19.739999999999998</v>
      </c>
      <c r="N1665">
        <v>8.5299999999999994</v>
      </c>
    </row>
    <row r="1666" spans="1:14" x14ac:dyDescent="0.35">
      <c r="A1666" s="1" t="s">
        <v>1678</v>
      </c>
      <c r="B1666" t="str">
        <f>HYPERLINK("https://www.suredividend.com/sure-analysis-research-database/","Univest Financial Corp")</f>
        <v>Univest Financial Corp</v>
      </c>
      <c r="C1666" t="s">
        <v>1801</v>
      </c>
      <c r="D1666">
        <v>16.73</v>
      </c>
      <c r="E1666">
        <v>4.8751075983348012E-2</v>
      </c>
      <c r="F1666" t="s">
        <v>1798</v>
      </c>
      <c r="G1666" t="s">
        <v>1798</v>
      </c>
      <c r="H1666">
        <v>0.81560550120142605</v>
      </c>
      <c r="I1666">
        <v>493.05588599999999</v>
      </c>
      <c r="J1666">
        <v>5.9785365311442806</v>
      </c>
      <c r="K1666">
        <v>0.29128767900050928</v>
      </c>
      <c r="L1666">
        <v>0.89419150196164909</v>
      </c>
      <c r="M1666">
        <v>27.77</v>
      </c>
      <c r="N1666">
        <v>15.77</v>
      </c>
    </row>
    <row r="1667" spans="1:14" x14ac:dyDescent="0.35">
      <c r="A1667" s="1" t="s">
        <v>1679</v>
      </c>
      <c r="B1667" t="str">
        <f>HYPERLINK("https://www.suredividend.com/sure-analysis-UVV/","Universal Corp.")</f>
        <v>Universal Corp.</v>
      </c>
      <c r="C1667" t="s">
        <v>1805</v>
      </c>
      <c r="D1667">
        <v>45.69</v>
      </c>
      <c r="E1667">
        <v>7.0037207266360257E-2</v>
      </c>
      <c r="F1667">
        <v>1.265822784810133E-2</v>
      </c>
      <c r="G1667">
        <v>1.299136822423641E-2</v>
      </c>
      <c r="H1667">
        <v>3.10350393487363</v>
      </c>
      <c r="I1667">
        <v>1125.646254</v>
      </c>
      <c r="J1667">
        <v>9.7747985723961861</v>
      </c>
      <c r="K1667">
        <v>0.67175409845749567</v>
      </c>
      <c r="L1667">
        <v>0.52809250190770307</v>
      </c>
      <c r="M1667">
        <v>54.29</v>
      </c>
      <c r="N1667">
        <v>43.27</v>
      </c>
    </row>
    <row r="1668" spans="1:14" x14ac:dyDescent="0.35">
      <c r="A1668" s="1" t="s">
        <v>1680</v>
      </c>
      <c r="B1668" t="str">
        <f>HYPERLINK("https://www.suredividend.com/sure-analysis-research-database/","Valaris Ltd")</f>
        <v>Valaris Ltd</v>
      </c>
      <c r="C1668" t="s">
        <v>1808</v>
      </c>
      <c r="D1668">
        <v>73.58</v>
      </c>
      <c r="E1668">
        <v>0</v>
      </c>
      <c r="F1668" t="s">
        <v>1798</v>
      </c>
      <c r="G1668" t="s">
        <v>1798</v>
      </c>
      <c r="H1668">
        <v>0</v>
      </c>
      <c r="I1668">
        <v>5444.0129059999999</v>
      </c>
      <c r="J1668">
        <v>45.066332001324497</v>
      </c>
      <c r="K1668">
        <v>0</v>
      </c>
      <c r="L1668">
        <v>1.145066299654389</v>
      </c>
      <c r="M1668">
        <v>80</v>
      </c>
      <c r="N1668">
        <v>54.13</v>
      </c>
    </row>
    <row r="1669" spans="1:14" x14ac:dyDescent="0.35">
      <c r="A1669" s="1" t="s">
        <v>1681</v>
      </c>
      <c r="B1669" t="str">
        <f>HYPERLINK("https://www.suredividend.com/sure-analysis-research-database/","Value Line, Inc.")</f>
        <v>Value Line, Inc.</v>
      </c>
      <c r="C1669" t="s">
        <v>1801</v>
      </c>
      <c r="D1669">
        <v>33.35</v>
      </c>
      <c r="E1669">
        <v>3.1327259838251E-2</v>
      </c>
      <c r="F1669">
        <v>0.12000000000000011</v>
      </c>
      <c r="G1669">
        <v>8.0639619600400225E-2</v>
      </c>
      <c r="H1669">
        <v>1.0447641156057039</v>
      </c>
      <c r="I1669">
        <v>314.49436900000001</v>
      </c>
      <c r="J1669">
        <v>17.027307449918791</v>
      </c>
      <c r="K1669">
        <v>0.53304291612535915</v>
      </c>
      <c r="M1669">
        <v>71.069999999999993</v>
      </c>
      <c r="N1669">
        <v>32.07</v>
      </c>
    </row>
    <row r="1670" spans="1:14" x14ac:dyDescent="0.35">
      <c r="A1670" s="1" t="s">
        <v>1682</v>
      </c>
      <c r="B1670" t="str">
        <f>HYPERLINK("https://www.suredividend.com/sure-analysis-research-database/","VBI Vaccines Inc.")</f>
        <v>VBI Vaccines Inc.</v>
      </c>
      <c r="C1670" t="s">
        <v>1803</v>
      </c>
      <c r="D1670">
        <v>0.56000000000000005</v>
      </c>
      <c r="E1670">
        <v>0</v>
      </c>
      <c r="F1670" t="s">
        <v>1798</v>
      </c>
      <c r="G1670" t="s">
        <v>1798</v>
      </c>
      <c r="H1670">
        <v>0</v>
      </c>
      <c r="I1670">
        <v>12.808418</v>
      </c>
      <c r="J1670" t="s">
        <v>1798</v>
      </c>
      <c r="K1670">
        <v>0</v>
      </c>
      <c r="L1670">
        <v>2.004712001869811</v>
      </c>
      <c r="M1670">
        <v>22.21</v>
      </c>
      <c r="N1670">
        <v>0.52100000000000002</v>
      </c>
    </row>
    <row r="1671" spans="1:14" x14ac:dyDescent="0.35">
      <c r="A1671" s="1" t="s">
        <v>1683</v>
      </c>
      <c r="B1671" t="str">
        <f>HYPERLINK("https://www.suredividend.com/sure-analysis-research-database/","Veritex Holdings Inc")</f>
        <v>Veritex Holdings Inc</v>
      </c>
      <c r="C1671" t="s">
        <v>1801</v>
      </c>
      <c r="D1671">
        <v>18.14</v>
      </c>
      <c r="E1671">
        <v>4.3110800586570013E-2</v>
      </c>
      <c r="F1671">
        <v>0</v>
      </c>
      <c r="G1671">
        <v>9.8560543306117854E-2</v>
      </c>
      <c r="H1671">
        <v>0.78202992264038007</v>
      </c>
      <c r="I1671">
        <v>985.10942499999999</v>
      </c>
      <c r="J1671">
        <v>6.3408176176622044</v>
      </c>
      <c r="K1671">
        <v>0.27536264881703532</v>
      </c>
      <c r="L1671">
        <v>1.3945164750489769</v>
      </c>
      <c r="M1671">
        <v>31.78</v>
      </c>
      <c r="N1671">
        <v>14.61</v>
      </c>
    </row>
    <row r="1672" spans="1:14" x14ac:dyDescent="0.35">
      <c r="A1672" s="1" t="s">
        <v>1684</v>
      </c>
      <c r="B1672" t="str">
        <f>HYPERLINK("https://www.suredividend.com/sure-analysis-research-database/","Visteon Corp.")</f>
        <v>Visteon Corp.</v>
      </c>
      <c r="C1672" t="s">
        <v>1802</v>
      </c>
      <c r="D1672">
        <v>130.76</v>
      </c>
      <c r="E1672">
        <v>0</v>
      </c>
      <c r="F1672" t="s">
        <v>1798</v>
      </c>
      <c r="G1672" t="s">
        <v>1798</v>
      </c>
      <c r="H1672">
        <v>0</v>
      </c>
      <c r="I1672">
        <v>3687.3496209999998</v>
      </c>
      <c r="J1672">
        <v>27.934466827272729</v>
      </c>
      <c r="K1672">
        <v>0</v>
      </c>
      <c r="L1672">
        <v>1.1442713021166451</v>
      </c>
      <c r="M1672">
        <v>171.66</v>
      </c>
      <c r="N1672">
        <v>117</v>
      </c>
    </row>
    <row r="1673" spans="1:14" x14ac:dyDescent="0.35">
      <c r="A1673" s="1" t="s">
        <v>1685</v>
      </c>
      <c r="B1673" t="str">
        <f>HYPERLINK("https://www.suredividend.com/sure-analysis-research-database/","Vericel Corp")</f>
        <v>Vericel Corp</v>
      </c>
      <c r="C1673" t="s">
        <v>1803</v>
      </c>
      <c r="D1673">
        <v>31.56</v>
      </c>
      <c r="E1673">
        <v>0</v>
      </c>
      <c r="F1673" t="s">
        <v>1798</v>
      </c>
      <c r="G1673" t="s">
        <v>1798</v>
      </c>
      <c r="H1673">
        <v>0</v>
      </c>
      <c r="I1673">
        <v>1503.5876430000001</v>
      </c>
      <c r="J1673" t="s">
        <v>1798</v>
      </c>
      <c r="K1673">
        <v>0</v>
      </c>
      <c r="L1673">
        <v>1.8211482676393751</v>
      </c>
      <c r="M1673">
        <v>39.9</v>
      </c>
      <c r="N1673">
        <v>17.3</v>
      </c>
    </row>
    <row r="1674" spans="1:14" x14ac:dyDescent="0.35">
      <c r="A1674" s="1" t="s">
        <v>1686</v>
      </c>
      <c r="B1674" t="str">
        <f>HYPERLINK("https://www.suredividend.com/sure-analysis-research-database/","Vacasa Inc")</f>
        <v>Vacasa Inc</v>
      </c>
      <c r="C1674" t="s">
        <v>1798</v>
      </c>
      <c r="D1674">
        <v>9.32</v>
      </c>
      <c r="E1674">
        <v>0</v>
      </c>
      <c r="F1674" t="s">
        <v>1798</v>
      </c>
      <c r="G1674" t="s">
        <v>1798</v>
      </c>
      <c r="H1674">
        <v>0</v>
      </c>
      <c r="I1674">
        <v>2295.3840009999999</v>
      </c>
      <c r="J1674" t="s">
        <v>1798</v>
      </c>
      <c r="K1674">
        <v>0</v>
      </c>
      <c r="L1674">
        <v>1.137559166882131</v>
      </c>
      <c r="M1674">
        <v>81</v>
      </c>
      <c r="N1674">
        <v>8.02</v>
      </c>
    </row>
    <row r="1675" spans="1:14" x14ac:dyDescent="0.35">
      <c r="A1675" s="1" t="s">
        <v>1687</v>
      </c>
      <c r="B1675" t="str">
        <f>HYPERLINK("https://www.suredividend.com/sure-analysis-research-database/","Victory Capital Holdings Inc")</f>
        <v>Victory Capital Holdings Inc</v>
      </c>
      <c r="C1675" t="s">
        <v>1801</v>
      </c>
      <c r="D1675">
        <v>30.74</v>
      </c>
      <c r="E1675">
        <v>3.8384922581307997E-2</v>
      </c>
      <c r="F1675" t="s">
        <v>1798</v>
      </c>
      <c r="G1675" t="s">
        <v>1798</v>
      </c>
      <c r="H1675">
        <v>1.1799525201494361</v>
      </c>
      <c r="I1675">
        <v>2021.693442</v>
      </c>
      <c r="J1675">
        <v>8.7527911516731098</v>
      </c>
      <c r="K1675">
        <v>0.35864818241624202</v>
      </c>
      <c r="L1675">
        <v>1.11292052166196</v>
      </c>
      <c r="M1675">
        <v>34.46</v>
      </c>
      <c r="N1675">
        <v>23.74</v>
      </c>
    </row>
    <row r="1676" spans="1:14" x14ac:dyDescent="0.35">
      <c r="A1676" s="1" t="s">
        <v>1688</v>
      </c>
      <c r="B1676" t="str">
        <f>HYPERLINK("https://www.suredividend.com/sure-analysis-research-database/","Veracyte Inc")</f>
        <v>Veracyte Inc</v>
      </c>
      <c r="C1676" t="s">
        <v>1803</v>
      </c>
      <c r="D1676">
        <v>21.28</v>
      </c>
      <c r="E1676">
        <v>0</v>
      </c>
      <c r="F1676" t="s">
        <v>1798</v>
      </c>
      <c r="G1676" t="s">
        <v>1798</v>
      </c>
      <c r="H1676">
        <v>0</v>
      </c>
      <c r="I1676">
        <v>1548.1315549999999</v>
      </c>
      <c r="J1676">
        <v>0</v>
      </c>
      <c r="K1676" t="s">
        <v>1798</v>
      </c>
      <c r="L1676">
        <v>2.2619360338520669</v>
      </c>
      <c r="M1676">
        <v>32.4</v>
      </c>
      <c r="N1676">
        <v>14.92</v>
      </c>
    </row>
    <row r="1677" spans="1:14" x14ac:dyDescent="0.35">
      <c r="A1677" s="1" t="s">
        <v>1689</v>
      </c>
      <c r="B1677" t="str">
        <f>HYPERLINK("https://www.suredividend.com/sure-analysis-research-database/","Veeco Instruments Inc")</f>
        <v>Veeco Instruments Inc</v>
      </c>
      <c r="C1677" t="s">
        <v>1804</v>
      </c>
      <c r="D1677">
        <v>27.56</v>
      </c>
      <c r="E1677">
        <v>0</v>
      </c>
      <c r="F1677" t="s">
        <v>1798</v>
      </c>
      <c r="G1677" t="s">
        <v>1798</v>
      </c>
      <c r="H1677">
        <v>0</v>
      </c>
      <c r="I1677">
        <v>1552.8826690000001</v>
      </c>
      <c r="J1677">
        <v>23.04732507643444</v>
      </c>
      <c r="K1677">
        <v>0</v>
      </c>
      <c r="L1677">
        <v>1.1768367646111191</v>
      </c>
      <c r="M1677">
        <v>31.09</v>
      </c>
      <c r="N1677">
        <v>17.059999999999999</v>
      </c>
    </row>
    <row r="1678" spans="1:14" x14ac:dyDescent="0.35">
      <c r="A1678" s="1" t="s">
        <v>1690</v>
      </c>
      <c r="B1678" t="str">
        <f>HYPERLINK("https://www.suredividend.com/sure-analysis-research-database/","Velocity Financial Inc")</f>
        <v>Velocity Financial Inc</v>
      </c>
      <c r="C1678" t="s">
        <v>1801</v>
      </c>
      <c r="D1678">
        <v>11.04</v>
      </c>
      <c r="E1678">
        <v>0</v>
      </c>
      <c r="F1678" t="s">
        <v>1798</v>
      </c>
      <c r="G1678" t="s">
        <v>1798</v>
      </c>
      <c r="H1678">
        <v>0</v>
      </c>
      <c r="I1678">
        <v>361.71577400000001</v>
      </c>
      <c r="J1678">
        <v>0</v>
      </c>
      <c r="K1678" t="s">
        <v>1798</v>
      </c>
      <c r="L1678">
        <v>0.94115687810809812</v>
      </c>
      <c r="M1678">
        <v>15.55</v>
      </c>
      <c r="N1678">
        <v>7.81</v>
      </c>
    </row>
    <row r="1679" spans="1:14" x14ac:dyDescent="0.35">
      <c r="A1679" s="1" t="s">
        <v>1691</v>
      </c>
      <c r="B1679" t="str">
        <f>HYPERLINK("https://www.suredividend.com/sure-analysis-research-database/","Vera Therapeutics Inc")</f>
        <v>Vera Therapeutics Inc</v>
      </c>
      <c r="C1679" t="s">
        <v>1798</v>
      </c>
      <c r="D1679">
        <v>10.64</v>
      </c>
      <c r="E1679">
        <v>0</v>
      </c>
      <c r="F1679" t="s">
        <v>1798</v>
      </c>
      <c r="G1679" t="s">
        <v>1798</v>
      </c>
      <c r="H1679">
        <v>0</v>
      </c>
      <c r="I1679">
        <v>471.54808500000001</v>
      </c>
      <c r="J1679">
        <v>0</v>
      </c>
      <c r="K1679" t="s">
        <v>1798</v>
      </c>
      <c r="L1679">
        <v>0.609601689454075</v>
      </c>
      <c r="M1679">
        <v>21.02</v>
      </c>
      <c r="N1679">
        <v>5.2</v>
      </c>
    </row>
    <row r="1680" spans="1:14" x14ac:dyDescent="0.35">
      <c r="A1680" s="1" t="s">
        <v>1692</v>
      </c>
      <c r="B1680" t="str">
        <f>HYPERLINK("https://www.suredividend.com/sure-analysis-research-database/","Veritone Inc")</f>
        <v>Veritone Inc</v>
      </c>
      <c r="C1680" t="s">
        <v>1804</v>
      </c>
      <c r="D1680">
        <v>2.33</v>
      </c>
      <c r="E1680">
        <v>0</v>
      </c>
      <c r="F1680" t="s">
        <v>1798</v>
      </c>
      <c r="G1680" t="s">
        <v>1798</v>
      </c>
      <c r="H1680">
        <v>0</v>
      </c>
      <c r="I1680">
        <v>86.205871000000002</v>
      </c>
      <c r="J1680" t="s">
        <v>1798</v>
      </c>
      <c r="K1680">
        <v>0</v>
      </c>
      <c r="L1680">
        <v>3.054694489693567</v>
      </c>
      <c r="M1680">
        <v>10.99</v>
      </c>
      <c r="N1680">
        <v>2.1800000000000002</v>
      </c>
    </row>
    <row r="1681" spans="1:14" x14ac:dyDescent="0.35">
      <c r="A1681" s="1" t="s">
        <v>1693</v>
      </c>
      <c r="B1681" t="str">
        <f>HYPERLINK("https://www.suredividend.com/sure-analysis-research-database/","Veru Inc")</f>
        <v>Veru Inc</v>
      </c>
      <c r="C1681" t="s">
        <v>1803</v>
      </c>
      <c r="D1681">
        <v>0.85</v>
      </c>
      <c r="E1681">
        <v>0</v>
      </c>
      <c r="F1681" t="s">
        <v>1798</v>
      </c>
      <c r="G1681" t="s">
        <v>1798</v>
      </c>
      <c r="H1681">
        <v>0</v>
      </c>
      <c r="I1681">
        <v>76.738372999999996</v>
      </c>
      <c r="J1681" t="s">
        <v>1798</v>
      </c>
      <c r="K1681">
        <v>0</v>
      </c>
      <c r="M1681">
        <v>15.9</v>
      </c>
      <c r="N1681">
        <v>0.66060000000000008</v>
      </c>
    </row>
    <row r="1682" spans="1:14" x14ac:dyDescent="0.35">
      <c r="A1682" s="1" t="s">
        <v>1694</v>
      </c>
      <c r="B1682" t="str">
        <f>HYPERLINK("https://www.suredividend.com/sure-analysis-research-database/","Verve Therapeutics Inc")</f>
        <v>Verve Therapeutics Inc</v>
      </c>
      <c r="C1682" t="s">
        <v>1798</v>
      </c>
      <c r="D1682">
        <v>11.7</v>
      </c>
      <c r="E1682">
        <v>0</v>
      </c>
      <c r="F1682" t="s">
        <v>1798</v>
      </c>
      <c r="G1682" t="s">
        <v>1798</v>
      </c>
      <c r="H1682">
        <v>0</v>
      </c>
      <c r="I1682">
        <v>745.53877699999998</v>
      </c>
      <c r="J1682" t="s">
        <v>1798</v>
      </c>
      <c r="K1682">
        <v>0</v>
      </c>
      <c r="L1682">
        <v>2.0995536363634262</v>
      </c>
      <c r="M1682">
        <v>40.880000000000003</v>
      </c>
      <c r="N1682">
        <v>11.25</v>
      </c>
    </row>
    <row r="1683" spans="1:14" x14ac:dyDescent="0.35">
      <c r="A1683" s="1" t="s">
        <v>1695</v>
      </c>
      <c r="B1683" t="str">
        <f>HYPERLINK("https://www.suredividend.com/sure-analysis-VGR/","Vector Group Ltd")</f>
        <v>Vector Group Ltd</v>
      </c>
      <c r="C1683" t="s">
        <v>1805</v>
      </c>
      <c r="D1683">
        <v>10.86</v>
      </c>
      <c r="E1683">
        <v>7.3664825046040522E-2</v>
      </c>
      <c r="F1683">
        <v>0</v>
      </c>
      <c r="G1683">
        <v>-0.1294494367038759</v>
      </c>
      <c r="H1683">
        <v>0.77986894182916211</v>
      </c>
      <c r="I1683">
        <v>1693.432597</v>
      </c>
      <c r="J1683">
        <v>10.845742850555281</v>
      </c>
      <c r="K1683">
        <v>0.76457739395015889</v>
      </c>
      <c r="L1683">
        <v>0.77364469263375502</v>
      </c>
      <c r="M1683">
        <v>13.68</v>
      </c>
      <c r="N1683">
        <v>8.68</v>
      </c>
    </row>
    <row r="1684" spans="1:14" x14ac:dyDescent="0.35">
      <c r="A1684" s="1" t="s">
        <v>1696</v>
      </c>
      <c r="B1684" t="str">
        <f>HYPERLINK("https://www.suredividend.com/sure-analysis-research-database/","Valhi, Inc.")</f>
        <v>Valhi, Inc.</v>
      </c>
      <c r="C1684" t="s">
        <v>1809</v>
      </c>
      <c r="D1684">
        <v>12.82</v>
      </c>
      <c r="E1684">
        <v>2.4746900058538999E-2</v>
      </c>
      <c r="F1684">
        <v>0</v>
      </c>
      <c r="G1684">
        <v>0.3195079107728942</v>
      </c>
      <c r="H1684">
        <v>0.31725525875048199</v>
      </c>
      <c r="I1684">
        <v>362.65848</v>
      </c>
      <c r="J1684">
        <v>53.332129449999996</v>
      </c>
      <c r="K1684">
        <v>1.3296532219215511</v>
      </c>
      <c r="L1684">
        <v>1.157454273433832</v>
      </c>
      <c r="M1684">
        <v>28.38</v>
      </c>
      <c r="N1684">
        <v>11.98</v>
      </c>
    </row>
    <row r="1685" spans="1:14" x14ac:dyDescent="0.35">
      <c r="A1685" s="1" t="s">
        <v>1697</v>
      </c>
      <c r="B1685" t="str">
        <f>HYPERLINK("https://www.suredividend.com/sure-analysis-research-database/","Via Renewables Inc")</f>
        <v>Via Renewables Inc</v>
      </c>
      <c r="C1685" t="s">
        <v>1798</v>
      </c>
      <c r="D1685">
        <v>6.4249999999999998</v>
      </c>
      <c r="E1685">
        <v>0.27842818433780198</v>
      </c>
      <c r="F1685">
        <v>0</v>
      </c>
      <c r="G1685">
        <v>0</v>
      </c>
      <c r="H1685">
        <v>1.7889010843703801</v>
      </c>
      <c r="I1685">
        <v>20.760035999999999</v>
      </c>
      <c r="J1685">
        <v>0</v>
      </c>
      <c r="K1685" t="s">
        <v>1798</v>
      </c>
      <c r="L1685">
        <v>1.2163496922674411</v>
      </c>
      <c r="M1685">
        <v>36.159999999999997</v>
      </c>
      <c r="N1685">
        <v>5.81</v>
      </c>
    </row>
    <row r="1686" spans="1:14" x14ac:dyDescent="0.35">
      <c r="A1686" s="1" t="s">
        <v>1698</v>
      </c>
      <c r="B1686" t="str">
        <f>HYPERLINK("https://www.suredividend.com/sure-analysis-research-database/","Viavi Solutions Inc")</f>
        <v>Viavi Solutions Inc</v>
      </c>
      <c r="C1686" t="s">
        <v>1804</v>
      </c>
      <c r="D1686">
        <v>7.89</v>
      </c>
      <c r="E1686">
        <v>0</v>
      </c>
      <c r="F1686" t="s">
        <v>1798</v>
      </c>
      <c r="G1686" t="s">
        <v>1798</v>
      </c>
      <c r="H1686">
        <v>0</v>
      </c>
      <c r="I1686">
        <v>1747.635</v>
      </c>
      <c r="J1686">
        <v>68.534705882352938</v>
      </c>
      <c r="K1686">
        <v>0</v>
      </c>
      <c r="L1686">
        <v>0.97284662294150503</v>
      </c>
      <c r="M1686">
        <v>15.32</v>
      </c>
      <c r="N1686">
        <v>7.86</v>
      </c>
    </row>
    <row r="1687" spans="1:14" x14ac:dyDescent="0.35">
      <c r="A1687" s="1" t="s">
        <v>1699</v>
      </c>
      <c r="B1687" t="str">
        <f>HYPERLINK("https://www.suredividend.com/sure-analysis-research-database/","Vicor Corp.")</f>
        <v>Vicor Corp.</v>
      </c>
      <c r="C1687" t="s">
        <v>1804</v>
      </c>
      <c r="D1687">
        <v>53.44</v>
      </c>
      <c r="E1687">
        <v>0</v>
      </c>
      <c r="F1687" t="s">
        <v>1798</v>
      </c>
      <c r="G1687" t="s">
        <v>1798</v>
      </c>
      <c r="H1687">
        <v>0</v>
      </c>
      <c r="I1687">
        <v>1737.5095759999999</v>
      </c>
      <c r="J1687">
        <v>45.485734608759387</v>
      </c>
      <c r="K1687">
        <v>0</v>
      </c>
      <c r="L1687">
        <v>1.955397275565691</v>
      </c>
      <c r="M1687">
        <v>98.38</v>
      </c>
      <c r="N1687">
        <v>38.71</v>
      </c>
    </row>
    <row r="1688" spans="1:14" x14ac:dyDescent="0.35">
      <c r="A1688" s="1" t="s">
        <v>1700</v>
      </c>
      <c r="B1688" t="str">
        <f>HYPERLINK("https://www.suredividend.com/sure-analysis-research-database/","View Inc.")</f>
        <v>View Inc.</v>
      </c>
      <c r="C1688" t="s">
        <v>1798</v>
      </c>
      <c r="D1688">
        <v>3.92</v>
      </c>
      <c r="E1688">
        <v>0</v>
      </c>
      <c r="F1688" t="s">
        <v>1798</v>
      </c>
      <c r="G1688" t="s">
        <v>1798</v>
      </c>
      <c r="H1688">
        <v>0</v>
      </c>
      <c r="I1688">
        <v>15.843413</v>
      </c>
      <c r="J1688">
        <v>0</v>
      </c>
      <c r="K1688" t="s">
        <v>1798</v>
      </c>
      <c r="L1688">
        <v>1.111305832122345</v>
      </c>
      <c r="M1688">
        <v>116.4</v>
      </c>
      <c r="N1688">
        <v>3.9</v>
      </c>
    </row>
    <row r="1689" spans="1:14" x14ac:dyDescent="0.35">
      <c r="A1689" s="1" t="s">
        <v>1701</v>
      </c>
      <c r="B1689" t="str">
        <f>HYPERLINK("https://www.suredividend.com/sure-analysis-research-database/","Vir Biotechnology Inc")</f>
        <v>Vir Biotechnology Inc</v>
      </c>
      <c r="C1689" t="s">
        <v>1803</v>
      </c>
      <c r="D1689">
        <v>8.3699999999999992</v>
      </c>
      <c r="E1689">
        <v>0</v>
      </c>
      <c r="F1689" t="s">
        <v>1798</v>
      </c>
      <c r="G1689" t="s">
        <v>1798</v>
      </c>
      <c r="H1689">
        <v>0</v>
      </c>
      <c r="I1689">
        <v>1123.683548</v>
      </c>
      <c r="J1689" t="s">
        <v>1798</v>
      </c>
      <c r="K1689">
        <v>0</v>
      </c>
      <c r="L1689">
        <v>1.181955990312574</v>
      </c>
      <c r="M1689">
        <v>31.55</v>
      </c>
      <c r="N1689">
        <v>8.2100000000000009</v>
      </c>
    </row>
    <row r="1690" spans="1:14" x14ac:dyDescent="0.35">
      <c r="A1690" s="1" t="s">
        <v>1702</v>
      </c>
      <c r="B1690" t="str">
        <f>HYPERLINK("https://www.suredividend.com/sure-analysis-research-database/","Vital Farms Inc")</f>
        <v>Vital Farms Inc</v>
      </c>
      <c r="C1690" t="s">
        <v>1798</v>
      </c>
      <c r="D1690">
        <v>10.76</v>
      </c>
      <c r="E1690">
        <v>0</v>
      </c>
      <c r="F1690" t="s">
        <v>1798</v>
      </c>
      <c r="G1690" t="s">
        <v>1798</v>
      </c>
      <c r="H1690">
        <v>0</v>
      </c>
      <c r="I1690">
        <v>443.71597300000002</v>
      </c>
      <c r="J1690">
        <v>27.021251655806591</v>
      </c>
      <c r="K1690">
        <v>0</v>
      </c>
      <c r="L1690">
        <v>0.299811423362072</v>
      </c>
      <c r="M1690">
        <v>18.18</v>
      </c>
      <c r="N1690">
        <v>10</v>
      </c>
    </row>
    <row r="1691" spans="1:14" x14ac:dyDescent="0.35">
      <c r="A1691" s="1" t="s">
        <v>1703</v>
      </c>
      <c r="B1691" t="str">
        <f>HYPERLINK("https://www.suredividend.com/sure-analysis-research-database/","Velo3D Inc")</f>
        <v>Velo3D Inc</v>
      </c>
      <c r="C1691" t="s">
        <v>1798</v>
      </c>
      <c r="D1691">
        <v>1.39</v>
      </c>
      <c r="E1691">
        <v>0</v>
      </c>
      <c r="F1691" t="s">
        <v>1798</v>
      </c>
      <c r="G1691" t="s">
        <v>1798</v>
      </c>
      <c r="H1691">
        <v>0</v>
      </c>
      <c r="I1691">
        <v>273.498265</v>
      </c>
      <c r="J1691" t="s">
        <v>1798</v>
      </c>
      <c r="K1691">
        <v>0</v>
      </c>
      <c r="L1691">
        <v>2.7100264483825969</v>
      </c>
      <c r="M1691">
        <v>4.13</v>
      </c>
      <c r="N1691">
        <v>1.1100000000000001</v>
      </c>
    </row>
    <row r="1692" spans="1:14" x14ac:dyDescent="0.35">
      <c r="A1692" s="1" t="s">
        <v>1704</v>
      </c>
      <c r="B1692" t="str">
        <f>HYPERLINK("https://www.suredividend.com/sure-analysis-research-database/","Village Super Market, Inc.")</f>
        <v>Village Super Market, Inc.</v>
      </c>
      <c r="C1692" t="s">
        <v>1805</v>
      </c>
      <c r="D1692">
        <v>23.93</v>
      </c>
      <c r="E1692">
        <v>4.054507109358E-2</v>
      </c>
      <c r="F1692">
        <v>0</v>
      </c>
      <c r="G1692">
        <v>0</v>
      </c>
      <c r="H1692">
        <v>0.97024355126938311</v>
      </c>
      <c r="I1692">
        <v>254.88187600000001</v>
      </c>
      <c r="J1692">
        <v>0</v>
      </c>
      <c r="K1692" t="s">
        <v>1798</v>
      </c>
      <c r="L1692">
        <v>0.40682472162425498</v>
      </c>
      <c r="M1692">
        <v>24.4</v>
      </c>
      <c r="N1692">
        <v>19.02</v>
      </c>
    </row>
    <row r="1693" spans="1:14" x14ac:dyDescent="0.35">
      <c r="A1693" s="1" t="s">
        <v>1705</v>
      </c>
      <c r="B1693" t="str">
        <f>HYPERLINK("https://www.suredividend.com/sure-analysis-research-database/","Valley National Bancorp")</f>
        <v>Valley National Bancorp</v>
      </c>
      <c r="C1693" t="s">
        <v>1801</v>
      </c>
      <c r="D1693">
        <v>8.1199999999999992</v>
      </c>
      <c r="E1693">
        <v>5.2399127608320002E-2</v>
      </c>
      <c r="F1693">
        <v>0</v>
      </c>
      <c r="G1693">
        <v>0</v>
      </c>
      <c r="H1693">
        <v>0.42548091617956402</v>
      </c>
      <c r="I1693">
        <v>4121.9940159999996</v>
      </c>
      <c r="J1693">
        <v>6.5781923760522796</v>
      </c>
      <c r="K1693">
        <v>0.34591944404842612</v>
      </c>
      <c r="L1693">
        <v>1.4304198884913051</v>
      </c>
      <c r="M1693">
        <v>12.18</v>
      </c>
      <c r="N1693">
        <v>6.07</v>
      </c>
    </row>
    <row r="1694" spans="1:14" x14ac:dyDescent="0.35">
      <c r="A1694" s="1" t="s">
        <v>1706</v>
      </c>
      <c r="B1694" t="str">
        <f>HYPERLINK("https://www.suredividend.com/sure-analysis-research-database/","Vimeo Inc")</f>
        <v>Vimeo Inc</v>
      </c>
      <c r="C1694" t="s">
        <v>1798</v>
      </c>
      <c r="D1694">
        <v>3.3</v>
      </c>
      <c r="E1694">
        <v>0</v>
      </c>
      <c r="F1694" t="s">
        <v>1798</v>
      </c>
      <c r="G1694" t="s">
        <v>1798</v>
      </c>
      <c r="H1694">
        <v>0</v>
      </c>
      <c r="I1694">
        <v>519.62921300000005</v>
      </c>
      <c r="J1694" t="s">
        <v>1798</v>
      </c>
      <c r="K1694">
        <v>0</v>
      </c>
      <c r="L1694">
        <v>1.65153660072738</v>
      </c>
      <c r="M1694">
        <v>5.19</v>
      </c>
      <c r="N1694">
        <v>3.07</v>
      </c>
    </row>
    <row r="1695" spans="1:14" x14ac:dyDescent="0.35">
      <c r="A1695" s="1" t="s">
        <v>1707</v>
      </c>
      <c r="B1695" t="str">
        <f>HYPERLINK("https://www.suredividend.com/sure-analysis-research-database/","Vanda Pharmaceuticals Inc")</f>
        <v>Vanda Pharmaceuticals Inc</v>
      </c>
      <c r="C1695" t="s">
        <v>1803</v>
      </c>
      <c r="D1695">
        <v>4.25</v>
      </c>
      <c r="E1695">
        <v>0</v>
      </c>
      <c r="F1695" t="s">
        <v>1798</v>
      </c>
      <c r="G1695" t="s">
        <v>1798</v>
      </c>
      <c r="H1695">
        <v>0</v>
      </c>
      <c r="I1695">
        <v>244.41181800000001</v>
      </c>
      <c r="J1695">
        <v>16.40017565255318</v>
      </c>
      <c r="K1695">
        <v>0</v>
      </c>
      <c r="L1695">
        <v>0.55113134493295801</v>
      </c>
      <c r="M1695">
        <v>11.04</v>
      </c>
      <c r="N1695">
        <v>4.1100000000000003</v>
      </c>
    </row>
    <row r="1696" spans="1:14" x14ac:dyDescent="0.35">
      <c r="A1696" s="1" t="s">
        <v>1708</v>
      </c>
      <c r="B1696" t="str">
        <f>HYPERLINK("https://www.suredividend.com/sure-analysis-research-database/","Vishay Precision Group Inc")</f>
        <v>Vishay Precision Group Inc</v>
      </c>
      <c r="C1696" t="s">
        <v>1804</v>
      </c>
      <c r="D1696">
        <v>31.18</v>
      </c>
      <c r="E1696">
        <v>0</v>
      </c>
      <c r="F1696" t="s">
        <v>1798</v>
      </c>
      <c r="G1696" t="s">
        <v>1798</v>
      </c>
      <c r="H1696">
        <v>0</v>
      </c>
      <c r="I1696">
        <v>392.28343699999999</v>
      </c>
      <c r="J1696">
        <v>0</v>
      </c>
      <c r="K1696" t="s">
        <v>1798</v>
      </c>
      <c r="L1696">
        <v>0.77224479459957207</v>
      </c>
      <c r="M1696">
        <v>45.69</v>
      </c>
      <c r="N1696">
        <v>31.03</v>
      </c>
    </row>
    <row r="1697" spans="1:14" x14ac:dyDescent="0.35">
      <c r="A1697" s="1" t="s">
        <v>1709</v>
      </c>
      <c r="B1697" t="str">
        <f>HYPERLINK("https://www.suredividend.com/sure-analysis-research-database/","ViewRay Inc.")</f>
        <v>ViewRay Inc.</v>
      </c>
      <c r="C1697" t="s">
        <v>1803</v>
      </c>
      <c r="D1697">
        <v>2.5000000000000001E-2</v>
      </c>
      <c r="E1697">
        <v>0</v>
      </c>
      <c r="F1697" t="s">
        <v>1798</v>
      </c>
      <c r="G1697" t="s">
        <v>1798</v>
      </c>
      <c r="H1697">
        <v>0</v>
      </c>
      <c r="I1697">
        <v>0</v>
      </c>
      <c r="J1697">
        <v>0</v>
      </c>
      <c r="K1697" t="s">
        <v>1798</v>
      </c>
    </row>
    <row r="1698" spans="1:14" x14ac:dyDescent="0.35">
      <c r="A1698" s="1" t="s">
        <v>1710</v>
      </c>
      <c r="B1698" t="str">
        <f>HYPERLINK("https://www.suredividend.com/sure-analysis-research-database/","Viridian Therapeutics Inc")</f>
        <v>Viridian Therapeutics Inc</v>
      </c>
      <c r="C1698" t="s">
        <v>1798</v>
      </c>
      <c r="D1698">
        <v>12.34</v>
      </c>
      <c r="E1698">
        <v>0</v>
      </c>
      <c r="F1698" t="s">
        <v>1798</v>
      </c>
      <c r="G1698" t="s">
        <v>1798</v>
      </c>
      <c r="H1698">
        <v>0</v>
      </c>
      <c r="I1698">
        <v>538.88973699999997</v>
      </c>
      <c r="J1698">
        <v>0</v>
      </c>
      <c r="K1698" t="s">
        <v>1798</v>
      </c>
      <c r="L1698">
        <v>0.79965235211282903</v>
      </c>
      <c r="M1698">
        <v>39</v>
      </c>
      <c r="N1698">
        <v>11.82</v>
      </c>
    </row>
    <row r="1699" spans="1:14" x14ac:dyDescent="0.35">
      <c r="A1699" s="1" t="s">
        <v>1711</v>
      </c>
      <c r="B1699" t="str">
        <f>HYPERLINK("https://www.suredividend.com/sure-analysis-research-database/","Veris Residential Inc")</f>
        <v>Veris Residential Inc</v>
      </c>
      <c r="C1699" t="s">
        <v>1798</v>
      </c>
      <c r="D1699">
        <v>15.79</v>
      </c>
      <c r="E1699">
        <v>0</v>
      </c>
      <c r="F1699" t="s">
        <v>1798</v>
      </c>
      <c r="G1699" t="s">
        <v>1798</v>
      </c>
      <c r="H1699">
        <v>0</v>
      </c>
      <c r="I1699">
        <v>1453.701818</v>
      </c>
      <c r="J1699" t="s">
        <v>1798</v>
      </c>
      <c r="K1699">
        <v>0</v>
      </c>
      <c r="L1699">
        <v>0.9216222664477981</v>
      </c>
      <c r="M1699">
        <v>18.920000000000002</v>
      </c>
      <c r="N1699">
        <v>12.1</v>
      </c>
    </row>
    <row r="1700" spans="1:14" x14ac:dyDescent="0.35">
      <c r="A1700" s="1" t="s">
        <v>1712</v>
      </c>
      <c r="B1700" t="str">
        <f>HYPERLINK("https://www.suredividend.com/sure-analysis-research-database/","Varex Imaging Corp")</f>
        <v>Varex Imaging Corp</v>
      </c>
      <c r="C1700" t="s">
        <v>1803</v>
      </c>
      <c r="D1700">
        <v>18.63</v>
      </c>
      <c r="E1700">
        <v>0</v>
      </c>
      <c r="F1700" t="s">
        <v>1798</v>
      </c>
      <c r="G1700" t="s">
        <v>1798</v>
      </c>
      <c r="H1700">
        <v>0</v>
      </c>
      <c r="I1700">
        <v>752.65200000000004</v>
      </c>
      <c r="J1700">
        <v>25.60040816326531</v>
      </c>
      <c r="K1700">
        <v>0</v>
      </c>
      <c r="L1700">
        <v>0.62561313278602404</v>
      </c>
      <c r="M1700">
        <v>23.9</v>
      </c>
      <c r="N1700">
        <v>17.11</v>
      </c>
    </row>
    <row r="1701" spans="1:14" x14ac:dyDescent="0.35">
      <c r="A1701" s="1" t="s">
        <v>1713</v>
      </c>
      <c r="B1701" t="str">
        <f>HYPERLINK("https://www.suredividend.com/sure-analysis-research-database/","Varonis Systems Inc")</f>
        <v>Varonis Systems Inc</v>
      </c>
      <c r="C1701" t="s">
        <v>1804</v>
      </c>
      <c r="D1701">
        <v>30.58</v>
      </c>
      <c r="E1701">
        <v>0</v>
      </c>
      <c r="F1701" t="s">
        <v>1798</v>
      </c>
      <c r="G1701" t="s">
        <v>1798</v>
      </c>
      <c r="H1701">
        <v>0</v>
      </c>
      <c r="I1701">
        <v>3353.0529339999998</v>
      </c>
      <c r="J1701" t="s">
        <v>1798</v>
      </c>
      <c r="K1701">
        <v>0</v>
      </c>
      <c r="L1701">
        <v>1.4863398643072729</v>
      </c>
      <c r="M1701">
        <v>32.64</v>
      </c>
      <c r="N1701">
        <v>15.61</v>
      </c>
    </row>
    <row r="1702" spans="1:14" x14ac:dyDescent="0.35">
      <c r="A1702" s="1" t="s">
        <v>1714</v>
      </c>
      <c r="B1702" t="str">
        <f>HYPERLINK("https://www.suredividend.com/sure-analysis-research-database/","Verint Systems, Inc.")</f>
        <v>Verint Systems, Inc.</v>
      </c>
      <c r="C1702" t="s">
        <v>1804</v>
      </c>
      <c r="D1702">
        <v>20.58</v>
      </c>
      <c r="E1702">
        <v>0</v>
      </c>
      <c r="F1702" t="s">
        <v>1798</v>
      </c>
      <c r="G1702" t="s">
        <v>1798</v>
      </c>
      <c r="H1702">
        <v>0</v>
      </c>
      <c r="I1702">
        <v>1322.6998140000001</v>
      </c>
      <c r="J1702" t="s">
        <v>1798</v>
      </c>
      <c r="K1702">
        <v>0</v>
      </c>
      <c r="L1702">
        <v>1.338976580557756</v>
      </c>
      <c r="M1702">
        <v>40.71</v>
      </c>
      <c r="N1702">
        <v>20.36</v>
      </c>
    </row>
    <row r="1703" spans="1:14" x14ac:dyDescent="0.35">
      <c r="A1703" s="1" t="s">
        <v>1715</v>
      </c>
      <c r="B1703" t="str">
        <f>HYPERLINK("https://www.suredividend.com/sure-analysis-research-database/","Verra Mobility Corp")</f>
        <v>Verra Mobility Corp</v>
      </c>
      <c r="C1703" t="s">
        <v>1799</v>
      </c>
      <c r="D1703">
        <v>19.670000000000002</v>
      </c>
      <c r="E1703">
        <v>0</v>
      </c>
      <c r="F1703" t="s">
        <v>1798</v>
      </c>
      <c r="G1703" t="s">
        <v>1798</v>
      </c>
      <c r="H1703">
        <v>0</v>
      </c>
      <c r="I1703">
        <v>3337.9989999999998</v>
      </c>
      <c r="J1703">
        <v>43.645955098785286</v>
      </c>
      <c r="K1703">
        <v>0</v>
      </c>
      <c r="L1703">
        <v>0.8069791148749681</v>
      </c>
      <c r="M1703">
        <v>21.54</v>
      </c>
      <c r="N1703">
        <v>12.76</v>
      </c>
    </row>
    <row r="1704" spans="1:14" x14ac:dyDescent="0.35">
      <c r="A1704" s="1" t="s">
        <v>1716</v>
      </c>
      <c r="B1704" t="str">
        <f>HYPERLINK("https://www.suredividend.com/sure-analysis-research-database/","Virtus Investment Partners Inc")</f>
        <v>Virtus Investment Partners Inc</v>
      </c>
      <c r="C1704" t="s">
        <v>1801</v>
      </c>
      <c r="D1704">
        <v>181.64</v>
      </c>
      <c r="E1704">
        <v>3.5684176684914012E-2</v>
      </c>
      <c r="F1704">
        <v>9.9999999999999867E-2</v>
      </c>
      <c r="G1704">
        <v>0.2457309396155174</v>
      </c>
      <c r="H1704">
        <v>6.4816738530478144</v>
      </c>
      <c r="I1704">
        <v>1317.866497</v>
      </c>
      <c r="J1704">
        <v>9.6929744311971806</v>
      </c>
      <c r="K1704">
        <v>0.35361013928247759</v>
      </c>
      <c r="L1704">
        <v>1.530704080042774</v>
      </c>
      <c r="M1704">
        <v>242.16</v>
      </c>
      <c r="N1704">
        <v>139</v>
      </c>
    </row>
    <row r="1705" spans="1:14" x14ac:dyDescent="0.35">
      <c r="A1705" s="1" t="s">
        <v>1717</v>
      </c>
      <c r="B1705" t="str">
        <f>HYPERLINK("https://www.suredividend.com/sure-analysis-research-database/","Veritiv Corp")</f>
        <v>Veritiv Corp</v>
      </c>
      <c r="C1705" t="s">
        <v>1799</v>
      </c>
      <c r="D1705">
        <v>168.91</v>
      </c>
      <c r="E1705">
        <v>1.4815034579981E-2</v>
      </c>
      <c r="F1705" t="s">
        <v>1798</v>
      </c>
      <c r="G1705" t="s">
        <v>1798</v>
      </c>
      <c r="H1705">
        <v>2.5024074909046372</v>
      </c>
      <c r="I1705">
        <v>2288.9130919999998</v>
      </c>
      <c r="J1705">
        <v>7.4387815785180367</v>
      </c>
      <c r="K1705">
        <v>0.11241722780344281</v>
      </c>
      <c r="L1705">
        <v>1.025507713742883</v>
      </c>
      <c r="M1705">
        <v>169.84</v>
      </c>
      <c r="N1705">
        <v>98.31</v>
      </c>
    </row>
    <row r="1706" spans="1:14" x14ac:dyDescent="0.35">
      <c r="A1706" s="1" t="s">
        <v>1718</v>
      </c>
      <c r="B1706" t="str">
        <f>HYPERLINK("https://www.suredividend.com/sure-analysis-research-database/","VSE Corp.")</f>
        <v>VSE Corp.</v>
      </c>
      <c r="C1706" t="s">
        <v>1799</v>
      </c>
      <c r="D1706">
        <v>53.74</v>
      </c>
      <c r="E1706">
        <v>7.4097199319020004E-3</v>
      </c>
      <c r="F1706">
        <v>0</v>
      </c>
      <c r="G1706">
        <v>4.5639552591273169E-2</v>
      </c>
      <c r="H1706">
        <v>0.39819834914041702</v>
      </c>
      <c r="I1706">
        <v>846.07149000000004</v>
      </c>
      <c r="J1706">
        <v>26.24372621855516</v>
      </c>
      <c r="K1706">
        <v>0.15927933965616681</v>
      </c>
      <c r="L1706">
        <v>1.087663015094845</v>
      </c>
      <c r="M1706">
        <v>58.94</v>
      </c>
      <c r="N1706">
        <v>39.64</v>
      </c>
    </row>
    <row r="1707" spans="1:14" x14ac:dyDescent="0.35">
      <c r="A1707" s="1" t="s">
        <v>1719</v>
      </c>
      <c r="B1707" t="str">
        <f>HYPERLINK("https://www.suredividend.com/sure-analysis-research-database/","Vishay Intertechnology, Inc.")</f>
        <v>Vishay Intertechnology, Inc.</v>
      </c>
      <c r="C1707" t="s">
        <v>1804</v>
      </c>
      <c r="D1707">
        <v>23.67</v>
      </c>
      <c r="E1707">
        <v>1.6800967681703999E-2</v>
      </c>
      <c r="F1707">
        <v>0</v>
      </c>
      <c r="G1707">
        <v>3.3037804113932312E-2</v>
      </c>
      <c r="H1707">
        <v>0.39767890502594899</v>
      </c>
      <c r="I1707">
        <v>3004.8247200000001</v>
      </c>
      <c r="J1707">
        <v>7.1600043847755837</v>
      </c>
      <c r="K1707">
        <v>0.13435098142768551</v>
      </c>
      <c r="L1707">
        <v>1.233353560451236</v>
      </c>
      <c r="M1707">
        <v>29.98</v>
      </c>
      <c r="N1707">
        <v>18.36</v>
      </c>
    </row>
    <row r="1708" spans="1:14" x14ac:dyDescent="0.35">
      <c r="A1708" s="1" t="s">
        <v>1720</v>
      </c>
      <c r="B1708" t="str">
        <f>HYPERLINK("https://www.suredividend.com/sure-analysis-research-database/","Vista Outdoor Inc")</f>
        <v>Vista Outdoor Inc</v>
      </c>
      <c r="C1708" t="s">
        <v>1802</v>
      </c>
      <c r="D1708">
        <v>32.799999999999997</v>
      </c>
      <c r="E1708">
        <v>0</v>
      </c>
      <c r="F1708" t="s">
        <v>1798</v>
      </c>
      <c r="G1708" t="s">
        <v>1798</v>
      </c>
      <c r="H1708">
        <v>0</v>
      </c>
      <c r="I1708">
        <v>1902.55357</v>
      </c>
      <c r="J1708" t="s">
        <v>1798</v>
      </c>
      <c r="K1708">
        <v>0</v>
      </c>
      <c r="L1708">
        <v>1.004553698088946</v>
      </c>
      <c r="M1708">
        <v>33.78</v>
      </c>
      <c r="N1708">
        <v>22.97</v>
      </c>
    </row>
    <row r="1709" spans="1:14" x14ac:dyDescent="0.35">
      <c r="A1709" s="1" t="s">
        <v>1721</v>
      </c>
      <c r="B1709" t="str">
        <f>HYPERLINK("https://www.suredividend.com/sure-analysis-research-database/","VistaGen Therapeutics Inc")</f>
        <v>VistaGen Therapeutics Inc</v>
      </c>
      <c r="C1709" t="s">
        <v>1803</v>
      </c>
      <c r="D1709">
        <v>3.44</v>
      </c>
      <c r="E1709">
        <v>0</v>
      </c>
      <c r="F1709" t="s">
        <v>1798</v>
      </c>
      <c r="G1709" t="s">
        <v>1798</v>
      </c>
      <c r="H1709">
        <v>0</v>
      </c>
      <c r="I1709">
        <v>32.206806999999998</v>
      </c>
      <c r="J1709">
        <v>0</v>
      </c>
      <c r="K1709" t="s">
        <v>1798</v>
      </c>
      <c r="L1709">
        <v>4.0989489505548509</v>
      </c>
      <c r="M1709">
        <v>24.71</v>
      </c>
      <c r="N1709">
        <v>1.62</v>
      </c>
    </row>
    <row r="1710" spans="1:14" x14ac:dyDescent="0.35">
      <c r="A1710" s="1" t="s">
        <v>1722</v>
      </c>
      <c r="B1710" t="str">
        <f>HYPERLINK("https://www.suredividend.com/sure-analysis-research-database/","Vital Energy Inc.")</f>
        <v>Vital Energy Inc.</v>
      </c>
      <c r="C1710" t="s">
        <v>1798</v>
      </c>
      <c r="D1710">
        <v>55.47</v>
      </c>
      <c r="E1710">
        <v>0</v>
      </c>
      <c r="F1710" t="s">
        <v>1798</v>
      </c>
      <c r="G1710" t="s">
        <v>1798</v>
      </c>
      <c r="H1710">
        <v>0</v>
      </c>
      <c r="I1710">
        <v>1031.2368899999999</v>
      </c>
      <c r="J1710">
        <v>1.192873656364734</v>
      </c>
      <c r="K1710">
        <v>0</v>
      </c>
      <c r="L1710">
        <v>1.5590993090972609</v>
      </c>
      <c r="M1710">
        <v>73.27</v>
      </c>
      <c r="N1710">
        <v>39.74</v>
      </c>
    </row>
    <row r="1711" spans="1:14" x14ac:dyDescent="0.35">
      <c r="A1711" s="1" t="s">
        <v>1723</v>
      </c>
      <c r="B1711" t="str">
        <f>HYPERLINK("https://www.suredividend.com/sure-analysis-research-database/","Vertex Energy Inc")</f>
        <v>Vertex Energy Inc</v>
      </c>
      <c r="C1711" t="s">
        <v>1808</v>
      </c>
      <c r="D1711">
        <v>4.6900000000000004</v>
      </c>
      <c r="E1711">
        <v>0</v>
      </c>
      <c r="F1711" t="s">
        <v>1798</v>
      </c>
      <c r="G1711" t="s">
        <v>1798</v>
      </c>
      <c r="H1711">
        <v>0</v>
      </c>
      <c r="I1711">
        <v>437.53381000000002</v>
      </c>
      <c r="J1711">
        <v>0</v>
      </c>
      <c r="K1711" t="s">
        <v>1798</v>
      </c>
      <c r="L1711">
        <v>1.8942100419280219</v>
      </c>
      <c r="M1711">
        <v>11.2</v>
      </c>
      <c r="N1711">
        <v>3.85</v>
      </c>
    </row>
    <row r="1712" spans="1:14" x14ac:dyDescent="0.35">
      <c r="A1712" s="1" t="s">
        <v>1724</v>
      </c>
      <c r="B1712" t="str">
        <f>HYPERLINK("https://www.suredividend.com/sure-analysis-research-database/","Bristow Group Inc.")</f>
        <v>Bristow Group Inc.</v>
      </c>
      <c r="C1712" t="s">
        <v>1798</v>
      </c>
      <c r="D1712">
        <v>27.29</v>
      </c>
      <c r="E1712">
        <v>0</v>
      </c>
      <c r="F1712" t="s">
        <v>1798</v>
      </c>
      <c r="G1712" t="s">
        <v>1798</v>
      </c>
      <c r="H1712">
        <v>0</v>
      </c>
      <c r="I1712">
        <v>768.92574200000001</v>
      </c>
      <c r="J1712">
        <v>47.652809972112053</v>
      </c>
      <c r="K1712">
        <v>0</v>
      </c>
      <c r="L1712">
        <v>1.2989440020562399</v>
      </c>
      <c r="M1712">
        <v>31.89</v>
      </c>
      <c r="N1712">
        <v>20.079999999999998</v>
      </c>
    </row>
    <row r="1713" spans="1:14" x14ac:dyDescent="0.35">
      <c r="A1713" s="1" t="s">
        <v>1725</v>
      </c>
      <c r="B1713" t="str">
        <f>HYPERLINK("https://www.suredividend.com/sure-analysis-research-database/","Ventyx Biosciences Inc")</f>
        <v>Ventyx Biosciences Inc</v>
      </c>
      <c r="C1713" t="s">
        <v>1798</v>
      </c>
      <c r="D1713">
        <v>18.45</v>
      </c>
      <c r="E1713">
        <v>0</v>
      </c>
      <c r="F1713" t="s">
        <v>1798</v>
      </c>
      <c r="G1713" t="s">
        <v>1798</v>
      </c>
      <c r="H1713">
        <v>0</v>
      </c>
      <c r="I1713">
        <v>1083.1994999999999</v>
      </c>
      <c r="J1713">
        <v>0</v>
      </c>
      <c r="K1713" t="s">
        <v>1798</v>
      </c>
      <c r="L1713">
        <v>1.234674366046006</v>
      </c>
      <c r="M1713">
        <v>47.25</v>
      </c>
      <c r="N1713">
        <v>18.3</v>
      </c>
    </row>
    <row r="1714" spans="1:14" x14ac:dyDescent="0.35">
      <c r="A1714" s="1" t="s">
        <v>1726</v>
      </c>
      <c r="B1714" t="str">
        <f>HYPERLINK("https://www.suredividend.com/sure-analysis-research-database/","Vuzix Corporation")</f>
        <v>Vuzix Corporation</v>
      </c>
      <c r="C1714" t="s">
        <v>1804</v>
      </c>
      <c r="D1714">
        <v>3.16</v>
      </c>
      <c r="E1714">
        <v>0</v>
      </c>
      <c r="F1714" t="s">
        <v>1798</v>
      </c>
      <c r="G1714" t="s">
        <v>1798</v>
      </c>
      <c r="H1714">
        <v>0</v>
      </c>
      <c r="I1714">
        <v>200.08872600000001</v>
      </c>
      <c r="J1714">
        <v>0</v>
      </c>
      <c r="K1714" t="s">
        <v>1798</v>
      </c>
      <c r="L1714">
        <v>2.135861132356609</v>
      </c>
      <c r="M1714">
        <v>6.06</v>
      </c>
      <c r="N1714">
        <v>3.15</v>
      </c>
    </row>
    <row r="1715" spans="1:14" x14ac:dyDescent="0.35">
      <c r="A1715" s="1" t="s">
        <v>1727</v>
      </c>
      <c r="B1715" t="str">
        <f>HYPERLINK("https://www.suredividend.com/sure-analysis-research-database/","Viad Corp.")</f>
        <v>Viad Corp.</v>
      </c>
      <c r="C1715" t="s">
        <v>1799</v>
      </c>
      <c r="D1715">
        <v>25.31</v>
      </c>
      <c r="E1715">
        <v>0</v>
      </c>
      <c r="F1715" t="s">
        <v>1798</v>
      </c>
      <c r="G1715" t="s">
        <v>1798</v>
      </c>
      <c r="H1715">
        <v>0</v>
      </c>
      <c r="I1715">
        <v>528.44771800000001</v>
      </c>
      <c r="J1715">
        <v>40.094667510622152</v>
      </c>
      <c r="K1715">
        <v>0</v>
      </c>
      <c r="L1715">
        <v>1.042114271102645</v>
      </c>
      <c r="M1715">
        <v>38.69</v>
      </c>
      <c r="N1715">
        <v>17.100000000000001</v>
      </c>
    </row>
    <row r="1716" spans="1:14" x14ac:dyDescent="0.35">
      <c r="A1716" s="1" t="s">
        <v>1728</v>
      </c>
      <c r="B1716" t="str">
        <f>HYPERLINK("https://www.suredividend.com/sure-analysis-research-database/","V2X Inc")</f>
        <v>V2X Inc</v>
      </c>
      <c r="C1716" t="s">
        <v>1798</v>
      </c>
      <c r="D1716">
        <v>52.81</v>
      </c>
      <c r="E1716">
        <v>0</v>
      </c>
      <c r="F1716" t="s">
        <v>1798</v>
      </c>
      <c r="G1716" t="s">
        <v>1798</v>
      </c>
      <c r="H1716">
        <v>0</v>
      </c>
      <c r="I1716">
        <v>1646.9021359999999</v>
      </c>
      <c r="J1716" t="s">
        <v>1798</v>
      </c>
      <c r="K1716">
        <v>0</v>
      </c>
      <c r="L1716">
        <v>0.36572953391888502</v>
      </c>
      <c r="M1716">
        <v>56.75</v>
      </c>
      <c r="N1716">
        <v>36.450000000000003</v>
      </c>
    </row>
    <row r="1717" spans="1:14" x14ac:dyDescent="0.35">
      <c r="A1717" s="1" t="s">
        <v>1729</v>
      </c>
      <c r="B1717" t="str">
        <f>HYPERLINK("https://www.suredividend.com/sure-analysis-research-database/","Vintage Wine Estates Inc")</f>
        <v>Vintage Wine Estates Inc</v>
      </c>
      <c r="C1717" t="s">
        <v>1798</v>
      </c>
      <c r="D1717">
        <v>0.71</v>
      </c>
      <c r="E1717">
        <v>0</v>
      </c>
      <c r="F1717" t="s">
        <v>1798</v>
      </c>
      <c r="G1717" t="s">
        <v>1798</v>
      </c>
      <c r="H1717">
        <v>0</v>
      </c>
      <c r="I1717">
        <v>42.130806</v>
      </c>
      <c r="J1717">
        <v>0</v>
      </c>
      <c r="K1717" t="s">
        <v>1798</v>
      </c>
      <c r="L1717">
        <v>1.8769065960431439</v>
      </c>
      <c r="M1717">
        <v>3.99</v>
      </c>
      <c r="N1717">
        <v>0.4718</v>
      </c>
    </row>
    <row r="1718" spans="1:14" x14ac:dyDescent="0.35">
      <c r="A1718" s="1" t="s">
        <v>1730</v>
      </c>
      <c r="B1718" t="str">
        <f>HYPERLINK("https://www.suredividend.com/sure-analysis-research-database/","Vaxart Inc")</f>
        <v>Vaxart Inc</v>
      </c>
      <c r="C1718" t="s">
        <v>1803</v>
      </c>
      <c r="D1718">
        <v>0.66500000000000004</v>
      </c>
      <c r="E1718">
        <v>0</v>
      </c>
      <c r="F1718" t="s">
        <v>1798</v>
      </c>
      <c r="G1718" t="s">
        <v>1798</v>
      </c>
      <c r="H1718">
        <v>0</v>
      </c>
      <c r="I1718">
        <v>101.058927</v>
      </c>
      <c r="J1718" t="s">
        <v>1798</v>
      </c>
      <c r="K1718">
        <v>0</v>
      </c>
      <c r="L1718">
        <v>2.4312926477752761</v>
      </c>
      <c r="M1718">
        <v>1.85</v>
      </c>
      <c r="N1718">
        <v>0.56000000000000005</v>
      </c>
    </row>
    <row r="1719" spans="1:14" x14ac:dyDescent="0.35">
      <c r="A1719" s="1" t="s">
        <v>1731</v>
      </c>
      <c r="B1719" t="str">
        <f>HYPERLINK("https://www.suredividend.com/sure-analysis-research-database/","VIZIO Holding Corp")</f>
        <v>VIZIO Holding Corp</v>
      </c>
      <c r="C1719" t="s">
        <v>1798</v>
      </c>
      <c r="D1719">
        <v>5.01</v>
      </c>
      <c r="E1719">
        <v>0</v>
      </c>
      <c r="F1719" t="s">
        <v>1798</v>
      </c>
      <c r="G1719" t="s">
        <v>1798</v>
      </c>
      <c r="H1719">
        <v>0</v>
      </c>
      <c r="I1719">
        <v>968.96767699999998</v>
      </c>
      <c r="J1719">
        <v>63.364112115789467</v>
      </c>
      <c r="K1719">
        <v>0</v>
      </c>
      <c r="L1719">
        <v>1.7766470753529171</v>
      </c>
      <c r="M1719">
        <v>11.64</v>
      </c>
      <c r="N1719">
        <v>4.9000000000000004</v>
      </c>
    </row>
    <row r="1720" spans="1:14" x14ac:dyDescent="0.35">
      <c r="A1720" s="1" t="s">
        <v>1732</v>
      </c>
      <c r="B1720" t="str">
        <f>HYPERLINK("https://www.suredividend.com/sure-analysis-WABC/","Westamerica Bancorporation")</f>
        <v>Westamerica Bancorporation</v>
      </c>
      <c r="C1720" t="s">
        <v>1801</v>
      </c>
      <c r="D1720">
        <v>43.36</v>
      </c>
      <c r="E1720">
        <v>4.0590405904059039E-2</v>
      </c>
      <c r="F1720">
        <v>4.7619047619047672E-2</v>
      </c>
      <c r="G1720">
        <v>1.9244876491456561E-2</v>
      </c>
      <c r="H1720">
        <v>1.6560785627476891</v>
      </c>
      <c r="I1720">
        <v>1155.481822</v>
      </c>
      <c r="J1720">
        <v>7.4642081985491231</v>
      </c>
      <c r="K1720">
        <v>0.28701534882975549</v>
      </c>
      <c r="L1720">
        <v>0.93893603577718809</v>
      </c>
      <c r="M1720">
        <v>60.87</v>
      </c>
      <c r="N1720">
        <v>34.11</v>
      </c>
    </row>
    <row r="1721" spans="1:14" x14ac:dyDescent="0.35">
      <c r="A1721" s="1" t="s">
        <v>1733</v>
      </c>
      <c r="B1721" t="str">
        <f>HYPERLINK("https://www.suredividend.com/sure-analysis-WAFD/","WaFd Inc")</f>
        <v>WaFd Inc</v>
      </c>
      <c r="C1721" t="s">
        <v>1801</v>
      </c>
      <c r="D1721">
        <v>25.2</v>
      </c>
      <c r="E1721">
        <v>3.968253968253968E-2</v>
      </c>
      <c r="F1721">
        <v>4.1666666666666741E-2</v>
      </c>
      <c r="G1721">
        <v>6.790716584560208E-2</v>
      </c>
      <c r="H1721">
        <v>0.97033347528051406</v>
      </c>
      <c r="I1721">
        <v>1631.1841059999999</v>
      </c>
      <c r="J1721">
        <v>6.1325477299727806</v>
      </c>
      <c r="K1721">
        <v>0.23841117328759559</v>
      </c>
      <c r="L1721">
        <v>1.1802490866719599</v>
      </c>
      <c r="M1721">
        <v>37.57</v>
      </c>
      <c r="N1721">
        <v>23.25</v>
      </c>
    </row>
    <row r="1722" spans="1:14" x14ac:dyDescent="0.35">
      <c r="A1722" s="1" t="s">
        <v>1734</v>
      </c>
      <c r="B1722" t="str">
        <f>HYPERLINK("https://www.suredividend.com/sure-analysis-WASH/","Washington Trust Bancorp, Inc.")</f>
        <v>Washington Trust Bancorp, Inc.</v>
      </c>
      <c r="C1722" t="s">
        <v>1801</v>
      </c>
      <c r="D1722">
        <v>25.7</v>
      </c>
      <c r="E1722">
        <v>8.7159533073929971E-2</v>
      </c>
      <c r="F1722">
        <v>3.7037037037036979E-2</v>
      </c>
      <c r="G1722">
        <v>3.5661981385701091E-2</v>
      </c>
      <c r="H1722">
        <v>2.62855298564478</v>
      </c>
      <c r="I1722">
        <v>437.39444200000003</v>
      </c>
      <c r="J1722">
        <v>7.3921656633429098</v>
      </c>
      <c r="K1722">
        <v>0.76411424001301742</v>
      </c>
      <c r="L1722">
        <v>0.93211171127197312</v>
      </c>
      <c r="M1722">
        <v>45.63</v>
      </c>
      <c r="N1722">
        <v>20.51</v>
      </c>
    </row>
    <row r="1723" spans="1:14" x14ac:dyDescent="0.35">
      <c r="A1723" s="1" t="s">
        <v>1735</v>
      </c>
      <c r="B1723" t="str">
        <f>HYPERLINK("https://www.suredividend.com/sure-analysis-research-database/","Walker &amp; Dunlop Inc")</f>
        <v>Walker &amp; Dunlop Inc</v>
      </c>
      <c r="C1723" t="s">
        <v>1801</v>
      </c>
      <c r="D1723">
        <v>68.53</v>
      </c>
      <c r="E1723">
        <v>3.5912002258508012E-2</v>
      </c>
      <c r="F1723">
        <v>4.9999999999999822E-2</v>
      </c>
      <c r="G1723">
        <v>0.20304011267322691</v>
      </c>
      <c r="H1723">
        <v>2.46104951477558</v>
      </c>
      <c r="I1723">
        <v>2285.1110570000001</v>
      </c>
      <c r="J1723">
        <v>16.458474495718129</v>
      </c>
      <c r="K1723">
        <v>0.58043620631499526</v>
      </c>
      <c r="L1723">
        <v>1.618880655288669</v>
      </c>
      <c r="M1723">
        <v>98.65</v>
      </c>
      <c r="N1723">
        <v>60.06</v>
      </c>
    </row>
    <row r="1724" spans="1:14" x14ac:dyDescent="0.35">
      <c r="A1724" s="1" t="s">
        <v>1736</v>
      </c>
      <c r="B1724" t="str">
        <f>HYPERLINK("https://www.suredividend.com/sure-analysis-WDFC/","WD-40 Co.")</f>
        <v>WD-40 Co.</v>
      </c>
      <c r="C1724" t="s">
        <v>1809</v>
      </c>
      <c r="D1724">
        <v>201.1</v>
      </c>
      <c r="E1724">
        <v>1.6509199403281952E-2</v>
      </c>
      <c r="F1724">
        <v>6.4102564102564097E-2</v>
      </c>
      <c r="G1724">
        <v>8.9775064658225157E-2</v>
      </c>
      <c r="H1724">
        <v>3.240577874256044</v>
      </c>
      <c r="I1724">
        <v>2727.488331</v>
      </c>
      <c r="J1724">
        <v>42.657663250911028</v>
      </c>
      <c r="K1724">
        <v>0.68948465409703064</v>
      </c>
      <c r="L1724">
        <v>0.85148549516103811</v>
      </c>
      <c r="M1724">
        <v>232.94</v>
      </c>
      <c r="N1724">
        <v>142.69999999999999</v>
      </c>
    </row>
    <row r="1725" spans="1:14" x14ac:dyDescent="0.35">
      <c r="A1725" s="1" t="s">
        <v>1737</v>
      </c>
      <c r="B1725" t="str">
        <f>HYPERLINK("https://www.suredividend.com/sure-analysis-research-database/","Weave Communications Inc")</f>
        <v>Weave Communications Inc</v>
      </c>
      <c r="C1725" t="s">
        <v>1798</v>
      </c>
      <c r="D1725">
        <v>6.92</v>
      </c>
      <c r="E1725">
        <v>0</v>
      </c>
      <c r="F1725" t="s">
        <v>1798</v>
      </c>
      <c r="G1725" t="s">
        <v>1798</v>
      </c>
      <c r="H1725">
        <v>0</v>
      </c>
      <c r="I1725">
        <v>467.43465099999997</v>
      </c>
      <c r="J1725" t="s">
        <v>1798</v>
      </c>
      <c r="K1725">
        <v>0</v>
      </c>
      <c r="L1725">
        <v>1.105981541861194</v>
      </c>
      <c r="M1725">
        <v>12.45</v>
      </c>
      <c r="N1725">
        <v>3.74</v>
      </c>
    </row>
    <row r="1726" spans="1:14" x14ac:dyDescent="0.35">
      <c r="A1726" s="1" t="s">
        <v>1738</v>
      </c>
      <c r="B1726" t="str">
        <f>HYPERLINK("https://www.suredividend.com/sure-analysis-research-database/","Werner Enterprises, Inc.")</f>
        <v>Werner Enterprises, Inc.</v>
      </c>
      <c r="C1726" t="s">
        <v>1799</v>
      </c>
      <c r="D1726">
        <v>38.659999999999997</v>
      </c>
      <c r="E1726">
        <v>1.3842423435075E-2</v>
      </c>
      <c r="F1726">
        <v>7.6923076923077094E-2</v>
      </c>
      <c r="G1726">
        <v>9.2388464140373161E-2</v>
      </c>
      <c r="H1726">
        <v>0.53514809000000607</v>
      </c>
      <c r="I1726">
        <v>2450.669965</v>
      </c>
      <c r="J1726">
        <v>13.590521203735539</v>
      </c>
      <c r="K1726">
        <v>0.18909826501766999</v>
      </c>
      <c r="L1726">
        <v>0.90086878887581812</v>
      </c>
      <c r="M1726">
        <v>49.5</v>
      </c>
      <c r="N1726">
        <v>35.15</v>
      </c>
    </row>
    <row r="1727" spans="1:14" x14ac:dyDescent="0.35">
      <c r="A1727" s="1" t="s">
        <v>1739</v>
      </c>
      <c r="B1727" t="str">
        <f>HYPERLINK("https://www.suredividend.com/sure-analysis-WEYS/","Weyco Group, Inc")</f>
        <v>Weyco Group, Inc</v>
      </c>
      <c r="C1727" t="s">
        <v>1802</v>
      </c>
      <c r="D1727">
        <v>26.62</v>
      </c>
      <c r="E1727">
        <v>3.7565740045078892E-2</v>
      </c>
      <c r="F1727">
        <v>4.1666666666666741E-2</v>
      </c>
      <c r="G1727">
        <v>1.6816147821954619E-2</v>
      </c>
      <c r="H1727">
        <v>0.95467833480939412</v>
      </c>
      <c r="I1727">
        <v>253.44540000000001</v>
      </c>
      <c r="J1727">
        <v>7.6107444124801056</v>
      </c>
      <c r="K1727">
        <v>0.27433285483028569</v>
      </c>
      <c r="L1727">
        <v>0.66034893319098809</v>
      </c>
      <c r="M1727">
        <v>28.45</v>
      </c>
      <c r="N1727">
        <v>19.329999999999998</v>
      </c>
    </row>
    <row r="1728" spans="1:14" x14ac:dyDescent="0.35">
      <c r="A1728" s="1" t="s">
        <v>1740</v>
      </c>
      <c r="B1728" t="str">
        <f>HYPERLINK("https://www.suredividend.com/sure-analysis-research-database/","Weatherford International plc")</f>
        <v>Weatherford International plc</v>
      </c>
      <c r="C1728" t="s">
        <v>1798</v>
      </c>
      <c r="D1728">
        <v>95.58</v>
      </c>
      <c r="E1728">
        <v>0</v>
      </c>
      <c r="F1728" t="s">
        <v>1798</v>
      </c>
      <c r="G1728" t="s">
        <v>1798</v>
      </c>
      <c r="H1728">
        <v>0</v>
      </c>
      <c r="I1728">
        <v>6888.8959070000001</v>
      </c>
      <c r="J1728">
        <v>0</v>
      </c>
      <c r="K1728" t="s">
        <v>1798</v>
      </c>
      <c r="L1728">
        <v>0.88436935724216903</v>
      </c>
      <c r="M1728">
        <v>98.97</v>
      </c>
      <c r="N1728">
        <v>32</v>
      </c>
    </row>
    <row r="1729" spans="1:14" x14ac:dyDescent="0.35">
      <c r="A1729" s="1" t="s">
        <v>1741</v>
      </c>
      <c r="B1729" t="str">
        <f>HYPERLINK("https://www.suredividend.com/sure-analysis-WGO/","Winnebago Industries, Inc.")</f>
        <v>Winnebago Industries, Inc.</v>
      </c>
      <c r="C1729" t="s">
        <v>1802</v>
      </c>
      <c r="D1729">
        <v>56.79</v>
      </c>
      <c r="E1729">
        <v>2.183483007571756E-2</v>
      </c>
      <c r="F1729">
        <v>0.14814814814814811</v>
      </c>
      <c r="G1729">
        <v>0.23025121250227859</v>
      </c>
      <c r="H1729">
        <v>1.112373041191602</v>
      </c>
      <c r="I1729">
        <v>1715.6600880000001</v>
      </c>
      <c r="J1729">
        <v>6.7357654718914519</v>
      </c>
      <c r="K1729">
        <v>0.1497137336731631</v>
      </c>
      <c r="L1729">
        <v>1.2637540179136391</v>
      </c>
      <c r="M1729">
        <v>69.55</v>
      </c>
      <c r="N1729">
        <v>50.79</v>
      </c>
    </row>
    <row r="1730" spans="1:14" x14ac:dyDescent="0.35">
      <c r="A1730" s="1" t="s">
        <v>1742</v>
      </c>
      <c r="B1730" t="str">
        <f>HYPERLINK("https://www.suredividend.com/sure-analysis-research-database/","GeneDx Holdings Corp")</f>
        <v>GeneDx Holdings Corp</v>
      </c>
      <c r="C1730" t="s">
        <v>1798</v>
      </c>
      <c r="D1730">
        <v>3.23</v>
      </c>
      <c r="E1730">
        <v>0</v>
      </c>
      <c r="F1730" t="s">
        <v>1798</v>
      </c>
      <c r="G1730" t="s">
        <v>1798</v>
      </c>
      <c r="H1730">
        <v>0</v>
      </c>
      <c r="I1730">
        <v>83.247849000000002</v>
      </c>
      <c r="J1730" t="s">
        <v>1798</v>
      </c>
      <c r="K1730">
        <v>0</v>
      </c>
      <c r="L1730">
        <v>11.34919765597234</v>
      </c>
      <c r="M1730">
        <v>17.91</v>
      </c>
      <c r="N1730">
        <v>0.22</v>
      </c>
    </row>
    <row r="1731" spans="1:14" x14ac:dyDescent="0.35">
      <c r="A1731" s="1" t="s">
        <v>1743</v>
      </c>
      <c r="B1731" t="str">
        <f>HYPERLINK("https://www.suredividend.com/sure-analysis-research-database/","Cactus Inc")</f>
        <v>Cactus Inc</v>
      </c>
      <c r="C1731" t="s">
        <v>1808</v>
      </c>
      <c r="D1731">
        <v>50.55</v>
      </c>
      <c r="E1731">
        <v>8.86772768579E-3</v>
      </c>
      <c r="F1731" t="s">
        <v>1798</v>
      </c>
      <c r="G1731" t="s">
        <v>1798</v>
      </c>
      <c r="H1731">
        <v>0.44826363451671802</v>
      </c>
      <c r="I1731">
        <v>3266.0101239999999</v>
      </c>
      <c r="J1731">
        <v>25.111951005705151</v>
      </c>
      <c r="K1731">
        <v>0.25615064829526751</v>
      </c>
      <c r="L1731">
        <v>1.1855130949631689</v>
      </c>
      <c r="M1731">
        <v>57.72</v>
      </c>
      <c r="N1731">
        <v>31.29</v>
      </c>
    </row>
    <row r="1732" spans="1:14" x14ac:dyDescent="0.35">
      <c r="A1732" s="1" t="s">
        <v>1744</v>
      </c>
      <c r="B1732" t="str">
        <f>HYPERLINK("https://www.suredividend.com/sure-analysis-research-database/","Winmark Corporation")</f>
        <v>Winmark Corporation</v>
      </c>
      <c r="C1732" t="s">
        <v>1802</v>
      </c>
      <c r="D1732">
        <v>393.7</v>
      </c>
      <c r="E1732">
        <v>7.574052357686001E-3</v>
      </c>
      <c r="F1732">
        <v>0.14285714285714279</v>
      </c>
      <c r="G1732">
        <v>0.2619146889603865</v>
      </c>
      <c r="H1732">
        <v>2.9819044132211028</v>
      </c>
      <c r="I1732">
        <v>1372.304736</v>
      </c>
      <c r="J1732">
        <v>34.430967332970361</v>
      </c>
      <c r="K1732">
        <v>0.2679159400917433</v>
      </c>
      <c r="L1732">
        <v>0.68575691129884708</v>
      </c>
      <c r="M1732">
        <v>418.58</v>
      </c>
      <c r="N1732">
        <v>221.71</v>
      </c>
    </row>
    <row r="1733" spans="1:14" x14ac:dyDescent="0.35">
      <c r="A1733" s="1" t="s">
        <v>1745</v>
      </c>
      <c r="B1733" t="str">
        <f>HYPERLINK("https://www.suredividend.com/sure-analysis-research-database/","Wingstop Inc")</f>
        <v>Wingstop Inc</v>
      </c>
      <c r="C1733" t="s">
        <v>1802</v>
      </c>
      <c r="D1733">
        <v>175.35</v>
      </c>
      <c r="E1733">
        <v>4.4963463774880001E-3</v>
      </c>
      <c r="F1733">
        <v>0.15789473684210531</v>
      </c>
      <c r="G1733">
        <v>0.1486983549970351</v>
      </c>
      <c r="H1733">
        <v>0.78843433729254608</v>
      </c>
      <c r="I1733">
        <v>5260.5</v>
      </c>
      <c r="J1733">
        <v>83.747253796924255</v>
      </c>
      <c r="K1733">
        <v>0.37724130970935221</v>
      </c>
      <c r="L1733">
        <v>1.0763956337346119</v>
      </c>
      <c r="M1733">
        <v>223.26</v>
      </c>
      <c r="N1733">
        <v>113.38</v>
      </c>
    </row>
    <row r="1734" spans="1:14" x14ac:dyDescent="0.35">
      <c r="A1734" s="1" t="s">
        <v>1746</v>
      </c>
      <c r="B1734" t="str">
        <f>HYPERLINK("https://www.suredividend.com/sure-analysis-research-database/","Encore Wire Corp.")</f>
        <v>Encore Wire Corp.</v>
      </c>
      <c r="C1734" t="s">
        <v>1799</v>
      </c>
      <c r="D1734">
        <v>178.21</v>
      </c>
      <c r="E1734">
        <v>4.4876896687400002E-4</v>
      </c>
      <c r="F1734">
        <v>0</v>
      </c>
      <c r="G1734">
        <v>0</v>
      </c>
      <c r="H1734">
        <v>7.9975117586701006E-2</v>
      </c>
      <c r="I1734">
        <v>2994.9051250000002</v>
      </c>
      <c r="J1734">
        <v>5.2542563902729142</v>
      </c>
      <c r="K1734">
        <v>2.58234154299971E-3</v>
      </c>
      <c r="L1734">
        <v>1.17362315851148</v>
      </c>
      <c r="M1734">
        <v>206.62</v>
      </c>
      <c r="N1734">
        <v>123.08</v>
      </c>
    </row>
    <row r="1735" spans="1:14" x14ac:dyDescent="0.35">
      <c r="A1735" s="1" t="s">
        <v>1747</v>
      </c>
      <c r="B1735" t="str">
        <f>HYPERLINK("https://www.suredividend.com/sure-analysis-research-database/","ContextLogic Inc")</f>
        <v>ContextLogic Inc</v>
      </c>
      <c r="C1735" t="s">
        <v>1801</v>
      </c>
      <c r="D1735">
        <v>4.26</v>
      </c>
      <c r="E1735">
        <v>0</v>
      </c>
      <c r="F1735" t="s">
        <v>1798</v>
      </c>
      <c r="G1735" t="s">
        <v>1798</v>
      </c>
      <c r="H1735">
        <v>0</v>
      </c>
      <c r="I1735">
        <v>101.31131999999999</v>
      </c>
      <c r="J1735" t="s">
        <v>1798</v>
      </c>
      <c r="K1735">
        <v>0</v>
      </c>
      <c r="L1735">
        <v>3.2723735529905609</v>
      </c>
      <c r="M1735">
        <v>32.1</v>
      </c>
      <c r="N1735">
        <v>4.08</v>
      </c>
    </row>
    <row r="1736" spans="1:14" x14ac:dyDescent="0.35">
      <c r="A1736" s="1" t="s">
        <v>1748</v>
      </c>
      <c r="B1736" t="str">
        <f>HYPERLINK("https://www.suredividend.com/sure-analysis-research-database/","Workiva Inc")</f>
        <v>Workiva Inc</v>
      </c>
      <c r="C1736" t="s">
        <v>1804</v>
      </c>
      <c r="D1736">
        <v>97.16</v>
      </c>
      <c r="E1736">
        <v>0</v>
      </c>
      <c r="F1736" t="s">
        <v>1798</v>
      </c>
      <c r="G1736" t="s">
        <v>1798</v>
      </c>
      <c r="H1736">
        <v>0</v>
      </c>
      <c r="I1736">
        <v>4840.4167600000001</v>
      </c>
      <c r="J1736" t="s">
        <v>1798</v>
      </c>
      <c r="K1736">
        <v>0</v>
      </c>
      <c r="L1736">
        <v>1.628563404507835</v>
      </c>
      <c r="M1736">
        <v>116</v>
      </c>
      <c r="N1736">
        <v>62.58</v>
      </c>
    </row>
    <row r="1737" spans="1:14" x14ac:dyDescent="0.35">
      <c r="A1737" s="1" t="s">
        <v>1749</v>
      </c>
      <c r="B1737" t="str">
        <f>HYPERLINK("https://www.suredividend.com/sure-analysis-research-database/","Workhorse Group Inc")</f>
        <v>Workhorse Group Inc</v>
      </c>
      <c r="C1737" t="s">
        <v>1802</v>
      </c>
      <c r="D1737">
        <v>0.43819999999999998</v>
      </c>
      <c r="E1737">
        <v>0</v>
      </c>
      <c r="F1737" t="s">
        <v>1798</v>
      </c>
      <c r="G1737" t="s">
        <v>1798</v>
      </c>
      <c r="H1737">
        <v>0</v>
      </c>
      <c r="I1737">
        <v>92.369540999999998</v>
      </c>
      <c r="J1737">
        <v>0</v>
      </c>
      <c r="K1737" t="s">
        <v>1798</v>
      </c>
      <c r="L1737">
        <v>2.4764944631368531</v>
      </c>
      <c r="M1737">
        <v>2.98</v>
      </c>
      <c r="N1737">
        <v>0.375</v>
      </c>
    </row>
    <row r="1738" spans="1:14" x14ac:dyDescent="0.35">
      <c r="A1738" s="1" t="s">
        <v>1750</v>
      </c>
      <c r="B1738" t="str">
        <f>HYPERLINK("https://www.suredividend.com/sure-analysis-research-database/","Willdan Group Inc")</f>
        <v>Willdan Group Inc</v>
      </c>
      <c r="C1738" t="s">
        <v>1799</v>
      </c>
      <c r="D1738">
        <v>19.59</v>
      </c>
      <c r="E1738">
        <v>0</v>
      </c>
      <c r="F1738" t="s">
        <v>1798</v>
      </c>
      <c r="G1738" t="s">
        <v>1798</v>
      </c>
      <c r="H1738">
        <v>0</v>
      </c>
      <c r="I1738">
        <v>266.32569699999999</v>
      </c>
      <c r="J1738">
        <v>0</v>
      </c>
      <c r="K1738" t="s">
        <v>1798</v>
      </c>
      <c r="L1738">
        <v>1.168624927824685</v>
      </c>
      <c r="M1738">
        <v>25.38</v>
      </c>
      <c r="N1738">
        <v>11.61</v>
      </c>
    </row>
    <row r="1739" spans="1:14" x14ac:dyDescent="0.35">
      <c r="A1739" s="1" t="s">
        <v>1751</v>
      </c>
      <c r="B1739" t="str">
        <f>HYPERLINK("https://www.suredividend.com/sure-analysis-WLY/","John Wiley &amp; Sons Inc.")</f>
        <v>John Wiley &amp; Sons Inc.</v>
      </c>
      <c r="C1739" t="s">
        <v>1798</v>
      </c>
      <c r="D1739">
        <v>29.35</v>
      </c>
      <c r="E1739">
        <v>4.7700170357751273E-2</v>
      </c>
      <c r="F1739" t="s">
        <v>1798</v>
      </c>
      <c r="G1739" t="s">
        <v>1798</v>
      </c>
      <c r="H1739">
        <v>1.374364185152156</v>
      </c>
      <c r="I1739">
        <v>1632.734774</v>
      </c>
      <c r="J1739" t="s">
        <v>1798</v>
      </c>
      <c r="K1739" t="s">
        <v>1798</v>
      </c>
      <c r="L1739">
        <v>1.1291376799519599</v>
      </c>
      <c r="M1739">
        <v>48.14</v>
      </c>
      <c r="N1739">
        <v>29.05</v>
      </c>
    </row>
    <row r="1740" spans="1:14" x14ac:dyDescent="0.35">
      <c r="A1740" s="1" t="s">
        <v>1752</v>
      </c>
      <c r="B1740" t="str">
        <f>HYPERLINK("https://www.suredividend.com/sure-analysis-research-database/","Weis Markets, Inc.")</f>
        <v>Weis Markets, Inc.</v>
      </c>
      <c r="C1740" t="s">
        <v>1805</v>
      </c>
      <c r="D1740">
        <v>62.53</v>
      </c>
      <c r="E1740">
        <v>2.1597058352123999E-2</v>
      </c>
      <c r="F1740">
        <v>6.25E-2</v>
      </c>
      <c r="G1740">
        <v>1.8646376444729999E-2</v>
      </c>
      <c r="H1740">
        <v>1.3504640587583461</v>
      </c>
      <c r="I1740">
        <v>1681.9596409999999</v>
      </c>
      <c r="J1740">
        <v>14.299945934279879</v>
      </c>
      <c r="K1740">
        <v>0.30903067706140641</v>
      </c>
      <c r="L1740">
        <v>0.46993470037251811</v>
      </c>
      <c r="M1740">
        <v>93.91</v>
      </c>
      <c r="N1740">
        <v>58.45</v>
      </c>
    </row>
    <row r="1741" spans="1:14" x14ac:dyDescent="0.35">
      <c r="A1741" s="1" t="s">
        <v>1753</v>
      </c>
      <c r="B1741" t="str">
        <f>HYPERLINK("https://www.suredividend.com/sure-analysis-research-database/","Wabash National Corp.")</f>
        <v>Wabash National Corp.</v>
      </c>
      <c r="C1741" t="s">
        <v>1799</v>
      </c>
      <c r="D1741">
        <v>21.63</v>
      </c>
      <c r="E1741">
        <v>1.4716582191755E-2</v>
      </c>
      <c r="F1741">
        <v>0</v>
      </c>
      <c r="G1741">
        <v>0</v>
      </c>
      <c r="H1741">
        <v>0.31831967280766899</v>
      </c>
      <c r="I1741">
        <v>1016.596827</v>
      </c>
      <c r="J1741">
        <v>5.0082115383819579</v>
      </c>
      <c r="K1741">
        <v>7.7450042045661555E-2</v>
      </c>
      <c r="L1741">
        <v>1.0360652264507719</v>
      </c>
      <c r="M1741">
        <v>29.79</v>
      </c>
      <c r="N1741">
        <v>15.14</v>
      </c>
    </row>
    <row r="1742" spans="1:14" x14ac:dyDescent="0.35">
      <c r="A1742" s="1" t="s">
        <v>1754</v>
      </c>
      <c r="B1742" t="str">
        <f>HYPERLINK("https://www.suredividend.com/sure-analysis-WOR/","Worthington Industries, Inc.")</f>
        <v>Worthington Industries, Inc.</v>
      </c>
      <c r="C1742" t="s">
        <v>1809</v>
      </c>
      <c r="D1742">
        <v>61.55</v>
      </c>
      <c r="E1742">
        <v>2.0796100731112922E-2</v>
      </c>
      <c r="F1742">
        <v>3.2258064516128997E-2</v>
      </c>
      <c r="G1742">
        <v>6.8278353688437932E-2</v>
      </c>
      <c r="H1742">
        <v>1.2409476615409589</v>
      </c>
      <c r="I1742">
        <v>3075.3728940000001</v>
      </c>
      <c r="J1742">
        <v>10.657950364405719</v>
      </c>
      <c r="K1742">
        <v>0.21322124768744999</v>
      </c>
      <c r="L1742">
        <v>1.2722347934945459</v>
      </c>
      <c r="M1742">
        <v>77.06</v>
      </c>
      <c r="N1742">
        <v>41.63</v>
      </c>
    </row>
    <row r="1743" spans="1:14" x14ac:dyDescent="0.35">
      <c r="A1743" s="1" t="s">
        <v>1755</v>
      </c>
      <c r="B1743" t="str">
        <f>HYPERLINK("https://www.suredividend.com/sure-analysis-research-database/","WideOpenWest Inc")</f>
        <v>WideOpenWest Inc</v>
      </c>
      <c r="C1743" t="s">
        <v>1807</v>
      </c>
      <c r="D1743">
        <v>7.1</v>
      </c>
      <c r="E1743">
        <v>0</v>
      </c>
      <c r="F1743" t="s">
        <v>1798</v>
      </c>
      <c r="G1743" t="s">
        <v>1798</v>
      </c>
      <c r="H1743">
        <v>0</v>
      </c>
      <c r="I1743">
        <v>594.22440400000005</v>
      </c>
      <c r="J1743" t="s">
        <v>1798</v>
      </c>
      <c r="K1743">
        <v>0</v>
      </c>
      <c r="L1743">
        <v>0.9887279665861981</v>
      </c>
      <c r="M1743">
        <v>15.32</v>
      </c>
      <c r="N1743">
        <v>6.99</v>
      </c>
    </row>
    <row r="1744" spans="1:14" x14ac:dyDescent="0.35">
      <c r="A1744" s="1" t="s">
        <v>1756</v>
      </c>
      <c r="B1744" t="str">
        <f>HYPERLINK("https://www.suredividend.com/sure-analysis-research-database/","Warby Parker Inc")</f>
        <v>Warby Parker Inc</v>
      </c>
      <c r="C1744" t="s">
        <v>1798</v>
      </c>
      <c r="D1744">
        <v>13.8</v>
      </c>
      <c r="E1744">
        <v>0</v>
      </c>
      <c r="F1744" t="s">
        <v>1798</v>
      </c>
      <c r="G1744" t="s">
        <v>1798</v>
      </c>
      <c r="H1744">
        <v>0</v>
      </c>
      <c r="I1744">
        <v>1344.0270290000001</v>
      </c>
      <c r="J1744" t="s">
        <v>1798</v>
      </c>
      <c r="K1744">
        <v>0</v>
      </c>
      <c r="L1744">
        <v>1.932090581772218</v>
      </c>
      <c r="M1744">
        <v>18.989999999999998</v>
      </c>
      <c r="N1744">
        <v>9.5</v>
      </c>
    </row>
    <row r="1745" spans="1:14" x14ac:dyDescent="0.35">
      <c r="A1745" s="1" t="s">
        <v>1757</v>
      </c>
      <c r="B1745" t="str">
        <f>HYPERLINK("https://www.suredividend.com/sure-analysis-research-database/","World Acceptance Corp.")</f>
        <v>World Acceptance Corp.</v>
      </c>
      <c r="C1745" t="s">
        <v>1801</v>
      </c>
      <c r="D1745">
        <v>123.79</v>
      </c>
      <c r="E1745">
        <v>0</v>
      </c>
      <c r="F1745" t="s">
        <v>1798</v>
      </c>
      <c r="G1745" t="s">
        <v>1798</v>
      </c>
      <c r="H1745">
        <v>0</v>
      </c>
      <c r="I1745">
        <v>772.511124</v>
      </c>
      <c r="J1745">
        <v>19.5208552793652</v>
      </c>
      <c r="K1745">
        <v>0</v>
      </c>
      <c r="L1745">
        <v>1.9845070391415769</v>
      </c>
      <c r="M1745">
        <v>160.07</v>
      </c>
      <c r="N1745">
        <v>58.44</v>
      </c>
    </row>
    <row r="1746" spans="1:14" x14ac:dyDescent="0.35">
      <c r="A1746" s="1" t="s">
        <v>1758</v>
      </c>
      <c r="B1746" t="str">
        <f>HYPERLINK("https://www.suredividend.com/sure-analysis-WSBC/","Wesbanco, Inc.")</f>
        <v>Wesbanco, Inc.</v>
      </c>
      <c r="C1746" t="s">
        <v>1801</v>
      </c>
      <c r="D1746">
        <v>24.3</v>
      </c>
      <c r="E1746">
        <v>5.761316872427983E-2</v>
      </c>
      <c r="F1746">
        <v>2.941176470588247E-2</v>
      </c>
      <c r="G1746">
        <v>3.8326670088616899E-2</v>
      </c>
      <c r="H1746">
        <v>1.3512955210091571</v>
      </c>
      <c r="I1746">
        <v>1442.3280070000001</v>
      </c>
      <c r="J1746">
        <v>7.9102321887494043</v>
      </c>
      <c r="K1746">
        <v>0.44016140749483951</v>
      </c>
      <c r="L1746">
        <v>0.99210933460448303</v>
      </c>
      <c r="M1746">
        <v>38.51</v>
      </c>
      <c r="N1746">
        <v>18.829999999999998</v>
      </c>
    </row>
    <row r="1747" spans="1:14" x14ac:dyDescent="0.35">
      <c r="A1747" s="1" t="s">
        <v>1759</v>
      </c>
      <c r="B1747" t="str">
        <f>HYPERLINK("https://www.suredividend.com/sure-analysis-research-database/","Waterstone Financial Inc")</f>
        <v>Waterstone Financial Inc</v>
      </c>
      <c r="C1747" t="s">
        <v>1801</v>
      </c>
      <c r="D1747">
        <v>10.54</v>
      </c>
      <c r="E1747">
        <v>8.5494199206155003E-2</v>
      </c>
      <c r="F1747">
        <v>-0.25000000000000011</v>
      </c>
      <c r="G1747">
        <v>4.5639552591273169E-2</v>
      </c>
      <c r="H1747">
        <v>0.90110885963287612</v>
      </c>
      <c r="I1747">
        <v>224.47691499999999</v>
      </c>
      <c r="J1747">
        <v>18.149815232858991</v>
      </c>
      <c r="K1747">
        <v>1.5283393141670221</v>
      </c>
      <c r="L1747">
        <v>0.61553187771463203</v>
      </c>
      <c r="M1747">
        <v>16.27</v>
      </c>
      <c r="N1747">
        <v>9.86</v>
      </c>
    </row>
    <row r="1748" spans="1:14" x14ac:dyDescent="0.35">
      <c r="A1748" s="1" t="s">
        <v>1760</v>
      </c>
      <c r="B1748" t="str">
        <f>HYPERLINK("https://www.suredividend.com/sure-analysis-research-database/","WSFS Financial Corp.")</f>
        <v>WSFS Financial Corp.</v>
      </c>
      <c r="C1748" t="s">
        <v>1801</v>
      </c>
      <c r="D1748">
        <v>35.28</v>
      </c>
      <c r="E1748">
        <v>1.6828306584428999E-2</v>
      </c>
      <c r="F1748">
        <v>0</v>
      </c>
      <c r="G1748">
        <v>6.3995312815083638E-2</v>
      </c>
      <c r="H1748">
        <v>0.59370265629867303</v>
      </c>
      <c r="I1748">
        <v>2154.0768480000002</v>
      </c>
      <c r="J1748">
        <v>7.4557975861245431</v>
      </c>
      <c r="K1748">
        <v>0.12767799060186519</v>
      </c>
      <c r="L1748">
        <v>1.1723631938597461</v>
      </c>
      <c r="M1748">
        <v>50.94</v>
      </c>
      <c r="N1748">
        <v>29.38</v>
      </c>
    </row>
    <row r="1749" spans="1:14" x14ac:dyDescent="0.35">
      <c r="A1749" s="1" t="s">
        <v>1761</v>
      </c>
      <c r="B1749" t="str">
        <f>HYPERLINK("https://www.suredividend.com/sure-analysis-WSR/","Whitestone REIT")</f>
        <v>Whitestone REIT</v>
      </c>
      <c r="C1749" t="s">
        <v>1800</v>
      </c>
      <c r="D1749">
        <v>9.65</v>
      </c>
      <c r="E1749">
        <v>4.9740932642487037E-2</v>
      </c>
      <c r="F1749">
        <v>0</v>
      </c>
      <c r="G1749">
        <v>2.2245869355768111E-2</v>
      </c>
      <c r="H1749">
        <v>0.58518073525610004</v>
      </c>
      <c r="I1749">
        <v>477.87495799999999</v>
      </c>
      <c r="J1749">
        <v>12.25100514394852</v>
      </c>
      <c r="K1749">
        <v>0.74955903068541052</v>
      </c>
      <c r="L1749">
        <v>0.95993942649751807</v>
      </c>
      <c r="M1749">
        <v>10.65</v>
      </c>
      <c r="N1749">
        <v>7.96</v>
      </c>
    </row>
    <row r="1750" spans="1:14" x14ac:dyDescent="0.35">
      <c r="A1750" s="1" t="s">
        <v>1762</v>
      </c>
      <c r="B1750" t="str">
        <f>HYPERLINK("https://www.suredividend.com/sure-analysis-research-database/","WisdomTree Inc")</f>
        <v>WisdomTree Inc</v>
      </c>
      <c r="C1750" t="s">
        <v>1798</v>
      </c>
      <c r="D1750">
        <v>6.83</v>
      </c>
      <c r="E1750">
        <v>4.3310795710220003E-3</v>
      </c>
      <c r="F1750" t="s">
        <v>1798</v>
      </c>
      <c r="G1750" t="s">
        <v>1798</v>
      </c>
      <c r="H1750">
        <v>2.9581273470081E-2</v>
      </c>
      <c r="I1750">
        <v>1026.7163419999999</v>
      </c>
      <c r="J1750">
        <v>9.3405780734170314</v>
      </c>
      <c r="K1750">
        <v>4.4704962173312678E-2</v>
      </c>
      <c r="L1750">
        <v>0.72046728416967409</v>
      </c>
      <c r="M1750">
        <v>7.55</v>
      </c>
      <c r="N1750">
        <v>4.83</v>
      </c>
    </row>
    <row r="1751" spans="1:14" x14ac:dyDescent="0.35">
      <c r="A1751" s="1" t="s">
        <v>1763</v>
      </c>
      <c r="B1751" t="str">
        <f>HYPERLINK("https://www.suredividend.com/sure-analysis-research-database/","West Bancorporation")</f>
        <v>West Bancorporation</v>
      </c>
      <c r="C1751" t="s">
        <v>1801</v>
      </c>
      <c r="D1751">
        <v>15.72</v>
      </c>
      <c r="E1751">
        <v>6.1253008904266007E-2</v>
      </c>
      <c r="F1751">
        <v>0</v>
      </c>
      <c r="G1751">
        <v>4.5639552591273169E-2</v>
      </c>
      <c r="H1751">
        <v>0.96289729997506812</v>
      </c>
      <c r="I1751">
        <v>262.91847799999999</v>
      </c>
      <c r="J1751">
        <v>7.6755554878262391</v>
      </c>
      <c r="K1751">
        <v>0.47200848037993542</v>
      </c>
      <c r="L1751">
        <v>0.8147604078920021</v>
      </c>
      <c r="M1751">
        <v>24.08</v>
      </c>
      <c r="N1751">
        <v>14.65</v>
      </c>
    </row>
    <row r="1752" spans="1:14" x14ac:dyDescent="0.35">
      <c r="A1752" s="1" t="s">
        <v>1764</v>
      </c>
      <c r="B1752" t="str">
        <f>HYPERLINK("https://www.suredividend.com/sure-analysis-research-database/","W &amp; T Offshore Inc")</f>
        <v>W &amp; T Offshore Inc</v>
      </c>
      <c r="C1752" t="s">
        <v>1808</v>
      </c>
      <c r="D1752">
        <v>4.0999999999999996</v>
      </c>
      <c r="E1752">
        <v>0</v>
      </c>
      <c r="F1752" t="s">
        <v>1798</v>
      </c>
      <c r="G1752" t="s">
        <v>1798</v>
      </c>
      <c r="H1752">
        <v>0</v>
      </c>
      <c r="I1752">
        <v>600.57061199999998</v>
      </c>
      <c r="J1752">
        <v>4.8407348645076009</v>
      </c>
      <c r="K1752">
        <v>0</v>
      </c>
      <c r="L1752">
        <v>1.344277681043796</v>
      </c>
      <c r="M1752">
        <v>9.16</v>
      </c>
      <c r="N1752">
        <v>3.62</v>
      </c>
    </row>
    <row r="1753" spans="1:14" x14ac:dyDescent="0.35">
      <c r="A1753" s="1" t="s">
        <v>1765</v>
      </c>
      <c r="B1753" t="str">
        <f>HYPERLINK("https://www.suredividend.com/sure-analysis-research-database/","Watts Water Technologies, Inc.")</f>
        <v>Watts Water Technologies, Inc.</v>
      </c>
      <c r="C1753" t="s">
        <v>1799</v>
      </c>
      <c r="D1753">
        <v>178.14</v>
      </c>
      <c r="E1753">
        <v>7.3894492067310014E-3</v>
      </c>
      <c r="F1753">
        <v>0.19999999999999971</v>
      </c>
      <c r="G1753">
        <v>0.11382417860287911</v>
      </c>
      <c r="H1753">
        <v>1.316356481687132</v>
      </c>
      <c r="I1753">
        <v>4877.7503859999997</v>
      </c>
      <c r="J1753">
        <v>18.20735493034714</v>
      </c>
      <c r="K1753">
        <v>0.16475049833380881</v>
      </c>
      <c r="L1753">
        <v>1.1507675423763519</v>
      </c>
      <c r="M1753">
        <v>192.92</v>
      </c>
      <c r="N1753">
        <v>123.58</v>
      </c>
    </row>
    <row r="1754" spans="1:14" x14ac:dyDescent="0.35">
      <c r="A1754" s="1" t="s">
        <v>1766</v>
      </c>
      <c r="B1754" t="str">
        <f>HYPERLINK("https://www.suredividend.com/sure-analysis-research-database/","Select Water Solutions Inc")</f>
        <v>Select Water Solutions Inc</v>
      </c>
      <c r="C1754" t="s">
        <v>1808</v>
      </c>
      <c r="D1754">
        <v>7.69</v>
      </c>
      <c r="E1754">
        <v>2.5764414671072999E-2</v>
      </c>
      <c r="F1754" t="s">
        <v>1798</v>
      </c>
      <c r="G1754" t="s">
        <v>1798</v>
      </c>
      <c r="H1754">
        <v>0.19812834882055499</v>
      </c>
      <c r="I1754">
        <v>798.06494699999996</v>
      </c>
      <c r="J1754">
        <v>12.99039549328559</v>
      </c>
      <c r="K1754">
        <v>0.32656724710821661</v>
      </c>
      <c r="L1754">
        <v>0.98758053108866106</v>
      </c>
      <c r="M1754">
        <v>9.6</v>
      </c>
      <c r="N1754">
        <v>5.44</v>
      </c>
    </row>
    <row r="1755" spans="1:14" x14ac:dyDescent="0.35">
      <c r="A1755" s="1" t="s">
        <v>1767</v>
      </c>
      <c r="B1755" t="str">
        <f>HYPERLINK("https://www.suredividend.com/sure-analysis-research-database/","TeraWulf Inc")</f>
        <v>TeraWulf Inc</v>
      </c>
      <c r="C1755" t="s">
        <v>1798</v>
      </c>
      <c r="D1755">
        <v>1.02</v>
      </c>
      <c r="E1755">
        <v>0</v>
      </c>
      <c r="F1755" t="s">
        <v>1798</v>
      </c>
      <c r="G1755" t="s">
        <v>1798</v>
      </c>
      <c r="H1755">
        <v>0</v>
      </c>
      <c r="I1755">
        <v>236.25477900000001</v>
      </c>
      <c r="J1755">
        <v>0</v>
      </c>
      <c r="K1755" t="s">
        <v>1798</v>
      </c>
      <c r="L1755">
        <v>2.259255950703019</v>
      </c>
      <c r="M1755">
        <v>4.04</v>
      </c>
      <c r="N1755">
        <v>0.53500000000000003</v>
      </c>
    </row>
    <row r="1756" spans="1:14" x14ac:dyDescent="0.35">
      <c r="A1756" s="1" t="s">
        <v>1768</v>
      </c>
      <c r="B1756" t="str">
        <f>HYPERLINK("https://www.suredividend.com/sure-analysis-research-database/","WW International Inc")</f>
        <v>WW International Inc</v>
      </c>
      <c r="C1756" t="s">
        <v>1802</v>
      </c>
      <c r="D1756">
        <v>10.994999999999999</v>
      </c>
      <c r="E1756">
        <v>0</v>
      </c>
      <c r="F1756" t="s">
        <v>1798</v>
      </c>
      <c r="G1756" t="s">
        <v>1798</v>
      </c>
      <c r="H1756">
        <v>0</v>
      </c>
      <c r="I1756">
        <v>868.23182999999995</v>
      </c>
      <c r="J1756" t="s">
        <v>1798</v>
      </c>
      <c r="K1756">
        <v>0</v>
      </c>
      <c r="L1756">
        <v>2.3517372865517818</v>
      </c>
      <c r="M1756">
        <v>13.31</v>
      </c>
      <c r="N1756">
        <v>3.28</v>
      </c>
    </row>
    <row r="1757" spans="1:14" x14ac:dyDescent="0.35">
      <c r="A1757" s="1" t="s">
        <v>1769</v>
      </c>
      <c r="B1757" t="str">
        <f>HYPERLINK("https://www.suredividend.com/sure-analysis-research-database/","Wolverine World Wide, Inc.")</f>
        <v>Wolverine World Wide, Inc.</v>
      </c>
      <c r="C1757" t="s">
        <v>1802</v>
      </c>
      <c r="D1757">
        <v>7.24</v>
      </c>
      <c r="E1757">
        <v>5.4436316126197003E-2</v>
      </c>
      <c r="F1757">
        <v>0</v>
      </c>
      <c r="G1757">
        <v>4.5639552591273169E-2</v>
      </c>
      <c r="H1757">
        <v>0.39411892875367099</v>
      </c>
      <c r="I1757">
        <v>575.686421</v>
      </c>
      <c r="J1757" t="s">
        <v>1798</v>
      </c>
      <c r="K1757" t="s">
        <v>1798</v>
      </c>
      <c r="L1757">
        <v>1.5974574173554701</v>
      </c>
      <c r="M1757">
        <v>17.760000000000002</v>
      </c>
      <c r="N1757">
        <v>7.21</v>
      </c>
    </row>
    <row r="1758" spans="1:14" x14ac:dyDescent="0.35">
      <c r="A1758" s="1" t="s">
        <v>1770</v>
      </c>
      <c r="B1758" t="str">
        <f>HYPERLINK("https://www.suredividend.com/sure-analysis-research-database/","Xeris Biopharma Holdings Inc")</f>
        <v>Xeris Biopharma Holdings Inc</v>
      </c>
      <c r="C1758" t="s">
        <v>1803</v>
      </c>
      <c r="D1758">
        <v>1.58</v>
      </c>
      <c r="E1758">
        <v>0</v>
      </c>
      <c r="F1758" t="s">
        <v>1798</v>
      </c>
      <c r="G1758" t="s">
        <v>1798</v>
      </c>
      <c r="H1758">
        <v>0</v>
      </c>
      <c r="I1758">
        <v>218.14426900000001</v>
      </c>
      <c r="J1758" t="s">
        <v>1798</v>
      </c>
      <c r="K1758">
        <v>0</v>
      </c>
      <c r="L1758">
        <v>1.6244309071213721</v>
      </c>
      <c r="M1758">
        <v>3.07</v>
      </c>
      <c r="N1758">
        <v>0.97010000000000007</v>
      </c>
    </row>
    <row r="1759" spans="1:14" x14ac:dyDescent="0.35">
      <c r="A1759" s="1" t="s">
        <v>1771</v>
      </c>
      <c r="B1759" t="str">
        <f>HYPERLINK("https://www.suredividend.com/sure-analysis-research-database/","Xenia Hotels &amp; Resorts Inc")</f>
        <v>Xenia Hotels &amp; Resorts Inc</v>
      </c>
      <c r="C1759" t="s">
        <v>1800</v>
      </c>
      <c r="D1759">
        <v>11.48</v>
      </c>
      <c r="E1759">
        <v>3.4407218141173999E-2</v>
      </c>
      <c r="F1759" t="s">
        <v>1798</v>
      </c>
      <c r="G1759" t="s">
        <v>1798</v>
      </c>
      <c r="H1759">
        <v>0.39499486426068198</v>
      </c>
      <c r="I1759">
        <v>1228.5028</v>
      </c>
      <c r="J1759">
        <v>22.993183471897289</v>
      </c>
      <c r="K1759">
        <v>0.83191841672426714</v>
      </c>
      <c r="L1759">
        <v>1.3601892459372149</v>
      </c>
      <c r="M1759">
        <v>16.8</v>
      </c>
      <c r="N1759">
        <v>10.81</v>
      </c>
    </row>
    <row r="1760" spans="1:14" x14ac:dyDescent="0.35">
      <c r="A1760" s="1" t="s">
        <v>1772</v>
      </c>
      <c r="B1760" t="str">
        <f>HYPERLINK("https://www.suredividend.com/sure-analysis-research-database/","Xometry Inc")</f>
        <v>Xometry Inc</v>
      </c>
      <c r="C1760" t="s">
        <v>1798</v>
      </c>
      <c r="D1760">
        <v>17.12</v>
      </c>
      <c r="E1760">
        <v>0</v>
      </c>
      <c r="F1760" t="s">
        <v>1798</v>
      </c>
      <c r="G1760" t="s">
        <v>1798</v>
      </c>
      <c r="H1760">
        <v>0</v>
      </c>
      <c r="I1760">
        <v>821.24639999999999</v>
      </c>
      <c r="J1760" t="s">
        <v>1798</v>
      </c>
      <c r="K1760">
        <v>0</v>
      </c>
      <c r="L1760">
        <v>1.516030643987416</v>
      </c>
      <c r="M1760">
        <v>63.9</v>
      </c>
      <c r="N1760">
        <v>12.45</v>
      </c>
    </row>
    <row r="1761" spans="1:14" x14ac:dyDescent="0.35">
      <c r="A1761" s="1" t="s">
        <v>1773</v>
      </c>
      <c r="B1761" t="str">
        <f>HYPERLINK("https://www.suredividend.com/sure-analysis-research-database/","Xencor Inc")</f>
        <v>Xencor Inc</v>
      </c>
      <c r="C1761" t="s">
        <v>1803</v>
      </c>
      <c r="D1761">
        <v>18.850000000000001</v>
      </c>
      <c r="E1761">
        <v>0</v>
      </c>
      <c r="F1761" t="s">
        <v>1798</v>
      </c>
      <c r="G1761" t="s">
        <v>1798</v>
      </c>
      <c r="H1761">
        <v>0</v>
      </c>
      <c r="I1761">
        <v>1142.559499</v>
      </c>
      <c r="J1761" t="s">
        <v>1798</v>
      </c>
      <c r="K1761">
        <v>0</v>
      </c>
      <c r="L1761">
        <v>0.81986483075191208</v>
      </c>
      <c r="M1761">
        <v>38.200000000000003</v>
      </c>
      <c r="N1761">
        <v>18.260000000000002</v>
      </c>
    </row>
    <row r="1762" spans="1:14" x14ac:dyDescent="0.35">
      <c r="A1762" s="1" t="s">
        <v>1774</v>
      </c>
      <c r="B1762" t="str">
        <f>HYPERLINK("https://www.suredividend.com/sure-analysis-research-database/","Xos Inc")</f>
        <v>Xos Inc</v>
      </c>
      <c r="C1762" t="s">
        <v>1798</v>
      </c>
      <c r="D1762">
        <v>0.32600000000000001</v>
      </c>
      <c r="E1762">
        <v>0</v>
      </c>
      <c r="F1762" t="s">
        <v>1798</v>
      </c>
      <c r="G1762" t="s">
        <v>1798</v>
      </c>
      <c r="H1762">
        <v>0</v>
      </c>
      <c r="I1762">
        <v>57.382119000000003</v>
      </c>
      <c r="J1762">
        <v>0</v>
      </c>
      <c r="K1762" t="s">
        <v>1798</v>
      </c>
      <c r="L1762">
        <v>1.3577582064855229</v>
      </c>
      <c r="M1762">
        <v>1.19</v>
      </c>
      <c r="N1762">
        <v>0.2082</v>
      </c>
    </row>
    <row r="1763" spans="1:14" x14ac:dyDescent="0.35">
      <c r="A1763" s="1" t="s">
        <v>1775</v>
      </c>
      <c r="B1763" t="str">
        <f>HYPERLINK("https://www.suredividend.com/sure-analysis-research-database/","XPEL Inc")</f>
        <v>XPEL Inc</v>
      </c>
      <c r="C1763" t="s">
        <v>1802</v>
      </c>
      <c r="D1763">
        <v>62.89</v>
      </c>
      <c r="E1763">
        <v>0</v>
      </c>
      <c r="F1763" t="s">
        <v>1798</v>
      </c>
      <c r="G1763" t="s">
        <v>1798</v>
      </c>
      <c r="H1763">
        <v>0</v>
      </c>
      <c r="I1763">
        <v>1737.206948</v>
      </c>
      <c r="J1763">
        <v>35.562162586805762</v>
      </c>
      <c r="K1763">
        <v>0</v>
      </c>
      <c r="L1763">
        <v>1.0564979921335209</v>
      </c>
      <c r="M1763">
        <v>87.46</v>
      </c>
      <c r="N1763">
        <v>57.13</v>
      </c>
    </row>
    <row r="1764" spans="1:14" x14ac:dyDescent="0.35">
      <c r="A1764" s="1" t="s">
        <v>1776</v>
      </c>
      <c r="B1764" t="str">
        <f>HYPERLINK("https://www.suredividend.com/sure-analysis-research-database/","Xperi Inc")</f>
        <v>Xperi Inc</v>
      </c>
      <c r="C1764" t="s">
        <v>1804</v>
      </c>
      <c r="D1764">
        <v>8.7100000000000009</v>
      </c>
      <c r="E1764">
        <v>0</v>
      </c>
      <c r="F1764" t="s">
        <v>1798</v>
      </c>
      <c r="G1764" t="s">
        <v>1798</v>
      </c>
      <c r="H1764">
        <v>0</v>
      </c>
      <c r="I1764">
        <v>370.32840900000002</v>
      </c>
      <c r="J1764">
        <v>0</v>
      </c>
      <c r="K1764" t="s">
        <v>1798</v>
      </c>
      <c r="L1764">
        <v>1.2825162924912159</v>
      </c>
      <c r="M1764">
        <v>14.27</v>
      </c>
      <c r="N1764">
        <v>8.15</v>
      </c>
    </row>
    <row r="1765" spans="1:14" x14ac:dyDescent="0.35">
      <c r="A1765" s="1" t="s">
        <v>1777</v>
      </c>
      <c r="B1765" t="str">
        <f>HYPERLINK("https://www.suredividend.com/sure-analysis-research-database/","Xponential Fitness Inc")</f>
        <v>Xponential Fitness Inc</v>
      </c>
      <c r="C1765" t="s">
        <v>1798</v>
      </c>
      <c r="D1765">
        <v>13.75</v>
      </c>
      <c r="E1765">
        <v>0</v>
      </c>
      <c r="F1765" t="s">
        <v>1798</v>
      </c>
      <c r="G1765" t="s">
        <v>1798</v>
      </c>
      <c r="H1765">
        <v>0</v>
      </c>
      <c r="I1765">
        <v>460.00629099999998</v>
      </c>
      <c r="J1765">
        <v>455.00127720079132</v>
      </c>
      <c r="K1765">
        <v>0</v>
      </c>
      <c r="L1765">
        <v>1.1869287820921519</v>
      </c>
      <c r="M1765">
        <v>33.58</v>
      </c>
      <c r="N1765">
        <v>13.74</v>
      </c>
    </row>
    <row r="1766" spans="1:14" x14ac:dyDescent="0.35">
      <c r="A1766" s="1" t="s">
        <v>1778</v>
      </c>
      <c r="B1766" t="str">
        <f>HYPERLINK("https://www.suredividend.com/sure-analysis-research-database/","Expro Group Holdings N.V.")</f>
        <v>Expro Group Holdings N.V.</v>
      </c>
      <c r="C1766" t="s">
        <v>1798</v>
      </c>
      <c r="D1766">
        <v>21.55</v>
      </c>
      <c r="E1766">
        <v>0</v>
      </c>
      <c r="F1766" t="s">
        <v>1798</v>
      </c>
      <c r="G1766" t="s">
        <v>1798</v>
      </c>
      <c r="H1766">
        <v>0</v>
      </c>
      <c r="I1766">
        <v>2340.1612420000001</v>
      </c>
      <c r="J1766">
        <v>0</v>
      </c>
      <c r="K1766" t="s">
        <v>1798</v>
      </c>
      <c r="L1766">
        <v>1.0386400934371081</v>
      </c>
      <c r="M1766">
        <v>25.04</v>
      </c>
      <c r="N1766">
        <v>14.61</v>
      </c>
    </row>
    <row r="1767" spans="1:14" x14ac:dyDescent="0.35">
      <c r="A1767" s="1" t="s">
        <v>1779</v>
      </c>
      <c r="B1767" t="str">
        <f>HYPERLINK("https://www.suredividend.com/sure-analysis-XRX/","Xerox Holdings Corp")</f>
        <v>Xerox Holdings Corp</v>
      </c>
      <c r="C1767" t="s">
        <v>1804</v>
      </c>
      <c r="D1767">
        <v>14.31</v>
      </c>
      <c r="E1767">
        <v>6.9881201956673647E-2</v>
      </c>
      <c r="F1767" t="s">
        <v>1798</v>
      </c>
      <c r="G1767" t="s">
        <v>1798</v>
      </c>
      <c r="H1767">
        <v>0.9557509119871711</v>
      </c>
      <c r="I1767">
        <v>2248.3876009999999</v>
      </c>
      <c r="J1767" t="s">
        <v>1798</v>
      </c>
      <c r="K1767" t="s">
        <v>1798</v>
      </c>
      <c r="L1767">
        <v>0.97154040849472811</v>
      </c>
      <c r="M1767">
        <v>16.850000000000001</v>
      </c>
      <c r="N1767">
        <v>10.66</v>
      </c>
    </row>
    <row r="1768" spans="1:14" x14ac:dyDescent="0.35">
      <c r="A1768" s="1" t="s">
        <v>1780</v>
      </c>
      <c r="B1768" t="str">
        <f>HYPERLINK("https://www.suredividend.com/sure-analysis-research-database/","22nd Century Group Inc")</f>
        <v>22nd Century Group Inc</v>
      </c>
      <c r="C1768" t="s">
        <v>1803</v>
      </c>
      <c r="D1768">
        <v>0.58950000000000002</v>
      </c>
      <c r="E1768">
        <v>0</v>
      </c>
      <c r="F1768" t="s">
        <v>1798</v>
      </c>
      <c r="G1768" t="s">
        <v>1798</v>
      </c>
      <c r="H1768">
        <v>0</v>
      </c>
      <c r="I1768">
        <v>12.425867999999999</v>
      </c>
      <c r="J1768">
        <v>0</v>
      </c>
      <c r="K1768" t="s">
        <v>1798</v>
      </c>
      <c r="L1768">
        <v>1.27298003755218</v>
      </c>
      <c r="M1768">
        <v>21.75</v>
      </c>
      <c r="N1768">
        <v>0.57130000000000003</v>
      </c>
    </row>
    <row r="1769" spans="1:14" x14ac:dyDescent="0.35">
      <c r="A1769" s="1" t="s">
        <v>1781</v>
      </c>
      <c r="B1769" t="str">
        <f>HYPERLINK("https://www.suredividend.com/sure-analysis-research-database/","Yelp Inc")</f>
        <v>Yelp Inc</v>
      </c>
      <c r="C1769" t="s">
        <v>1807</v>
      </c>
      <c r="D1769">
        <v>41.99</v>
      </c>
      <c r="E1769">
        <v>0</v>
      </c>
      <c r="F1769" t="s">
        <v>1798</v>
      </c>
      <c r="G1769" t="s">
        <v>1798</v>
      </c>
      <c r="H1769">
        <v>0</v>
      </c>
      <c r="I1769">
        <v>2885.2830560000002</v>
      </c>
      <c r="J1769">
        <v>67.406855813475374</v>
      </c>
      <c r="K1769">
        <v>0</v>
      </c>
      <c r="L1769">
        <v>0.95861346986683704</v>
      </c>
      <c r="M1769">
        <v>47.59</v>
      </c>
      <c r="N1769">
        <v>25.3</v>
      </c>
    </row>
    <row r="1770" spans="1:14" x14ac:dyDescent="0.35">
      <c r="A1770" s="1" t="s">
        <v>1782</v>
      </c>
      <c r="B1770" t="str">
        <f>HYPERLINK("https://www.suredividend.com/sure-analysis-research-database/","Yext Inc")</f>
        <v>Yext Inc</v>
      </c>
      <c r="C1770" t="s">
        <v>1804</v>
      </c>
      <c r="D1770">
        <v>5.87</v>
      </c>
      <c r="E1770">
        <v>0</v>
      </c>
      <c r="F1770" t="s">
        <v>1798</v>
      </c>
      <c r="G1770" t="s">
        <v>1798</v>
      </c>
      <c r="H1770">
        <v>0</v>
      </c>
      <c r="I1770">
        <v>730.71695899999997</v>
      </c>
      <c r="J1770" t="s">
        <v>1798</v>
      </c>
      <c r="K1770">
        <v>0</v>
      </c>
      <c r="L1770">
        <v>1.060872481109036</v>
      </c>
      <c r="M1770">
        <v>14.35</v>
      </c>
      <c r="N1770">
        <v>4.38</v>
      </c>
    </row>
    <row r="1771" spans="1:14" x14ac:dyDescent="0.35">
      <c r="A1771" s="1" t="s">
        <v>1783</v>
      </c>
      <c r="B1771" t="str">
        <f>HYPERLINK("https://www.suredividend.com/sure-analysis-research-database/","Y-Mabs Therapeutics Inc")</f>
        <v>Y-Mabs Therapeutics Inc</v>
      </c>
      <c r="C1771" t="s">
        <v>1803</v>
      </c>
      <c r="D1771">
        <v>5.3</v>
      </c>
      <c r="E1771">
        <v>0</v>
      </c>
      <c r="F1771" t="s">
        <v>1798</v>
      </c>
      <c r="G1771" t="s">
        <v>1798</v>
      </c>
      <c r="H1771">
        <v>0</v>
      </c>
      <c r="I1771">
        <v>231.18701799999999</v>
      </c>
      <c r="J1771" t="s">
        <v>1798</v>
      </c>
      <c r="K1771">
        <v>0</v>
      </c>
      <c r="L1771">
        <v>2.038671820164236</v>
      </c>
      <c r="M1771">
        <v>15.89</v>
      </c>
      <c r="N1771">
        <v>2.7</v>
      </c>
    </row>
    <row r="1772" spans="1:14" x14ac:dyDescent="0.35">
      <c r="A1772" s="1" t="s">
        <v>1784</v>
      </c>
      <c r="B1772" t="str">
        <f>HYPERLINK("https://www.suredividend.com/sure-analysis-YORW/","York Water Co.")</f>
        <v>York Water Co.</v>
      </c>
      <c r="C1772" t="s">
        <v>1806</v>
      </c>
      <c r="D1772">
        <v>36.74</v>
      </c>
      <c r="E1772">
        <v>2.204681545998911E-2</v>
      </c>
      <c r="F1772">
        <v>4.0020523345305259E-2</v>
      </c>
      <c r="G1772">
        <v>3.1836858121476297E-2</v>
      </c>
      <c r="H1772">
        <v>0.79961518770477502</v>
      </c>
      <c r="I1772">
        <v>525.76222199999995</v>
      </c>
      <c r="J1772">
        <v>25.19345547271072</v>
      </c>
      <c r="K1772">
        <v>0.54768163541422943</v>
      </c>
      <c r="L1772">
        <v>0.44987599314610999</v>
      </c>
      <c r="M1772">
        <v>45.87</v>
      </c>
      <c r="N1772">
        <v>36.119999999999997</v>
      </c>
    </row>
    <row r="1773" spans="1:14" x14ac:dyDescent="0.35">
      <c r="A1773" s="1" t="s">
        <v>1785</v>
      </c>
      <c r="B1773" t="str">
        <f>HYPERLINK("https://www.suredividend.com/sure-analysis-research-database/","Clear Secure Inc")</f>
        <v>Clear Secure Inc</v>
      </c>
      <c r="C1773" t="s">
        <v>1798</v>
      </c>
      <c r="D1773">
        <v>16.690000000000001</v>
      </c>
      <c r="E1773">
        <v>4.1941282383470002E-3</v>
      </c>
      <c r="F1773" t="s">
        <v>1798</v>
      </c>
      <c r="G1773" t="s">
        <v>1798</v>
      </c>
      <c r="H1773">
        <v>7.0000000298023002E-2</v>
      </c>
      <c r="I1773">
        <v>1485.1084450000001</v>
      </c>
      <c r="J1773" t="s">
        <v>1798</v>
      </c>
      <c r="K1773" t="s">
        <v>1798</v>
      </c>
      <c r="L1773">
        <v>1.3250238476999181</v>
      </c>
      <c r="M1773">
        <v>34.61</v>
      </c>
      <c r="N1773">
        <v>15.28</v>
      </c>
    </row>
    <row r="1774" spans="1:14" x14ac:dyDescent="0.35">
      <c r="A1774" s="1" t="s">
        <v>1786</v>
      </c>
      <c r="B1774" t="str">
        <f>HYPERLINK("https://www.suredividend.com/sure-analysis-research-database/","Ziff Davis Inc")</f>
        <v>Ziff Davis Inc</v>
      </c>
      <c r="C1774" t="s">
        <v>1798</v>
      </c>
      <c r="D1774">
        <v>61.8</v>
      </c>
      <c r="E1774">
        <v>0</v>
      </c>
      <c r="F1774" t="s">
        <v>1798</v>
      </c>
      <c r="G1774" t="s">
        <v>1798</v>
      </c>
      <c r="H1774">
        <v>0</v>
      </c>
      <c r="I1774">
        <v>2865.6344819999999</v>
      </c>
      <c r="J1774">
        <v>30.254700655637318</v>
      </c>
      <c r="K1774">
        <v>0</v>
      </c>
      <c r="L1774">
        <v>1.1335882851648409</v>
      </c>
      <c r="M1774">
        <v>94.59</v>
      </c>
      <c r="N1774">
        <v>58.08</v>
      </c>
    </row>
    <row r="1775" spans="1:14" x14ac:dyDescent="0.35">
      <c r="A1775" s="1" t="s">
        <v>1787</v>
      </c>
      <c r="B1775" t="str">
        <f>HYPERLINK("https://www.suredividend.com/sure-analysis-research-database/","Zeta Global Holdings Corp")</f>
        <v>Zeta Global Holdings Corp</v>
      </c>
      <c r="C1775" t="s">
        <v>1798</v>
      </c>
      <c r="D1775">
        <v>8.5399999999999991</v>
      </c>
      <c r="E1775">
        <v>0</v>
      </c>
      <c r="F1775" t="s">
        <v>1798</v>
      </c>
      <c r="G1775" t="s">
        <v>1798</v>
      </c>
      <c r="H1775">
        <v>0</v>
      </c>
      <c r="I1775">
        <v>1558.0691549999999</v>
      </c>
      <c r="J1775" t="s">
        <v>1798</v>
      </c>
      <c r="K1775">
        <v>0</v>
      </c>
      <c r="L1775">
        <v>1.0249756020582681</v>
      </c>
      <c r="M1775">
        <v>11.28</v>
      </c>
      <c r="N1775">
        <v>6.92</v>
      </c>
    </row>
    <row r="1776" spans="1:14" x14ac:dyDescent="0.35">
      <c r="A1776" s="1" t="s">
        <v>1788</v>
      </c>
      <c r="B1776" t="str">
        <f>HYPERLINK("https://www.suredividend.com/sure-analysis-research-database/","Olympic Steel Inc.")</f>
        <v>Olympic Steel Inc.</v>
      </c>
      <c r="C1776" t="s">
        <v>1809</v>
      </c>
      <c r="D1776">
        <v>49.68</v>
      </c>
      <c r="E1776">
        <v>9.297289270497E-3</v>
      </c>
      <c r="F1776">
        <v>0.38888888888888878</v>
      </c>
      <c r="G1776">
        <v>0.44269990590721359</v>
      </c>
      <c r="H1776">
        <v>0.46188933095830098</v>
      </c>
      <c r="I1776">
        <v>553.06468700000005</v>
      </c>
      <c r="J1776">
        <v>13.52368658450704</v>
      </c>
      <c r="K1776">
        <v>0.13047721213511329</v>
      </c>
      <c r="L1776">
        <v>1.3487472265471181</v>
      </c>
      <c r="M1776">
        <v>58.71</v>
      </c>
      <c r="N1776">
        <v>23.03</v>
      </c>
    </row>
    <row r="1777" spans="1:14" x14ac:dyDescent="0.35">
      <c r="A1777" s="1" t="s">
        <v>1789</v>
      </c>
      <c r="B1777" t="str">
        <f>HYPERLINK("https://www.suredividend.com/sure-analysis-research-database/","Lightning eMotors Inc")</f>
        <v>Lightning eMotors Inc</v>
      </c>
      <c r="C1777" t="s">
        <v>1798</v>
      </c>
      <c r="D1777">
        <v>1.63</v>
      </c>
      <c r="E1777">
        <v>0</v>
      </c>
      <c r="F1777" t="s">
        <v>1798</v>
      </c>
      <c r="G1777" t="s">
        <v>1798</v>
      </c>
      <c r="H1777">
        <v>0</v>
      </c>
      <c r="I1777">
        <v>10.533733</v>
      </c>
      <c r="J1777">
        <v>0</v>
      </c>
      <c r="K1777" t="s">
        <v>1798</v>
      </c>
      <c r="M1777">
        <v>38</v>
      </c>
      <c r="N1777">
        <v>1.57</v>
      </c>
    </row>
    <row r="1778" spans="1:14" x14ac:dyDescent="0.35">
      <c r="A1778" s="1" t="s">
        <v>1790</v>
      </c>
      <c r="B1778" t="str">
        <f>HYPERLINK("https://www.suredividend.com/sure-analysis-research-database/","Ermenegildo Zegna N.V.")</f>
        <v>Ermenegildo Zegna N.V.</v>
      </c>
      <c r="C1778" t="s">
        <v>1798</v>
      </c>
      <c r="D1778">
        <v>12.25</v>
      </c>
      <c r="E1778">
        <v>8.1632654277640007E-3</v>
      </c>
      <c r="F1778" t="s">
        <v>1798</v>
      </c>
      <c r="G1778" t="s">
        <v>1798</v>
      </c>
      <c r="H1778">
        <v>0.10000000149011599</v>
      </c>
      <c r="I1778">
        <v>3060.4090839999999</v>
      </c>
      <c r="J1778">
        <v>0</v>
      </c>
      <c r="K1778" t="s">
        <v>1798</v>
      </c>
      <c r="L1778">
        <v>0.62173490483239202</v>
      </c>
      <c r="M1778">
        <v>16.36</v>
      </c>
      <c r="N1778">
        <v>9.7200000000000006</v>
      </c>
    </row>
    <row r="1779" spans="1:14" x14ac:dyDescent="0.35">
      <c r="A1779" s="1" t="s">
        <v>1791</v>
      </c>
      <c r="B1779" t="str">
        <f>HYPERLINK("https://www.suredividend.com/sure-analysis-research-database/","ZimVie Inc")</f>
        <v>ZimVie Inc</v>
      </c>
      <c r="C1779" t="s">
        <v>1798</v>
      </c>
      <c r="D1779">
        <v>8.23</v>
      </c>
      <c r="E1779">
        <v>0</v>
      </c>
      <c r="F1779" t="s">
        <v>1798</v>
      </c>
      <c r="G1779" t="s">
        <v>1798</v>
      </c>
      <c r="H1779">
        <v>0</v>
      </c>
      <c r="I1779">
        <v>218.338954</v>
      </c>
      <c r="J1779" t="s">
        <v>1798</v>
      </c>
      <c r="K1779">
        <v>0</v>
      </c>
      <c r="L1779">
        <v>1.9268228699640071</v>
      </c>
      <c r="M1779">
        <v>15.5</v>
      </c>
      <c r="N1779">
        <v>5.05</v>
      </c>
    </row>
    <row r="1780" spans="1:14" x14ac:dyDescent="0.35">
      <c r="A1780" s="1" t="s">
        <v>1792</v>
      </c>
      <c r="B1780" t="str">
        <f>HYPERLINK("https://www.suredividend.com/sure-analysis-research-database/","ZipRecruiter Inc")</f>
        <v>ZipRecruiter Inc</v>
      </c>
      <c r="C1780" t="s">
        <v>1798</v>
      </c>
      <c r="D1780">
        <v>10.7</v>
      </c>
      <c r="E1780">
        <v>0</v>
      </c>
      <c r="F1780" t="s">
        <v>1798</v>
      </c>
      <c r="G1780" t="s">
        <v>1798</v>
      </c>
      <c r="H1780">
        <v>0</v>
      </c>
      <c r="I1780">
        <v>786.30020000000002</v>
      </c>
      <c r="J1780">
        <v>13.24674348866202</v>
      </c>
      <c r="K1780">
        <v>0</v>
      </c>
      <c r="L1780">
        <v>1.646132562021597</v>
      </c>
      <c r="M1780">
        <v>24.05</v>
      </c>
      <c r="N1780">
        <v>10.64</v>
      </c>
    </row>
    <row r="1781" spans="1:14" x14ac:dyDescent="0.35">
      <c r="A1781" s="1" t="s">
        <v>1793</v>
      </c>
      <c r="B1781" t="str">
        <f>HYPERLINK("https://www.suredividend.com/sure-analysis-research-database/","Zentalis Pharmaceuticals Inc")</f>
        <v>Zentalis Pharmaceuticals Inc</v>
      </c>
      <c r="C1781" t="s">
        <v>1803</v>
      </c>
      <c r="D1781">
        <v>18.940000000000001</v>
      </c>
      <c r="E1781">
        <v>0</v>
      </c>
      <c r="F1781" t="s">
        <v>1798</v>
      </c>
      <c r="G1781" t="s">
        <v>1798</v>
      </c>
      <c r="H1781">
        <v>0</v>
      </c>
      <c r="I1781">
        <v>1339.9868180000001</v>
      </c>
      <c r="J1781">
        <v>0</v>
      </c>
      <c r="K1781" t="s">
        <v>1798</v>
      </c>
      <c r="L1781">
        <v>1.6231660600967219</v>
      </c>
      <c r="M1781">
        <v>31.46</v>
      </c>
      <c r="N1781">
        <v>15.55</v>
      </c>
    </row>
    <row r="1782" spans="1:14" x14ac:dyDescent="0.35">
      <c r="A1782" s="1" t="s">
        <v>1794</v>
      </c>
      <c r="B1782" t="str">
        <f>HYPERLINK("https://www.suredividend.com/sure-analysis-research-database/","Zumiez Inc")</f>
        <v>Zumiez Inc</v>
      </c>
      <c r="C1782" t="s">
        <v>1802</v>
      </c>
      <c r="D1782">
        <v>15.81</v>
      </c>
      <c r="E1782">
        <v>0</v>
      </c>
      <c r="F1782" t="s">
        <v>1798</v>
      </c>
      <c r="G1782" t="s">
        <v>1798</v>
      </c>
      <c r="H1782">
        <v>0</v>
      </c>
      <c r="I1782">
        <v>313.16994999999997</v>
      </c>
      <c r="J1782" t="s">
        <v>1798</v>
      </c>
      <c r="K1782">
        <v>0</v>
      </c>
      <c r="L1782">
        <v>1.416618030576976</v>
      </c>
      <c r="M1782">
        <v>28.97</v>
      </c>
      <c r="N1782">
        <v>13.19</v>
      </c>
    </row>
    <row r="1783" spans="1:14" x14ac:dyDescent="0.35">
      <c r="A1783" s="1" t="s">
        <v>1795</v>
      </c>
      <c r="B1783" t="str">
        <f>HYPERLINK("https://www.suredividend.com/sure-analysis-research-database/","Zuora Inc")</f>
        <v>Zuora Inc</v>
      </c>
      <c r="C1783" t="s">
        <v>1804</v>
      </c>
      <c r="D1783">
        <v>7.67</v>
      </c>
      <c r="E1783">
        <v>0</v>
      </c>
      <c r="F1783" t="s">
        <v>1798</v>
      </c>
      <c r="G1783" t="s">
        <v>1798</v>
      </c>
      <c r="H1783">
        <v>0</v>
      </c>
      <c r="I1783">
        <v>1015.508</v>
      </c>
      <c r="J1783" t="s">
        <v>1798</v>
      </c>
      <c r="K1783">
        <v>0</v>
      </c>
      <c r="L1783">
        <v>1.97711624450237</v>
      </c>
      <c r="M1783">
        <v>12.12</v>
      </c>
      <c r="N1783">
        <v>5.45</v>
      </c>
    </row>
    <row r="1784" spans="1:14" x14ac:dyDescent="0.35">
      <c r="A1784" s="1" t="s">
        <v>1796</v>
      </c>
      <c r="B1784" t="str">
        <f>HYPERLINK("https://www.suredividend.com/sure-analysis-research-database/","Zurn Elkay Water Solutions Corp")</f>
        <v>Zurn Elkay Water Solutions Corp</v>
      </c>
      <c r="C1784" t="s">
        <v>1798</v>
      </c>
      <c r="D1784">
        <v>26.53</v>
      </c>
      <c r="E1784">
        <v>1.0510466911289E-2</v>
      </c>
      <c r="F1784" t="s">
        <v>1798</v>
      </c>
      <c r="G1784" t="s">
        <v>1798</v>
      </c>
      <c r="H1784">
        <v>0.27884268715650601</v>
      </c>
      <c r="I1784">
        <v>4588.3040199999996</v>
      </c>
      <c r="J1784">
        <v>87.396267042666665</v>
      </c>
      <c r="K1784">
        <v>0.94715586670008833</v>
      </c>
      <c r="L1784">
        <v>1.3481067105983049</v>
      </c>
      <c r="M1784">
        <v>30.8</v>
      </c>
      <c r="N1784">
        <v>19.18</v>
      </c>
    </row>
    <row r="1785" spans="1:14" x14ac:dyDescent="0.35">
      <c r="A1785" s="1" t="s">
        <v>1797</v>
      </c>
      <c r="B1785" t="str">
        <f>HYPERLINK("https://www.suredividend.com/sure-analysis-research-database/","Zynex Inc")</f>
        <v>Zynex Inc</v>
      </c>
      <c r="C1785" t="s">
        <v>1803</v>
      </c>
      <c r="D1785">
        <v>7.97</v>
      </c>
      <c r="E1785">
        <v>0</v>
      </c>
      <c r="F1785" t="s">
        <v>1798</v>
      </c>
      <c r="G1785" t="s">
        <v>1798</v>
      </c>
      <c r="H1785">
        <v>0</v>
      </c>
      <c r="I1785">
        <v>286.32641000000001</v>
      </c>
      <c r="J1785">
        <v>16.600557185760671</v>
      </c>
      <c r="K1785">
        <v>0</v>
      </c>
      <c r="L1785">
        <v>1.128330067678941</v>
      </c>
      <c r="M1785">
        <v>17.25</v>
      </c>
      <c r="N1785">
        <v>6.88</v>
      </c>
    </row>
  </sheetData>
  <autoFilter ref="A1:O1785" xr:uid="{00000000-0009-0000-0000-000000000000}"/>
  <conditionalFormatting sqref="A1:N1">
    <cfRule type="cellIs" dxfId="24" priority="15" operator="notEqual">
      <formula>-13.345</formula>
    </cfRule>
  </conditionalFormatting>
  <conditionalFormatting sqref="A2:A1785">
    <cfRule type="cellIs" dxfId="23" priority="1" operator="notEqual">
      <formula>"None"</formula>
    </cfRule>
  </conditionalFormatting>
  <conditionalFormatting sqref="B2:B1785">
    <cfRule type="cellIs" dxfId="22" priority="2" operator="notEqual">
      <formula>"None"</formula>
    </cfRule>
  </conditionalFormatting>
  <conditionalFormatting sqref="C2:C1785">
    <cfRule type="cellIs" dxfId="21" priority="3" operator="notEqual">
      <formula>"None"</formula>
    </cfRule>
  </conditionalFormatting>
  <conditionalFormatting sqref="D2:D1785">
    <cfRule type="cellIs" dxfId="20" priority="4" operator="notEqual">
      <formula>"None"</formula>
    </cfRule>
  </conditionalFormatting>
  <conditionalFormatting sqref="E2:E1785">
    <cfRule type="cellIs" dxfId="19" priority="5" operator="notEqual">
      <formula>"None"</formula>
    </cfRule>
  </conditionalFormatting>
  <conditionalFormatting sqref="F2:F1785">
    <cfRule type="cellIs" dxfId="18" priority="6" operator="notEqual">
      <formula>"None"</formula>
    </cfRule>
  </conditionalFormatting>
  <conditionalFormatting sqref="G2:G1785">
    <cfRule type="cellIs" dxfId="17" priority="7" operator="notEqual">
      <formula>"None"</formula>
    </cfRule>
  </conditionalFormatting>
  <conditionalFormatting sqref="H2:H1785">
    <cfRule type="cellIs" dxfId="16" priority="8" operator="notEqual">
      <formula>"None"</formula>
    </cfRule>
  </conditionalFormatting>
  <conditionalFormatting sqref="I2:I1785">
    <cfRule type="cellIs" dxfId="15" priority="9" operator="notEqual">
      <formula>"None"</formula>
    </cfRule>
  </conditionalFormatting>
  <conditionalFormatting sqref="J2:J1785">
    <cfRule type="cellIs" dxfId="14" priority="10" operator="notEqual">
      <formula>"None"</formula>
    </cfRule>
  </conditionalFormatting>
  <conditionalFormatting sqref="K2:K1785">
    <cfRule type="cellIs" dxfId="13" priority="11" operator="notEqual">
      <formula>"None"</formula>
    </cfRule>
  </conditionalFormatting>
  <conditionalFormatting sqref="L2:L1785">
    <cfRule type="cellIs" dxfId="12" priority="12" operator="notEqual">
      <formula>"None"</formula>
    </cfRule>
  </conditionalFormatting>
  <conditionalFormatting sqref="M2:M1785">
    <cfRule type="cellIs" dxfId="11" priority="13" operator="notEqual">
      <formula>"None"</formula>
    </cfRule>
  </conditionalFormatting>
  <conditionalFormatting sqref="N2:N1785">
    <cfRule type="cellIs" dxfId="10" priority="14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8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25.7265625" customWidth="1"/>
    <col min="2" max="2" width="45.7265625" customWidth="1"/>
    <col min="3" max="9" width="25.7265625" customWidth="1"/>
  </cols>
  <sheetData>
    <row r="1" spans="1:9" x14ac:dyDescent="0.35">
      <c r="A1" s="1" t="s">
        <v>13</v>
      </c>
      <c r="B1" s="1" t="s">
        <v>0</v>
      </c>
      <c r="C1" s="1" t="s">
        <v>1810</v>
      </c>
      <c r="D1" s="1" t="s">
        <v>1811</v>
      </c>
      <c r="E1" s="1" t="s">
        <v>1812</v>
      </c>
      <c r="F1" s="1" t="s">
        <v>1813</v>
      </c>
      <c r="G1" s="1" t="s">
        <v>1814</v>
      </c>
      <c r="H1" s="1" t="s">
        <v>1815</v>
      </c>
      <c r="I1" s="1" t="s">
        <v>1816</v>
      </c>
    </row>
    <row r="2" spans="1:9" x14ac:dyDescent="0.35">
      <c r="A2" s="1" t="s">
        <v>14</v>
      </c>
      <c r="B2" t="str">
        <f>HYPERLINK("https://www.suredividend.com/sure-analysis-research-database/","Aadi Bioscience Inc")</f>
        <v>Aadi Bioscience Inc</v>
      </c>
      <c r="C2">
        <v>-0.236462093862815</v>
      </c>
      <c r="D2">
        <v>-0.26306620209059201</v>
      </c>
      <c r="E2">
        <v>-0.47713226205191511</v>
      </c>
      <c r="F2">
        <v>-0.67030397505845607</v>
      </c>
      <c r="G2">
        <v>-0.664551942902458</v>
      </c>
      <c r="H2">
        <v>-0.84454244762954811</v>
      </c>
      <c r="I2">
        <v>0.67857142857142805</v>
      </c>
    </row>
    <row r="3" spans="1:9" x14ac:dyDescent="0.35">
      <c r="A3" s="1" t="s">
        <v>15</v>
      </c>
      <c r="B3" t="str">
        <f>HYPERLINK("https://www.suredividend.com/sure-analysis-research-database/","Aarons Company Inc (The)")</f>
        <v>Aarons Company Inc (The)</v>
      </c>
      <c r="C3">
        <v>-3.8974358974358997E-2</v>
      </c>
      <c r="D3">
        <v>-0.35854869074105711</v>
      </c>
      <c r="E3">
        <v>-9.6222848103707001E-2</v>
      </c>
      <c r="F3">
        <v>-0.189432343120123</v>
      </c>
      <c r="G3">
        <v>0.10326150947839299</v>
      </c>
      <c r="H3">
        <v>-0.63513029392065501</v>
      </c>
      <c r="I3">
        <v>-0.64641509433962208</v>
      </c>
    </row>
    <row r="4" spans="1:9" x14ac:dyDescent="0.35">
      <c r="A4" s="1" t="s">
        <v>16</v>
      </c>
      <c r="B4" t="str">
        <f>HYPERLINK("https://www.suredividend.com/sure-analysis-research-database/","AAON Inc.")</f>
        <v>AAON Inc.</v>
      </c>
      <c r="C4">
        <v>-7.752956636005201E-2</v>
      </c>
      <c r="D4">
        <v>-0.150858666956971</v>
      </c>
      <c r="E4">
        <v>-0.113145066158809</v>
      </c>
      <c r="F4">
        <v>0.12545766808217201</v>
      </c>
      <c r="G4">
        <v>0.56822008695579307</v>
      </c>
      <c r="H4">
        <v>0.22192148023080699</v>
      </c>
      <c r="I4">
        <v>1.706284304418433</v>
      </c>
    </row>
    <row r="5" spans="1:9" x14ac:dyDescent="0.35">
      <c r="A5" s="1" t="s">
        <v>17</v>
      </c>
      <c r="B5" t="str">
        <f>HYPERLINK("https://www.suredividend.com/sure-analysis-AAT/","American Assets Trust Inc")</f>
        <v>American Assets Trust Inc</v>
      </c>
      <c r="C5">
        <v>-0.110841030627126</v>
      </c>
      <c r="D5">
        <v>-0.10606060606060599</v>
      </c>
      <c r="E5">
        <v>8.3139386832957005E-2</v>
      </c>
      <c r="F5">
        <v>-0.27664623294443302</v>
      </c>
      <c r="G5">
        <v>-0.22286287290047599</v>
      </c>
      <c r="H5">
        <v>-0.48970054433801902</v>
      </c>
      <c r="I5">
        <v>-0.38833113725595098</v>
      </c>
    </row>
    <row r="6" spans="1:9" x14ac:dyDescent="0.35">
      <c r="A6" s="1" t="s">
        <v>18</v>
      </c>
      <c r="B6" t="str">
        <f>HYPERLINK("https://www.suredividend.com/sure-analysis-research-database/","Ameris Bancorp")</f>
        <v>Ameris Bancorp</v>
      </c>
      <c r="C6">
        <v>-3.6170479585804001E-2</v>
      </c>
      <c r="D6">
        <v>4.0144725394611003E-2</v>
      </c>
      <c r="E6">
        <v>0.14572210002403299</v>
      </c>
      <c r="F6">
        <v>-0.184173927359851</v>
      </c>
      <c r="G6">
        <v>-0.22026563971966001</v>
      </c>
      <c r="H6">
        <v>-0.24646241516199199</v>
      </c>
      <c r="I6">
        <v>-6.1479801629825012E-2</v>
      </c>
    </row>
    <row r="7" spans="1:9" x14ac:dyDescent="0.35">
      <c r="A7" s="1" t="s">
        <v>19</v>
      </c>
      <c r="B7" t="str">
        <f>HYPERLINK("https://www.suredividend.com/sure-analysis-research-database/","AbCellera Biologics Inc")</f>
        <v>AbCellera Biologics Inc</v>
      </c>
      <c r="C7">
        <v>-0.202247191011236</v>
      </c>
      <c r="D7">
        <v>-0.40502793296089301</v>
      </c>
      <c r="E7">
        <v>-0.42276422764227611</v>
      </c>
      <c r="F7">
        <v>-0.579466929911155</v>
      </c>
      <c r="G7">
        <v>-0.58800773694390707</v>
      </c>
      <c r="H7">
        <v>-0.72569220862846107</v>
      </c>
      <c r="I7">
        <v>-0.92767402376910002</v>
      </c>
    </row>
    <row r="8" spans="1:9" x14ac:dyDescent="0.35">
      <c r="A8" s="1" t="s">
        <v>20</v>
      </c>
      <c r="B8" t="str">
        <f>HYPERLINK("https://www.suredividend.com/sure-analysis-research-database/","Asbury Automotive Group Inc")</f>
        <v>Asbury Automotive Group Inc</v>
      </c>
      <c r="C8">
        <v>-5.6545107271354013E-2</v>
      </c>
      <c r="D8">
        <v>-0.126860149634136</v>
      </c>
      <c r="E8">
        <v>1.9830028328610999E-2</v>
      </c>
      <c r="F8">
        <v>0.18493723849372301</v>
      </c>
      <c r="G8">
        <v>0.37538043126335502</v>
      </c>
      <c r="H8">
        <v>8.4033613445370012E-3</v>
      </c>
      <c r="I8">
        <v>2.5223880597014929</v>
      </c>
    </row>
    <row r="9" spans="1:9" x14ac:dyDescent="0.35">
      <c r="A9" s="1" t="s">
        <v>21</v>
      </c>
      <c r="B9" t="str">
        <f>HYPERLINK("https://www.suredividend.com/sure-analysis-ABM/","ABM Industries Inc.")</f>
        <v>ABM Industries Inc.</v>
      </c>
      <c r="C9">
        <v>9.192181214877701E-2</v>
      </c>
      <c r="D9">
        <v>4.2803989323278002E-2</v>
      </c>
      <c r="E9">
        <v>3.0503174829790002E-2</v>
      </c>
      <c r="F9">
        <v>1.2021054083251E-2</v>
      </c>
      <c r="G9">
        <v>0.136061635794585</v>
      </c>
      <c r="H9">
        <v>1.4123565071584999E-2</v>
      </c>
      <c r="I9">
        <v>0.55242383321404209</v>
      </c>
    </row>
    <row r="10" spans="1:9" x14ac:dyDescent="0.35">
      <c r="A10" s="1" t="s">
        <v>22</v>
      </c>
      <c r="B10" t="str">
        <f>HYPERLINK("https://www.suredividend.com/sure-analysis-ABR/","Arbor Realty Trust Inc.")</f>
        <v>Arbor Realty Trust Inc.</v>
      </c>
      <c r="C10">
        <v>-0.112289457267623</v>
      </c>
      <c r="D10">
        <v>-7.3042673910352005E-2</v>
      </c>
      <c r="E10">
        <v>0.46334440525282011</v>
      </c>
      <c r="F10">
        <v>0.21064139321598399</v>
      </c>
      <c r="G10">
        <v>0.35818730195090298</v>
      </c>
      <c r="H10">
        <v>-6.6928075432602999E-2</v>
      </c>
      <c r="I10">
        <v>1.0394123969903259</v>
      </c>
    </row>
    <row r="11" spans="1:9" x14ac:dyDescent="0.35">
      <c r="A11" s="1" t="s">
        <v>23</v>
      </c>
      <c r="B11" t="str">
        <f>HYPERLINK("https://www.suredividend.com/sure-analysis-research-database/","Absci Corp")</f>
        <v>Absci Corp</v>
      </c>
      <c r="C11">
        <v>-0.129870129870129</v>
      </c>
      <c r="D11">
        <v>-0.33</v>
      </c>
      <c r="E11">
        <v>-0.24929971988795499</v>
      </c>
      <c r="F11">
        <v>-0.36190476190476101</v>
      </c>
      <c r="G11">
        <v>-0.52482269503546009</v>
      </c>
      <c r="H11">
        <v>-0.87394167450611404</v>
      </c>
      <c r="I11">
        <v>-0.93793422880963406</v>
      </c>
    </row>
    <row r="12" spans="1:9" x14ac:dyDescent="0.35">
      <c r="A12" s="1" t="s">
        <v>24</v>
      </c>
      <c r="B12" t="str">
        <f>HYPERLINK("https://www.suredividend.com/sure-analysis-research-database/","Arbutus Biopharma Corp")</f>
        <v>Arbutus Biopharma Corp</v>
      </c>
      <c r="C12">
        <v>-8.8235294117647009E-2</v>
      </c>
      <c r="D12">
        <v>-0.16591928251120999</v>
      </c>
      <c r="E12">
        <v>-0.35191637630661998</v>
      </c>
      <c r="F12">
        <v>-0.201716738197424</v>
      </c>
      <c r="G12">
        <v>-0.150684931506849</v>
      </c>
      <c r="H12">
        <v>-0.54411764705882304</v>
      </c>
      <c r="I12">
        <v>-0.55072463768115909</v>
      </c>
    </row>
    <row r="13" spans="1:9" x14ac:dyDescent="0.35">
      <c r="A13" s="1" t="s">
        <v>25</v>
      </c>
      <c r="B13" t="str">
        <f>HYPERLINK("https://www.suredividend.com/sure-analysis-research-database/","Associated Capital Group Inc")</f>
        <v>Associated Capital Group Inc</v>
      </c>
      <c r="C13">
        <v>-5.8516483516483003E-2</v>
      </c>
      <c r="D13">
        <v>-5.5922865013773013E-2</v>
      </c>
      <c r="E13">
        <v>-6.916735702741901E-2</v>
      </c>
      <c r="F13">
        <v>-0.18155916918822201</v>
      </c>
      <c r="G13">
        <v>-0.12969057922431401</v>
      </c>
      <c r="H13">
        <v>-6.5894378194207001E-2</v>
      </c>
      <c r="I13">
        <v>-0.14769477176524401</v>
      </c>
    </row>
    <row r="14" spans="1:9" x14ac:dyDescent="0.35">
      <c r="A14" s="1" t="s">
        <v>26</v>
      </c>
      <c r="B14" t="str">
        <f>HYPERLINK("https://www.suredividend.com/sure-analysis-research-database/","Arcosa Inc")</f>
        <v>Arcosa Inc</v>
      </c>
      <c r="C14">
        <v>-8.6990280864280012E-2</v>
      </c>
      <c r="D14">
        <v>-9.6060174293382011E-2</v>
      </c>
      <c r="E14">
        <v>0.13991352034377899</v>
      </c>
      <c r="F14">
        <v>0.25887860127881401</v>
      </c>
      <c r="G14">
        <v>0.19343227271852301</v>
      </c>
      <c r="H14">
        <v>0.32013201320132001</v>
      </c>
      <c r="I14">
        <v>2.2476190476190481</v>
      </c>
    </row>
    <row r="15" spans="1:9" x14ac:dyDescent="0.35">
      <c r="A15" s="1" t="s">
        <v>27</v>
      </c>
      <c r="B15" t="str">
        <f>HYPERLINK("https://www.suredividend.com/sure-analysis-research-database/","Acadia Pharmaceuticals Inc")</f>
        <v>Acadia Pharmaceuticals Inc</v>
      </c>
      <c r="C15">
        <v>-6.3915857605176998E-2</v>
      </c>
      <c r="D15">
        <v>-0.280919825978868</v>
      </c>
      <c r="E15">
        <v>0.28627015008337903</v>
      </c>
      <c r="F15">
        <v>0.45351758793969799</v>
      </c>
      <c r="G15">
        <v>0.47201017811704798</v>
      </c>
      <c r="H15">
        <v>0.32153055396916003</v>
      </c>
      <c r="I15">
        <v>8.7406015037593002E-2</v>
      </c>
    </row>
    <row r="16" spans="1:9" x14ac:dyDescent="0.35">
      <c r="A16" s="1" t="s">
        <v>28</v>
      </c>
      <c r="B16" t="str">
        <f>HYPERLINK("https://www.suredividend.com/sure-analysis-research-database/","Accolade Inc")</f>
        <v>Accolade Inc</v>
      </c>
      <c r="C16">
        <v>-0.42600163532297602</v>
      </c>
      <c r="D16">
        <v>-0.47845468053491802</v>
      </c>
      <c r="E16">
        <v>-0.50943396226415105</v>
      </c>
      <c r="F16">
        <v>-9.8844672657252011E-2</v>
      </c>
      <c r="G16">
        <v>-0.32822966507176998</v>
      </c>
      <c r="H16">
        <v>-0.82450000000000001</v>
      </c>
      <c r="I16">
        <v>-0.76363636363636311</v>
      </c>
    </row>
    <row r="17" spans="1:9" x14ac:dyDescent="0.35">
      <c r="A17" s="1" t="s">
        <v>29</v>
      </c>
      <c r="B17" t="str">
        <f>HYPERLINK("https://www.suredividend.com/sure-analysis-research-database/","Acco Brands Corporation")</f>
        <v>Acco Brands Corporation</v>
      </c>
      <c r="C17">
        <v>-7.2566371681416011E-2</v>
      </c>
      <c r="D17">
        <v>-5.0913767184074997E-2</v>
      </c>
      <c r="E17">
        <v>5.9227814837275003E-2</v>
      </c>
      <c r="F17">
        <v>-2.2023142963792E-2</v>
      </c>
      <c r="G17">
        <v>0.207679365737859</v>
      </c>
      <c r="H17">
        <v>-0.34686144488208598</v>
      </c>
      <c r="I17">
        <v>-0.37710998050496802</v>
      </c>
    </row>
    <row r="18" spans="1:9" x14ac:dyDescent="0.35">
      <c r="A18" s="1" t="s">
        <v>30</v>
      </c>
      <c r="B18" t="str">
        <f>HYPERLINK("https://www.suredividend.com/sure-analysis-research-database/","Accel Entertainment Inc")</f>
        <v>Accel Entertainment Inc</v>
      </c>
      <c r="C18">
        <v>-5.0185873605947007E-2</v>
      </c>
      <c r="D18">
        <v>-5.8064516129031997E-2</v>
      </c>
      <c r="E18">
        <v>0.13303769401330301</v>
      </c>
      <c r="F18">
        <v>0.32727272727272699</v>
      </c>
      <c r="G18">
        <v>0.21666666666666601</v>
      </c>
      <c r="H18">
        <v>-0.15884773662551399</v>
      </c>
      <c r="I18">
        <v>-6.6666666666666E-2</v>
      </c>
    </row>
    <row r="19" spans="1:9" x14ac:dyDescent="0.35">
      <c r="A19" s="1" t="s">
        <v>31</v>
      </c>
      <c r="B19" t="str">
        <f>HYPERLINK("https://www.suredividend.com/sure-analysis-research-database/","Adicet Bio Inc")</f>
        <v>Adicet Bio Inc</v>
      </c>
      <c r="C19">
        <v>-0.19298245614035001</v>
      </c>
      <c r="D19">
        <v>-0.55194805194805208</v>
      </c>
      <c r="E19">
        <v>-0.75401069518716501</v>
      </c>
      <c r="F19">
        <v>-0.84563758389261712</v>
      </c>
      <c r="G19">
        <v>-0.91691751956652612</v>
      </c>
      <c r="H19">
        <v>-0.82835820895522305</v>
      </c>
      <c r="I19">
        <v>-0.87765957446808507</v>
      </c>
    </row>
    <row r="20" spans="1:9" x14ac:dyDescent="0.35">
      <c r="A20" s="1" t="s">
        <v>32</v>
      </c>
      <c r="B20" t="str">
        <f>HYPERLINK("https://www.suredividend.com/sure-analysis-research-database/","Archer Aviation Inc")</f>
        <v>Archer Aviation Inc</v>
      </c>
      <c r="C20">
        <v>-0.20775193798449601</v>
      </c>
      <c r="D20">
        <v>4.2857142857141997E-2</v>
      </c>
      <c r="E20">
        <v>1.3878504672897189</v>
      </c>
      <c r="F20">
        <v>1.7326203208556139</v>
      </c>
      <c r="G20">
        <v>0.8856088560885611</v>
      </c>
      <c r="H20">
        <v>-0.28028169014084497</v>
      </c>
      <c r="I20">
        <v>-0.48746238716148399</v>
      </c>
    </row>
    <row r="21" spans="1:9" x14ac:dyDescent="0.35">
      <c r="A21" s="1" t="s">
        <v>33</v>
      </c>
      <c r="B21" t="str">
        <f>HYPERLINK("https://www.suredividend.com/sure-analysis-research-database/","ACI Worldwide Inc")</f>
        <v>ACI Worldwide Inc</v>
      </c>
      <c r="C21">
        <v>-0.13933729821580201</v>
      </c>
      <c r="D21">
        <v>-0.15933609958506201</v>
      </c>
      <c r="E21">
        <v>-0.22345726331927901</v>
      </c>
      <c r="F21">
        <v>-0.119130434782608</v>
      </c>
      <c r="G21">
        <v>-6.2471078204534007E-2</v>
      </c>
      <c r="H21">
        <v>-0.35064102564102501</v>
      </c>
      <c r="I21">
        <v>-0.21289821289821201</v>
      </c>
    </row>
    <row r="22" spans="1:9" x14ac:dyDescent="0.35">
      <c r="A22" s="1" t="s">
        <v>34</v>
      </c>
      <c r="B22" t="str">
        <f>HYPERLINK("https://www.suredividend.com/sure-analysis-research-database/","Axcelis Technologies Inc")</f>
        <v>Axcelis Technologies Inc</v>
      </c>
      <c r="C22">
        <v>-4.1250672565313E-2</v>
      </c>
      <c r="D22">
        <v>-0.108312482624409</v>
      </c>
      <c r="E22">
        <v>0.25603070175438503</v>
      </c>
      <c r="F22">
        <v>1.020791330645161</v>
      </c>
      <c r="G22">
        <v>2.101334364726358</v>
      </c>
      <c r="H22">
        <v>2.2483289447032608</v>
      </c>
      <c r="I22">
        <v>8.4058651026392965</v>
      </c>
    </row>
    <row r="23" spans="1:9" x14ac:dyDescent="0.35">
      <c r="A23" s="1" t="s">
        <v>35</v>
      </c>
      <c r="B23" t="str">
        <f>HYPERLINK("https://www.suredividend.com/sure-analysis-research-database/","Arcellx Inc")</f>
        <v>Arcellx Inc</v>
      </c>
      <c r="C23">
        <v>2.117362371445E-3</v>
      </c>
      <c r="D23">
        <v>-6.8944844124690001E-3</v>
      </c>
      <c r="E23">
        <v>6.8365043534343001E-2</v>
      </c>
      <c r="F23">
        <v>6.9399612653324005E-2</v>
      </c>
      <c r="G23">
        <v>0.71658031088082907</v>
      </c>
      <c r="H23">
        <v>0.97202380952380907</v>
      </c>
      <c r="I23">
        <v>0.97202380952380907</v>
      </c>
    </row>
    <row r="24" spans="1:9" x14ac:dyDescent="0.35">
      <c r="A24" s="1" t="s">
        <v>36</v>
      </c>
      <c r="B24" t="str">
        <f>HYPERLINK("https://www.suredividend.com/sure-analysis-research-database/","ACM Research Inc")</f>
        <v>ACM Research Inc</v>
      </c>
      <c r="C24">
        <v>0.22422680412371099</v>
      </c>
      <c r="D24">
        <v>0.42535633908477111</v>
      </c>
      <c r="E24">
        <v>0.80094786729857803</v>
      </c>
      <c r="F24">
        <v>1.464332036316472</v>
      </c>
      <c r="G24">
        <v>1.3809523809523809</v>
      </c>
      <c r="H24">
        <v>-0.45879276605320302</v>
      </c>
      <c r="I24">
        <v>4.3321359414026324</v>
      </c>
    </row>
    <row r="25" spans="1:9" x14ac:dyDescent="0.35">
      <c r="A25" s="1" t="s">
        <v>37</v>
      </c>
      <c r="B25" t="str">
        <f>HYPERLINK("https://www.suredividend.com/sure-analysis-research-database/","ACNB Corp.")</f>
        <v>ACNB Corp.</v>
      </c>
      <c r="C25">
        <v>-9.0307043949420015E-3</v>
      </c>
      <c r="D25">
        <v>6.2820024407410011E-2</v>
      </c>
      <c r="E25">
        <v>0.107597066146289</v>
      </c>
      <c r="F25">
        <v>-0.137208034553612</v>
      </c>
      <c r="G25">
        <v>9.1797917889632014E-2</v>
      </c>
      <c r="H25">
        <v>0.287803809426943</v>
      </c>
      <c r="I25">
        <v>9.6470776322626003E-2</v>
      </c>
    </row>
    <row r="26" spans="1:9" x14ac:dyDescent="0.35">
      <c r="A26" s="1" t="s">
        <v>38</v>
      </c>
      <c r="B26" t="str">
        <f>HYPERLINK("https://www.suredividend.com/sure-analysis-ACRE/","Ares Commercial Real Estate Corp")</f>
        <v>Ares Commercial Real Estate Corp</v>
      </c>
      <c r="C26">
        <v>-8.5176303401723011E-2</v>
      </c>
      <c r="D26">
        <v>-9.6376733894158004E-2</v>
      </c>
      <c r="E26">
        <v>0.14441618725463501</v>
      </c>
      <c r="F26">
        <v>-8.2994707740000008E-4</v>
      </c>
      <c r="G26">
        <v>-1.8839966130398001E-2</v>
      </c>
      <c r="H26">
        <v>-0.31079604172397601</v>
      </c>
      <c r="I26">
        <v>3.7376902417188003E-2</v>
      </c>
    </row>
    <row r="27" spans="1:9" x14ac:dyDescent="0.35">
      <c r="A27" s="1" t="s">
        <v>39</v>
      </c>
      <c r="B27" t="str">
        <f>HYPERLINK("https://www.suredividend.com/sure-analysis-research-database/","Aclaris Therapeutics Inc")</f>
        <v>Aclaris Therapeutics Inc</v>
      </c>
      <c r="C27">
        <v>-0.295364238410596</v>
      </c>
      <c r="D27">
        <v>-0.51415525114155203</v>
      </c>
      <c r="E27">
        <v>-0.39819004524886797</v>
      </c>
      <c r="F27">
        <v>-0.66222222222222205</v>
      </c>
      <c r="G27">
        <v>-0.661577608142493</v>
      </c>
      <c r="H27">
        <v>-0.68352171326591304</v>
      </c>
      <c r="I27">
        <v>-0.60328113348247503</v>
      </c>
    </row>
    <row r="28" spans="1:9" x14ac:dyDescent="0.35">
      <c r="A28" s="1" t="s">
        <v>40</v>
      </c>
      <c r="B28" t="str">
        <f>HYPERLINK("https://www.suredividend.com/sure-analysis-research-database/","Acrivon Therapeutics Inc")</f>
        <v>Acrivon Therapeutics Inc</v>
      </c>
      <c r="C28">
        <v>-0.42559241706161111</v>
      </c>
      <c r="D28">
        <v>-0.51168412570507604</v>
      </c>
      <c r="E28">
        <v>-0.27684964200477302</v>
      </c>
      <c r="F28">
        <v>-0.47395833333333298</v>
      </c>
      <c r="G28">
        <v>-0.63581730769230704</v>
      </c>
      <c r="H28">
        <v>-0.63581730769230704</v>
      </c>
      <c r="I28">
        <v>-0.63581730769230704</v>
      </c>
    </row>
    <row r="29" spans="1:9" x14ac:dyDescent="0.35">
      <c r="A29" s="1" t="s">
        <v>41</v>
      </c>
      <c r="B29" t="str">
        <f>HYPERLINK("https://www.suredividend.com/sure-analysis-research-database/","Enact Holdings Inc")</f>
        <v>Enact Holdings Inc</v>
      </c>
      <c r="C29">
        <v>8.3363537513590005E-3</v>
      </c>
      <c r="D29">
        <v>6.1953658815895013E-2</v>
      </c>
      <c r="E29">
        <v>0.150975557283995</v>
      </c>
      <c r="F29">
        <v>0.18070468801724801</v>
      </c>
      <c r="G29">
        <v>0.23054874866196601</v>
      </c>
      <c r="H29">
        <v>0.41943844933237401</v>
      </c>
      <c r="I29">
        <v>0.49356296908721897</v>
      </c>
    </row>
    <row r="30" spans="1:9" x14ac:dyDescent="0.35">
      <c r="A30" s="1" t="s">
        <v>42</v>
      </c>
      <c r="B30" t="str">
        <f>HYPERLINK("https://www.suredividend.com/sure-analysis-research-database/","ACV Auctions Inc")</f>
        <v>ACV Auctions Inc</v>
      </c>
      <c r="C30">
        <v>-0.116666666666666</v>
      </c>
      <c r="D30">
        <v>-0.206221198156682</v>
      </c>
      <c r="E30">
        <v>0.15025041736226999</v>
      </c>
      <c r="F30">
        <v>0.67844092570036507</v>
      </c>
      <c r="G30">
        <v>0.6230859835100111</v>
      </c>
      <c r="H30">
        <v>-0.33236434108527102</v>
      </c>
      <c r="I30">
        <v>-0.55904000000000009</v>
      </c>
    </row>
    <row r="31" spans="1:9" x14ac:dyDescent="0.35">
      <c r="A31" s="1" t="s">
        <v>43</v>
      </c>
      <c r="B31" t="str">
        <f>HYPERLINK("https://www.suredividend.com/sure-analysis-ADC/","Agree Realty Corp.")</f>
        <v>Agree Realty Corp.</v>
      </c>
      <c r="C31">
        <v>-7.2768268069618003E-2</v>
      </c>
      <c r="D31">
        <v>-0.15199389559175799</v>
      </c>
      <c r="E31">
        <v>-0.14997716241010101</v>
      </c>
      <c r="F31">
        <v>-0.19978427699999199</v>
      </c>
      <c r="G31">
        <v>-9.6574387801615008E-2</v>
      </c>
      <c r="H31">
        <v>-0.14055993537762099</v>
      </c>
      <c r="I31">
        <v>0.28069348735869198</v>
      </c>
    </row>
    <row r="32" spans="1:9" x14ac:dyDescent="0.35">
      <c r="A32" s="1" t="s">
        <v>44</v>
      </c>
      <c r="B32" t="str">
        <f>HYPERLINK("https://www.suredividend.com/sure-analysis-research-database/","Adeia Inc")</f>
        <v>Adeia Inc</v>
      </c>
      <c r="C32">
        <v>-0.15075376884422101</v>
      </c>
      <c r="D32">
        <v>-0.25572300564593498</v>
      </c>
      <c r="E32">
        <v>8.4028223220012008E-2</v>
      </c>
      <c r="F32">
        <v>-8.4437606319005001E-2</v>
      </c>
      <c r="G32">
        <v>-0.16298512193672299</v>
      </c>
      <c r="H32">
        <v>-0.540780835615842</v>
      </c>
      <c r="I32">
        <v>-0.30480139533353001</v>
      </c>
    </row>
    <row r="33" spans="1:9" x14ac:dyDescent="0.35">
      <c r="A33" s="1" t="s">
        <v>45</v>
      </c>
      <c r="B33" t="str">
        <f>HYPERLINK("https://www.suredividend.com/sure-analysis-research-database/","Adma Biologics Inc")</f>
        <v>Adma Biologics Inc</v>
      </c>
      <c r="C33">
        <v>-0.13941018766756</v>
      </c>
      <c r="D33">
        <v>-0.10084033613445301</v>
      </c>
      <c r="E33">
        <v>9.4339622641500011E-3</v>
      </c>
      <c r="F33">
        <v>-0.17268041237113299</v>
      </c>
      <c r="G33">
        <v>0.225190839694656</v>
      </c>
      <c r="H33">
        <v>1.918181818181818</v>
      </c>
      <c r="I33">
        <v>-0.40111940298507398</v>
      </c>
    </row>
    <row r="34" spans="1:9" x14ac:dyDescent="0.35">
      <c r="A34" s="1" t="s">
        <v>46</v>
      </c>
      <c r="B34" t="str">
        <f>HYPERLINK("https://www.suredividend.com/sure-analysis-research-database/","Adient plc")</f>
        <v>Adient plc</v>
      </c>
      <c r="C34">
        <v>-7.381324986958801E-2</v>
      </c>
      <c r="D34">
        <v>-0.14741896758703399</v>
      </c>
      <c r="E34">
        <v>-8.4321815368746E-2</v>
      </c>
      <c r="F34">
        <v>2.3637936004612E-2</v>
      </c>
      <c r="G34">
        <v>0.19763912310286599</v>
      </c>
      <c r="H34">
        <v>-0.22753969980422001</v>
      </c>
      <c r="I34">
        <v>0.134573664216038</v>
      </c>
    </row>
    <row r="35" spans="1:9" x14ac:dyDescent="0.35">
      <c r="A35" s="1" t="s">
        <v>47</v>
      </c>
      <c r="B35" t="str">
        <f>HYPERLINK("https://www.suredividend.com/sure-analysis-research-database/","Adaptive Biotechnologies Corp")</f>
        <v>Adaptive Biotechnologies Corp</v>
      </c>
      <c r="C35">
        <v>-0.29290429042904198</v>
      </c>
      <c r="D35">
        <v>-0.40237099023709899</v>
      </c>
      <c r="E35">
        <v>-0.45828065739570112</v>
      </c>
      <c r="F35">
        <v>-0.43913612565444998</v>
      </c>
      <c r="G35">
        <v>-0.31549520766773098</v>
      </c>
      <c r="H35">
        <v>-0.87208955223880502</v>
      </c>
      <c r="I35">
        <v>-0.89367245657568206</v>
      </c>
    </row>
    <row r="36" spans="1:9" x14ac:dyDescent="0.35">
      <c r="A36" s="1" t="s">
        <v>48</v>
      </c>
      <c r="B36" t="str">
        <f>HYPERLINK("https://www.suredividend.com/sure-analysis-research-database/","AdTheorent Holding Company Inc")</f>
        <v>AdTheorent Holding Company Inc</v>
      </c>
      <c r="C36">
        <v>-8.474576271186E-3</v>
      </c>
      <c r="D36">
        <v>-0.15827338129496399</v>
      </c>
      <c r="E36">
        <v>-0.22</v>
      </c>
      <c r="F36">
        <v>-0.29518072289156599</v>
      </c>
      <c r="G36">
        <v>-0.39378238341968902</v>
      </c>
      <c r="H36">
        <v>-0.8854064642507341</v>
      </c>
      <c r="I36">
        <v>-0.8854064642507341</v>
      </c>
    </row>
    <row r="37" spans="1:9" x14ac:dyDescent="0.35">
      <c r="A37" s="1" t="s">
        <v>49</v>
      </c>
      <c r="B37" t="str">
        <f>HYPERLINK("https://www.suredividend.com/sure-analysis-research-database/","ADTRAN Holdings Inc")</f>
        <v>ADTRAN Holdings Inc</v>
      </c>
      <c r="C37">
        <v>-0.114077669902912</v>
      </c>
      <c r="D37">
        <v>-0.28405401959534299</v>
      </c>
      <c r="E37">
        <v>-0.270547089682738</v>
      </c>
      <c r="F37">
        <v>-0.59681650732634106</v>
      </c>
      <c r="G37">
        <v>-0.60537554193290299</v>
      </c>
      <c r="H37">
        <v>-0.61972036423496002</v>
      </c>
      <c r="I37">
        <v>-0.61972036423496002</v>
      </c>
    </row>
    <row r="38" spans="1:9" x14ac:dyDescent="0.35">
      <c r="A38" s="1" t="s">
        <v>50</v>
      </c>
      <c r="B38" t="str">
        <f>HYPERLINK("https://www.suredividend.com/sure-analysis-research-database/","Addus HomeCare Corporation")</f>
        <v>Addus HomeCare Corporation</v>
      </c>
      <c r="C38">
        <v>-4.0062186079885001E-2</v>
      </c>
      <c r="D38">
        <v>-0.110581717451523</v>
      </c>
      <c r="E38">
        <v>-0.27795268507690901</v>
      </c>
      <c r="F38">
        <v>-0.193185244748215</v>
      </c>
      <c r="G38">
        <v>-0.21496332518337399</v>
      </c>
      <c r="H38">
        <v>4.2467532467532002E-2</v>
      </c>
      <c r="I38">
        <v>0.27210776545166399</v>
      </c>
    </row>
    <row r="39" spans="1:9" x14ac:dyDescent="0.35">
      <c r="A39" s="1" t="s">
        <v>51</v>
      </c>
      <c r="B39" t="str">
        <f>HYPERLINK("https://www.suredividend.com/sure-analysis-research-database/","Advantage Solutions Inc.")</f>
        <v>Advantage Solutions Inc.</v>
      </c>
      <c r="C39">
        <v>3.4965034965029999E-3</v>
      </c>
      <c r="D39">
        <v>0.13888888888888801</v>
      </c>
      <c r="E39">
        <v>1.1259259259259251</v>
      </c>
      <c r="F39">
        <v>0.37980769230769201</v>
      </c>
      <c r="G39">
        <v>0.16666666666666599</v>
      </c>
      <c r="H39">
        <v>-0.67497168742921809</v>
      </c>
      <c r="I39">
        <v>-0.71010101010101001</v>
      </c>
    </row>
    <row r="40" spans="1:9" x14ac:dyDescent="0.35">
      <c r="A40" s="1" t="s">
        <v>52</v>
      </c>
      <c r="B40" t="str">
        <f>HYPERLINK("https://www.suredividend.com/sure-analysis-research-database/","Advanced Energy Industries Inc.")</f>
        <v>Advanced Energy Industries Inc.</v>
      </c>
      <c r="C40">
        <v>-8.9118378275004004E-2</v>
      </c>
      <c r="D40">
        <v>-0.18220457934529999</v>
      </c>
      <c r="E40">
        <v>4.8333846898798001E-2</v>
      </c>
      <c r="F40">
        <v>0.115094986754881</v>
      </c>
      <c r="G40">
        <v>0.35390387936241702</v>
      </c>
      <c r="H40">
        <v>8.7747143892983007E-2</v>
      </c>
      <c r="I40">
        <v>1.058994538023097</v>
      </c>
    </row>
    <row r="41" spans="1:9" x14ac:dyDescent="0.35">
      <c r="A41" s="1" t="s">
        <v>53</v>
      </c>
      <c r="B41" t="str">
        <f>HYPERLINK("https://www.suredividend.com/sure-analysis-AEL/","American Equity Investment Life Holding Co")</f>
        <v>American Equity Investment Life Holding Co</v>
      </c>
      <c r="C41">
        <v>-1.2229016120065999E-2</v>
      </c>
      <c r="D41">
        <v>-1.311352566504E-3</v>
      </c>
      <c r="E41">
        <v>0.44159004867495899</v>
      </c>
      <c r="F41">
        <v>0.16856641823761501</v>
      </c>
      <c r="G41">
        <v>0.36168582375478903</v>
      </c>
      <c r="H41">
        <v>0.66697936210131303</v>
      </c>
      <c r="I41">
        <v>0.66956881216646202</v>
      </c>
    </row>
    <row r="42" spans="1:9" x14ac:dyDescent="0.35">
      <c r="A42" s="1" t="s">
        <v>54</v>
      </c>
      <c r="B42" t="str">
        <f>HYPERLINK("https://www.suredividend.com/sure-analysis-research-database/","American Eagle Outfitters Inc.")</f>
        <v>American Eagle Outfitters Inc.</v>
      </c>
      <c r="C42">
        <v>9.7832401067808009E-2</v>
      </c>
      <c r="D42">
        <v>0.36432951559001903</v>
      </c>
      <c r="E42">
        <v>0.25160915862397298</v>
      </c>
      <c r="F42">
        <v>0.23101694295019501</v>
      </c>
      <c r="G42">
        <v>0.74112873172953508</v>
      </c>
      <c r="H42">
        <v>-0.27511560656274597</v>
      </c>
      <c r="I42">
        <v>-0.12824446471515</v>
      </c>
    </row>
    <row r="43" spans="1:9" x14ac:dyDescent="0.35">
      <c r="A43" s="1" t="s">
        <v>55</v>
      </c>
      <c r="B43" t="str">
        <f>HYPERLINK("https://www.suredividend.com/sure-analysis-research-database/","Aeva Technologies Inc")</f>
        <v>Aeva Technologies Inc</v>
      </c>
      <c r="C43">
        <v>-0.15538876509909699</v>
      </c>
      <c r="D43">
        <v>-0.44170542635658899</v>
      </c>
      <c r="E43">
        <v>-0.31409523809523798</v>
      </c>
      <c r="F43">
        <v>-0.47044117647058797</v>
      </c>
      <c r="G43">
        <v>-0.61070270270270199</v>
      </c>
      <c r="H43">
        <v>-0.90610169491525405</v>
      </c>
      <c r="I43">
        <v>-0.92688324873096406</v>
      </c>
    </row>
    <row r="44" spans="1:9" x14ac:dyDescent="0.35">
      <c r="A44" s="1" t="s">
        <v>56</v>
      </c>
      <c r="B44" t="str">
        <f>HYPERLINK("https://www.suredividend.com/sure-analysis-research-database/","AFC Gamma Inc")</f>
        <v>AFC Gamma Inc</v>
      </c>
      <c r="C44">
        <v>-4.3038186456982E-2</v>
      </c>
      <c r="D44">
        <v>-2.4939058691168001E-2</v>
      </c>
      <c r="E44">
        <v>0.10401266140394801</v>
      </c>
      <c r="F44">
        <v>-0.14686076081525501</v>
      </c>
      <c r="G44">
        <v>-0.13230129775566399</v>
      </c>
      <c r="H44">
        <v>-0.35221571669629997</v>
      </c>
      <c r="I44">
        <v>-0.29551444688031098</v>
      </c>
    </row>
    <row r="45" spans="1:9" x14ac:dyDescent="0.35">
      <c r="A45" s="1" t="s">
        <v>57</v>
      </c>
      <c r="B45" t="str">
        <f>HYPERLINK("https://www.suredividend.com/sure-analysis-research-database/","Affimed N.V.")</f>
        <v>Affimed N.V.</v>
      </c>
      <c r="C45">
        <v>-0.22182890855457199</v>
      </c>
      <c r="D45">
        <v>-0.36392862883780702</v>
      </c>
      <c r="E45">
        <v>-0.47810604062252698</v>
      </c>
      <c r="F45">
        <v>-0.68088709677419301</v>
      </c>
      <c r="G45">
        <v>-0.73967105263157906</v>
      </c>
      <c r="H45">
        <v>-0.93304568527918808</v>
      </c>
      <c r="I45">
        <v>-0.88530434782608602</v>
      </c>
    </row>
    <row r="46" spans="1:9" x14ac:dyDescent="0.35">
      <c r="A46" s="1" t="s">
        <v>58</v>
      </c>
      <c r="B46" t="str">
        <f>HYPERLINK("https://www.suredividend.com/sure-analysis-research-database/","Agenus Inc")</f>
        <v>Agenus Inc</v>
      </c>
      <c r="C46">
        <v>-0.19847328244274801</v>
      </c>
      <c r="D46">
        <v>-0.40340909090909011</v>
      </c>
      <c r="E46">
        <v>-0.247689331518234</v>
      </c>
      <c r="F46">
        <v>-0.54547422189515604</v>
      </c>
      <c r="G46">
        <v>-0.55292514689602301</v>
      </c>
      <c r="H46">
        <v>-0.79456477079297905</v>
      </c>
      <c r="I46">
        <v>-0.44905026760415512</v>
      </c>
    </row>
    <row r="47" spans="1:9" x14ac:dyDescent="0.35">
      <c r="A47" s="1" t="s">
        <v>59</v>
      </c>
      <c r="B47" t="str">
        <f>HYPERLINK("https://www.suredividend.com/sure-analysis-research-database/","Agios Pharmaceuticals Inc")</f>
        <v>Agios Pharmaceuticals Inc</v>
      </c>
      <c r="C47">
        <v>-0.11383671904944399</v>
      </c>
      <c r="D47">
        <v>-0.15062454077883899</v>
      </c>
      <c r="E47">
        <v>5.3783044667274002E-2</v>
      </c>
      <c r="F47">
        <v>-0.17663817663817599</v>
      </c>
      <c r="G47">
        <v>-0.142751205042639</v>
      </c>
      <c r="H47">
        <v>-0.50043215211754499</v>
      </c>
      <c r="I47">
        <v>-0.6476146928821821</v>
      </c>
    </row>
    <row r="48" spans="1:9" x14ac:dyDescent="0.35">
      <c r="A48" s="1" t="s">
        <v>60</v>
      </c>
      <c r="B48" t="str">
        <f>HYPERLINK("https://www.suredividend.com/sure-analysis-AGM/","Federal Agricultural Mortgage Corp.")</f>
        <v>Federal Agricultural Mortgage Corp.</v>
      </c>
      <c r="C48">
        <v>-0.119038995533019</v>
      </c>
      <c r="D48">
        <v>-2.0396875526501001E-2</v>
      </c>
      <c r="E48">
        <v>0.12932269270026001</v>
      </c>
      <c r="F48">
        <v>0.32437349982531011</v>
      </c>
      <c r="G48">
        <v>0.43476367297140811</v>
      </c>
      <c r="H48">
        <v>0.31845218736222802</v>
      </c>
      <c r="I48">
        <v>1.5139226943794171</v>
      </c>
    </row>
    <row r="49" spans="1:9" x14ac:dyDescent="0.35">
      <c r="A49" s="1" t="s">
        <v>61</v>
      </c>
      <c r="B49" t="str">
        <f>HYPERLINK("https://www.suredividend.com/sure-analysis-research-database/","Agiliti Inc")</f>
        <v>Agiliti Inc</v>
      </c>
      <c r="C49">
        <v>-0.30551989730423601</v>
      </c>
      <c r="D49">
        <v>-0.66992068334350208</v>
      </c>
      <c r="E49">
        <v>-0.66208619612742003</v>
      </c>
      <c r="F49">
        <v>-0.66830165542611908</v>
      </c>
      <c r="G49">
        <v>-0.67251815980629503</v>
      </c>
      <c r="H49">
        <v>-0.72041343669250602</v>
      </c>
      <c r="I49">
        <v>-0.67012195121951201</v>
      </c>
    </row>
    <row r="50" spans="1:9" x14ac:dyDescent="0.35">
      <c r="A50" s="1" t="s">
        <v>62</v>
      </c>
      <c r="B50" t="str">
        <f>HYPERLINK("https://www.suredividend.com/sure-analysis-research-database/","Argan, Inc.")</f>
        <v>Argan, Inc.</v>
      </c>
      <c r="C50">
        <v>4.0108769544527002E-2</v>
      </c>
      <c r="D50">
        <v>0.14375135493420299</v>
      </c>
      <c r="E50">
        <v>0.19364947273980199</v>
      </c>
      <c r="F50">
        <v>0.26909167321027599</v>
      </c>
      <c r="G50">
        <v>0.44296968820537302</v>
      </c>
      <c r="H50">
        <v>9.0802797588351011E-2</v>
      </c>
      <c r="I50">
        <v>0.24933654513534401</v>
      </c>
    </row>
    <row r="51" spans="1:9" x14ac:dyDescent="0.35">
      <c r="A51" s="1" t="s">
        <v>63</v>
      </c>
      <c r="B51" t="str">
        <f>HYPERLINK("https://www.suredividend.com/sure-analysis-research-database/","Agilysys, Inc")</f>
        <v>Agilysys, Inc</v>
      </c>
      <c r="C51">
        <v>-3.3585344576911001E-2</v>
      </c>
      <c r="D51">
        <v>-5.3403588721162007E-2</v>
      </c>
      <c r="E51">
        <v>-0.206707244301229</v>
      </c>
      <c r="F51">
        <v>-0.160096032347738</v>
      </c>
      <c r="G51">
        <v>0.25652173913043402</v>
      </c>
      <c r="H51">
        <v>0.243359521137298</v>
      </c>
      <c r="I51">
        <v>3.274598070739549</v>
      </c>
    </row>
    <row r="52" spans="1:9" x14ac:dyDescent="0.35">
      <c r="A52" s="1" t="s">
        <v>64</v>
      </c>
      <c r="B52" t="str">
        <f>HYPERLINK("https://www.suredividend.com/sure-analysis-research-database/","AdaptHealth Corp")</f>
        <v>AdaptHealth Corp</v>
      </c>
      <c r="C52">
        <v>-0.23613963039014299</v>
      </c>
      <c r="D52">
        <v>-0.44311377245508898</v>
      </c>
      <c r="E52">
        <v>-0.37740585774058499</v>
      </c>
      <c r="F52">
        <v>-0.61290322580645107</v>
      </c>
      <c r="G52">
        <v>-0.640058055152394</v>
      </c>
      <c r="H52">
        <v>-0.70546318289786203</v>
      </c>
      <c r="I52">
        <v>-0.68218709953011503</v>
      </c>
    </row>
    <row r="53" spans="1:9" x14ac:dyDescent="0.35">
      <c r="A53" s="1" t="s">
        <v>65</v>
      </c>
      <c r="B53" t="str">
        <f>HYPERLINK("https://www.suredividend.com/sure-analysis-research-database/","Armada Hoffler Properties Inc")</f>
        <v>Armada Hoffler Properties Inc</v>
      </c>
      <c r="C53">
        <v>-6.876726379529001E-2</v>
      </c>
      <c r="D53">
        <v>-0.147123292186495</v>
      </c>
      <c r="E53">
        <v>-8.7679709467857012E-2</v>
      </c>
      <c r="F53">
        <v>-5.2032862860754002E-2</v>
      </c>
      <c r="G53">
        <v>3.7614789268957012E-2</v>
      </c>
      <c r="H53">
        <v>-0.13965802445532399</v>
      </c>
      <c r="I53">
        <v>-7.3452396938364001E-2</v>
      </c>
    </row>
    <row r="54" spans="1:9" x14ac:dyDescent="0.35">
      <c r="A54" s="1" t="s">
        <v>66</v>
      </c>
      <c r="B54" t="str">
        <f>HYPERLINK("https://www.suredividend.com/sure-analysis-research-database/","Ashford Hospitality Trust Inc")</f>
        <v>Ashford Hospitality Trust Inc</v>
      </c>
      <c r="C54">
        <v>-0.23611111111111099</v>
      </c>
      <c r="D54">
        <v>-0.42708333333333298</v>
      </c>
      <c r="E54">
        <v>-0.29487179487179399</v>
      </c>
      <c r="F54">
        <v>-0.50782997762863502</v>
      </c>
      <c r="G54">
        <v>-0.69904240766073811</v>
      </c>
      <c r="H54">
        <v>-0.84386089425124211</v>
      </c>
      <c r="I54">
        <v>-0.99542823323657803</v>
      </c>
    </row>
    <row r="55" spans="1:9" x14ac:dyDescent="0.35">
      <c r="A55" s="1" t="s">
        <v>67</v>
      </c>
      <c r="B55" t="str">
        <f>HYPERLINK("https://www.suredividend.com/sure-analysis-research-database/","C3.ai Inc")</f>
        <v>C3.ai Inc</v>
      </c>
      <c r="C55">
        <v>-9.5394736842105005E-2</v>
      </c>
      <c r="D55">
        <v>-0.33521353746978211</v>
      </c>
      <c r="E55">
        <v>0.130653266331658</v>
      </c>
      <c r="F55">
        <v>1.211796246648793</v>
      </c>
      <c r="G55">
        <v>1.1135781383432961</v>
      </c>
      <c r="H55">
        <v>-0.45364238410595997</v>
      </c>
      <c r="I55">
        <v>-0.73240350308141411</v>
      </c>
    </row>
    <row r="56" spans="1:9" x14ac:dyDescent="0.35">
      <c r="A56" s="1" t="s">
        <v>68</v>
      </c>
      <c r="B56" t="str">
        <f>HYPERLINK("https://www.suredividend.com/sure-analysis-research-database/","Albany International Corp.")</f>
        <v>Albany International Corp.</v>
      </c>
      <c r="C56">
        <v>-1.076401076401E-2</v>
      </c>
      <c r="D56">
        <v>-9.3083622945896005E-2</v>
      </c>
      <c r="E56">
        <v>-5.4483236787367002E-2</v>
      </c>
      <c r="F56">
        <v>-0.13521264768123401</v>
      </c>
      <c r="G56">
        <v>2.6007562482707001E-2</v>
      </c>
      <c r="H56">
        <v>7.5117048520776011E-2</v>
      </c>
      <c r="I56">
        <v>0.27850939866962399</v>
      </c>
    </row>
    <row r="57" spans="1:9" x14ac:dyDescent="0.35">
      <c r="A57" s="1" t="s">
        <v>69</v>
      </c>
      <c r="B57" t="str">
        <f>HYPERLINK("https://www.suredividend.com/sure-analysis-research-database/","Arteris Inc")</f>
        <v>Arteris Inc</v>
      </c>
      <c r="C57">
        <v>-9.0076335877862013E-2</v>
      </c>
      <c r="D57">
        <v>-0.20744680851063799</v>
      </c>
      <c r="E57">
        <v>0.50125944584382809</v>
      </c>
      <c r="F57">
        <v>0.38604651162790699</v>
      </c>
      <c r="G57">
        <v>3.2928942807624997E-2</v>
      </c>
      <c r="H57">
        <v>-0.67252747252747203</v>
      </c>
      <c r="I57">
        <v>-0.67252747252747203</v>
      </c>
    </row>
    <row r="58" spans="1:9" x14ac:dyDescent="0.35">
      <c r="A58" s="1" t="s">
        <v>70</v>
      </c>
      <c r="B58" t="str">
        <f>HYPERLINK("https://www.suredividend.com/sure-analysis-research-database/","AAR Corp.")</f>
        <v>AAR Corp.</v>
      </c>
      <c r="C58">
        <v>-2.7466086082733002E-2</v>
      </c>
      <c r="D58">
        <v>-4.6280425094270003E-3</v>
      </c>
      <c r="E58">
        <v>7.2787733234805002E-2</v>
      </c>
      <c r="F58">
        <v>0.29331848552338502</v>
      </c>
      <c r="G58">
        <v>0.51342194422726106</v>
      </c>
      <c r="H58">
        <v>0.71601654846335605</v>
      </c>
      <c r="I58">
        <v>0.33430145056742799</v>
      </c>
    </row>
    <row r="59" spans="1:9" x14ac:dyDescent="0.35">
      <c r="A59" s="1" t="s">
        <v>71</v>
      </c>
      <c r="B59" t="str">
        <f>HYPERLINK("https://www.suredividend.com/sure-analysis-research-database/","Airsculpt Technologies Inc")</f>
        <v>Airsculpt Technologies Inc</v>
      </c>
      <c r="C59">
        <v>-0.14897959183673401</v>
      </c>
      <c r="D59">
        <v>-0.338794926004228</v>
      </c>
      <c r="E59">
        <v>0.191428571428571</v>
      </c>
      <c r="F59">
        <v>0.69054054054054004</v>
      </c>
      <c r="G59">
        <v>1.2135922330097E-2</v>
      </c>
      <c r="H59">
        <v>-0.58933249295857804</v>
      </c>
      <c r="I59">
        <v>-0.58933249295857804</v>
      </c>
    </row>
    <row r="60" spans="1:9" x14ac:dyDescent="0.35">
      <c r="A60" s="1" t="s">
        <v>72</v>
      </c>
      <c r="B60" t="str">
        <f>HYPERLINK("https://www.suredividend.com/sure-analysis-AIT/","Applied Industrial Technologies Inc.")</f>
        <v>Applied Industrial Technologies Inc.</v>
      </c>
      <c r="C60">
        <v>1.5671784417404001E-2</v>
      </c>
      <c r="D60">
        <v>0.107084353814243</v>
      </c>
      <c r="E60">
        <v>0.191165516195383</v>
      </c>
      <c r="F60">
        <v>0.274515211762345</v>
      </c>
      <c r="G60">
        <v>0.50185482792208402</v>
      </c>
      <c r="H60">
        <v>0.70979310463165901</v>
      </c>
      <c r="I60">
        <v>1.4150352340961829</v>
      </c>
    </row>
    <row r="61" spans="1:9" x14ac:dyDescent="0.35">
      <c r="A61" s="1" t="s">
        <v>73</v>
      </c>
      <c r="B61" t="str">
        <f>HYPERLINK("https://www.suredividend.com/sure-analysis-research-database/","Apartment Investment &amp; Management Co.")</f>
        <v>Apartment Investment &amp; Management Co.</v>
      </c>
      <c r="C61">
        <v>-0.104904632152588</v>
      </c>
      <c r="D61">
        <v>-0.249142857142857</v>
      </c>
      <c r="E61">
        <v>-0.135526315789473</v>
      </c>
      <c r="F61">
        <v>-7.7247191011235006E-2</v>
      </c>
      <c r="G61">
        <v>-1.6467065868262999E-2</v>
      </c>
      <c r="H61">
        <v>-0.116198983023487</v>
      </c>
      <c r="I61">
        <v>0.315921245017726</v>
      </c>
    </row>
    <row r="62" spans="1:9" x14ac:dyDescent="0.35">
      <c r="A62" s="1" t="s">
        <v>74</v>
      </c>
      <c r="B62" t="str">
        <f>HYPERLINK("https://www.suredividend.com/sure-analysis-research-database/","Aerojet Rocketdyne Holdings Inc")</f>
        <v>Aerojet Rocketdyne Holdings Inc</v>
      </c>
      <c r="C62">
        <v>5.3597383720930002E-2</v>
      </c>
      <c r="D62">
        <v>2.8191489361701998E-2</v>
      </c>
      <c r="E62">
        <v>3.9992826398852002E-2</v>
      </c>
      <c r="F62">
        <v>3.6831753978187012E-2</v>
      </c>
      <c r="G62">
        <v>0.344228094575799</v>
      </c>
      <c r="H62">
        <v>0.239102564102564</v>
      </c>
      <c r="I62">
        <v>1.2926295064857021</v>
      </c>
    </row>
    <row r="63" spans="1:9" x14ac:dyDescent="0.35">
      <c r="A63" s="1" t="s">
        <v>75</v>
      </c>
      <c r="B63" t="str">
        <f>HYPERLINK("https://www.suredividend.com/sure-analysis-research-database/","a.k.a. Brands Holding Corp")</f>
        <v>a.k.a. Brands Holding Corp</v>
      </c>
      <c r="C63">
        <v>-0.160206718346253</v>
      </c>
      <c r="D63">
        <v>8.3604234391931001E-2</v>
      </c>
      <c r="E63">
        <v>5.7684484582214007E-2</v>
      </c>
      <c r="F63">
        <v>-0.65879265091863504</v>
      </c>
      <c r="G63">
        <v>-0.69907407407407407</v>
      </c>
      <c r="H63">
        <v>-0.94913928012519511</v>
      </c>
      <c r="I63">
        <v>-0.95662328995662305</v>
      </c>
    </row>
    <row r="64" spans="1:9" x14ac:dyDescent="0.35">
      <c r="A64" s="1" t="s">
        <v>76</v>
      </c>
      <c r="B64" t="str">
        <f>HYPERLINK("https://www.suredividend.com/sure-analysis-AKR/","Acadia Realty Trust")</f>
        <v>Acadia Realty Trust</v>
      </c>
      <c r="C64">
        <v>-0.11708714653444</v>
      </c>
      <c r="D64">
        <v>-6.0141517373242998E-2</v>
      </c>
      <c r="E64">
        <v>9.9688841624325009E-2</v>
      </c>
      <c r="F64">
        <v>1.1154570476604E-2</v>
      </c>
      <c r="G64">
        <v>0.15104591815700699</v>
      </c>
      <c r="H64">
        <v>-0.318059694201553</v>
      </c>
      <c r="I64">
        <v>-0.37248273878020699</v>
      </c>
    </row>
    <row r="65" spans="1:9" x14ac:dyDescent="0.35">
      <c r="A65" s="1" t="s">
        <v>77</v>
      </c>
      <c r="B65" t="str">
        <f>HYPERLINK("https://www.suredividend.com/sure-analysis-research-database/","Akero Therapeutics Inc")</f>
        <v>Akero Therapeutics Inc</v>
      </c>
      <c r="C65">
        <v>-0.71994640122511411</v>
      </c>
      <c r="D65">
        <v>-0.67895545314900108</v>
      </c>
      <c r="E65">
        <v>-0.614898657541458</v>
      </c>
      <c r="F65">
        <v>-0.73302919708029202</v>
      </c>
      <c r="G65">
        <v>-0.62</v>
      </c>
      <c r="H65">
        <v>-0.31443298969072098</v>
      </c>
      <c r="I65">
        <v>-0.201419213973799</v>
      </c>
    </row>
    <row r="66" spans="1:9" x14ac:dyDescent="0.35">
      <c r="A66" s="1" t="s">
        <v>78</v>
      </c>
      <c r="B66" t="str">
        <f>HYPERLINK("https://www.suredividend.com/sure-analysis-research-database/","Akoustis Technologies Inc")</f>
        <v>Akoustis Technologies Inc</v>
      </c>
      <c r="C66">
        <v>-0.113488592032155</v>
      </c>
      <c r="D66">
        <v>-0.72730909090909002</v>
      </c>
      <c r="E66">
        <v>-0.76418238993710708</v>
      </c>
      <c r="F66">
        <v>-0.73407801418439711</v>
      </c>
      <c r="G66">
        <v>-0.68883817427385907</v>
      </c>
      <c r="H66">
        <v>-0.91429714285714203</v>
      </c>
      <c r="I66">
        <v>-0.86843859649122812</v>
      </c>
    </row>
    <row r="67" spans="1:9" x14ac:dyDescent="0.35">
      <c r="A67" s="1" t="s">
        <v>79</v>
      </c>
      <c r="B67" t="str">
        <f>HYPERLINK("https://www.suredividend.com/sure-analysis-research-database/","Akoya Biosciences Inc")</f>
        <v>Akoya Biosciences Inc</v>
      </c>
      <c r="C67">
        <v>-0.17626728110598999</v>
      </c>
      <c r="D67">
        <v>-0.48782234957019999</v>
      </c>
      <c r="E67">
        <v>-0.4921875</v>
      </c>
      <c r="F67">
        <v>-0.62643678160919503</v>
      </c>
      <c r="G67">
        <v>-0.69392123287671204</v>
      </c>
      <c r="H67">
        <v>-0.71850393700787407</v>
      </c>
      <c r="I67">
        <v>-0.86276391554702403</v>
      </c>
    </row>
    <row r="68" spans="1:9" x14ac:dyDescent="0.35">
      <c r="A68" s="1" t="s">
        <v>80</v>
      </c>
      <c r="B68" t="str">
        <f>HYPERLINK("https://www.suredividend.com/sure-analysis-research-database/","Alico Inc.")</f>
        <v>Alico Inc.</v>
      </c>
      <c r="C68">
        <v>-1.2631204412026E-2</v>
      </c>
      <c r="D68">
        <v>-4.2326652104175001E-2</v>
      </c>
      <c r="E68">
        <v>2.0480653909962E-2</v>
      </c>
      <c r="F68">
        <v>3.3318382234709003E-2</v>
      </c>
      <c r="G68">
        <v>-0.1438278119226</v>
      </c>
      <c r="H68">
        <v>-0.23983016025202</v>
      </c>
      <c r="I68">
        <v>-0.15331220658904701</v>
      </c>
    </row>
    <row r="69" spans="1:9" x14ac:dyDescent="0.35">
      <c r="A69" s="1" t="s">
        <v>81</v>
      </c>
      <c r="B69" t="str">
        <f>HYPERLINK("https://www.suredividend.com/sure-analysis-ALE/","Allete, Inc.")</f>
        <v>Allete, Inc.</v>
      </c>
      <c r="C69">
        <v>-4.8620933521923003E-2</v>
      </c>
      <c r="D69">
        <v>-5.9901779739931008E-2</v>
      </c>
      <c r="E69">
        <v>-0.13157852266675199</v>
      </c>
      <c r="F69">
        <v>-0.136995023407466</v>
      </c>
      <c r="G69">
        <v>0.149879691086028</v>
      </c>
      <c r="H69">
        <v>-7.9436062634616E-2</v>
      </c>
      <c r="I69">
        <v>-0.12817073012663399</v>
      </c>
    </row>
    <row r="70" spans="1:9" x14ac:dyDescent="0.35">
      <c r="A70" s="1" t="s">
        <v>82</v>
      </c>
      <c r="B70" t="str">
        <f>HYPERLINK("https://www.suredividend.com/sure-analysis-research-database/","Alector Inc")</f>
        <v>Alector Inc</v>
      </c>
      <c r="C70">
        <v>-8.5365853658536009E-2</v>
      </c>
      <c r="D70">
        <v>-7.4074074074074001E-2</v>
      </c>
      <c r="E70">
        <v>-7.1207430340557001E-2</v>
      </c>
      <c r="F70">
        <v>-0.34994582881906799</v>
      </c>
      <c r="G70">
        <v>-0.29742388758782101</v>
      </c>
      <c r="H70">
        <v>-0.74248927038626611</v>
      </c>
      <c r="I70">
        <v>-0.66666666666666607</v>
      </c>
    </row>
    <row r="71" spans="1:9" x14ac:dyDescent="0.35">
      <c r="A71" s="1" t="s">
        <v>83</v>
      </c>
      <c r="B71" t="str">
        <f>HYPERLINK("https://www.suredividend.com/sure-analysis-research-database/","Alexander &amp; Baldwin Inc.")</f>
        <v>Alexander &amp; Baldwin Inc.</v>
      </c>
      <c r="C71">
        <v>-7.3114565342544E-2</v>
      </c>
      <c r="D71">
        <v>-0.128349223364572</v>
      </c>
      <c r="E71">
        <v>-0.130519312192171</v>
      </c>
      <c r="F71">
        <v>-0.108127122352771</v>
      </c>
      <c r="G71">
        <v>-5.8782849239270001E-3</v>
      </c>
      <c r="H71">
        <v>-0.266076792983511</v>
      </c>
      <c r="I71">
        <v>-7.1532375262392006E-2</v>
      </c>
    </row>
    <row r="72" spans="1:9" x14ac:dyDescent="0.35">
      <c r="A72" s="1" t="s">
        <v>84</v>
      </c>
      <c r="B72" t="str">
        <f>HYPERLINK("https://www.suredividend.com/sure-analysis-research-database/","Alamo Group Inc.")</f>
        <v>Alamo Group Inc.</v>
      </c>
      <c r="C72">
        <v>-3.0655558681609999E-3</v>
      </c>
      <c r="D72">
        <v>-0.106423381467145</v>
      </c>
      <c r="E72">
        <v>-3.2384793385426013E-2</v>
      </c>
      <c r="F72">
        <v>0.20979820134437699</v>
      </c>
      <c r="G72">
        <v>0.25841050732903698</v>
      </c>
      <c r="H72">
        <v>0.17123023153855499</v>
      </c>
      <c r="I72">
        <v>1.0480358370222971</v>
      </c>
    </row>
    <row r="73" spans="1:9" x14ac:dyDescent="0.35">
      <c r="A73" s="1" t="s">
        <v>85</v>
      </c>
      <c r="B73" t="str">
        <f>HYPERLINK("https://www.suredividend.com/sure-analysis-research-database/","Allegiant Travel")</f>
        <v>Allegiant Travel</v>
      </c>
      <c r="C73">
        <v>-0.140257591870495</v>
      </c>
      <c r="D73">
        <v>-0.40898239537583098</v>
      </c>
      <c r="E73">
        <v>-0.23381814658966901</v>
      </c>
      <c r="F73">
        <v>8.2504519114179012E-2</v>
      </c>
      <c r="G73">
        <v>0.103275101555593</v>
      </c>
      <c r="H73">
        <v>-0.61277728520475006</v>
      </c>
      <c r="I73">
        <v>-0.37818927966184901</v>
      </c>
    </row>
    <row r="74" spans="1:9" x14ac:dyDescent="0.35">
      <c r="A74" s="1" t="s">
        <v>86</v>
      </c>
      <c r="B74" t="str">
        <f>HYPERLINK("https://www.suredividend.com/sure-analysis-research-database/","Alignment Healthcare Inc")</f>
        <v>Alignment Healthcare Inc</v>
      </c>
      <c r="C74">
        <v>8.8815789473684001E-2</v>
      </c>
      <c r="D74">
        <v>0.237383177570093</v>
      </c>
      <c r="E74">
        <v>6.0790273556230014E-3</v>
      </c>
      <c r="F74">
        <v>-0.43707482993197211</v>
      </c>
      <c r="G74">
        <v>-0.40198735320686502</v>
      </c>
      <c r="H74">
        <v>-0.64446831364124502</v>
      </c>
      <c r="I74">
        <v>-0.6175621028307331</v>
      </c>
    </row>
    <row r="75" spans="1:9" x14ac:dyDescent="0.35">
      <c r="A75" s="1" t="s">
        <v>87</v>
      </c>
      <c r="B75" t="str">
        <f>HYPERLINK("https://www.suredividend.com/sure-analysis-research-database/","Alight Inc.")</f>
        <v>Alight Inc.</v>
      </c>
      <c r="C75">
        <v>-0.114624505928853</v>
      </c>
      <c r="D75">
        <v>-0.30506721820061999</v>
      </c>
      <c r="E75">
        <v>-0.26396495071193798</v>
      </c>
      <c r="F75">
        <v>-0.196172248803827</v>
      </c>
      <c r="G75">
        <v>-0.107569721115537</v>
      </c>
      <c r="H75">
        <v>-0.41310043668122198</v>
      </c>
      <c r="I75">
        <v>-0.35384615384615298</v>
      </c>
    </row>
    <row r="76" spans="1:9" x14ac:dyDescent="0.35">
      <c r="A76" s="1" t="s">
        <v>88</v>
      </c>
      <c r="B76" t="str">
        <f>HYPERLINK("https://www.suredividend.com/sure-analysis-research-database/","Alkermes plc")</f>
        <v>Alkermes plc</v>
      </c>
      <c r="C76">
        <v>-6.3175675675675003E-2</v>
      </c>
      <c r="D76">
        <v>-8.9027595269382004E-2</v>
      </c>
      <c r="E76">
        <v>-5.5195911413969012E-2</v>
      </c>
      <c r="F76">
        <v>6.1232300038270002E-2</v>
      </c>
      <c r="G76">
        <v>0.22590627763041499</v>
      </c>
      <c r="H76">
        <v>-0.12440795705715101</v>
      </c>
      <c r="I76">
        <v>-0.33212909441233102</v>
      </c>
    </row>
    <row r="77" spans="1:9" x14ac:dyDescent="0.35">
      <c r="A77" s="1" t="s">
        <v>89</v>
      </c>
      <c r="B77" t="str">
        <f>HYPERLINK("https://www.suredividend.com/sure-analysis-research-database/","Alkami Technology Inc")</f>
        <v>Alkami Technology Inc</v>
      </c>
      <c r="C77">
        <v>-3.8594470046082012E-2</v>
      </c>
      <c r="D77">
        <v>-1.0083036773428001E-2</v>
      </c>
      <c r="E77">
        <v>0.33306709265175699</v>
      </c>
      <c r="F77">
        <v>0.143934201507882</v>
      </c>
      <c r="G77">
        <v>0.17867231638417999</v>
      </c>
      <c r="H77">
        <v>-0.39572773352642998</v>
      </c>
      <c r="I77">
        <v>-0.61186046511627901</v>
      </c>
    </row>
    <row r="78" spans="1:9" x14ac:dyDescent="0.35">
      <c r="A78" s="1" t="s">
        <v>90</v>
      </c>
      <c r="B78" t="str">
        <f>HYPERLINK("https://www.suredividend.com/sure-analysis-research-database/","Allogene Therapeutics Inc")</f>
        <v>Allogene Therapeutics Inc</v>
      </c>
      <c r="C78">
        <v>-0.17994858611825101</v>
      </c>
      <c r="D78">
        <v>-0.35685483870967699</v>
      </c>
      <c r="E78">
        <v>-0.36072144288577102</v>
      </c>
      <c r="F78">
        <v>-0.49284578696343412</v>
      </c>
      <c r="G78">
        <v>-0.68664047151277008</v>
      </c>
      <c r="H78">
        <v>-0.80643203883495107</v>
      </c>
      <c r="I78">
        <v>-0.88167655786350108</v>
      </c>
    </row>
    <row r="79" spans="1:9" x14ac:dyDescent="0.35">
      <c r="A79" s="1" t="s">
        <v>91</v>
      </c>
      <c r="B79" t="str">
        <f>HYPERLINK("https://www.suredividend.com/sure-analysis-research-database/","Alpine Immune Sciences Inc")</f>
        <v>Alpine Immune Sciences Inc</v>
      </c>
      <c r="C79">
        <v>-0.183770883054892</v>
      </c>
      <c r="D79">
        <v>-6.9809610154124999E-2</v>
      </c>
      <c r="E79">
        <v>0.40355677154582698</v>
      </c>
      <c r="F79">
        <v>0.39591836734693803</v>
      </c>
      <c r="G79">
        <v>0.44507042253521101</v>
      </c>
      <c r="H79">
        <v>-9.8418277680140012E-2</v>
      </c>
      <c r="I79">
        <v>1.0157170923379171</v>
      </c>
    </row>
    <row r="80" spans="1:9" x14ac:dyDescent="0.35">
      <c r="A80" s="1" t="s">
        <v>92</v>
      </c>
      <c r="B80" t="str">
        <f>HYPERLINK("https://www.suredividend.com/sure-analysis-research-database/","Alarm.com Holdings Inc")</f>
        <v>Alarm.com Holdings Inc</v>
      </c>
      <c r="C80">
        <v>-2.9579831932772999E-2</v>
      </c>
      <c r="D80">
        <v>6.1982711053890013E-2</v>
      </c>
      <c r="E80">
        <v>0.20366895976652</v>
      </c>
      <c r="F80">
        <v>0.16693613581244901</v>
      </c>
      <c r="G80">
        <v>-3.9267886855240998E-2</v>
      </c>
      <c r="H80">
        <v>-0.28856579595859999</v>
      </c>
      <c r="I80">
        <v>0.297236576050325</v>
      </c>
    </row>
    <row r="81" spans="1:9" x14ac:dyDescent="0.35">
      <c r="A81" s="1" t="s">
        <v>93</v>
      </c>
      <c r="B81" t="str">
        <f>HYPERLINK("https://www.suredividend.com/sure-analysis-ALRS/","Alerus Financial Corp")</f>
        <v>Alerus Financial Corp</v>
      </c>
      <c r="C81">
        <v>-6.1224489795918012E-2</v>
      </c>
      <c r="D81">
        <v>-2.8759390140907001E-2</v>
      </c>
      <c r="E81">
        <v>0.17232822507628801</v>
      </c>
      <c r="F81">
        <v>-0.21123048946126299</v>
      </c>
      <c r="G81">
        <v>-0.157501036254446</v>
      </c>
      <c r="H81">
        <v>-0.39129708045464601</v>
      </c>
      <c r="I81">
        <v>-0.62800437541764309</v>
      </c>
    </row>
    <row r="82" spans="1:9" x14ac:dyDescent="0.35">
      <c r="A82" s="1" t="s">
        <v>94</v>
      </c>
      <c r="B82" t="str">
        <f>HYPERLINK("https://www.suredividend.com/sure-analysis-research-database/","Alta Equipment Group Inc")</f>
        <v>Alta Equipment Group Inc</v>
      </c>
      <c r="C82">
        <v>-0.17819548872180399</v>
      </c>
      <c r="D82">
        <v>-0.34253661764263499</v>
      </c>
      <c r="E82">
        <v>-0.19111933395004599</v>
      </c>
      <c r="F82">
        <v>-0.16202188096570599</v>
      </c>
      <c r="G82">
        <v>1.1035363112471001E-2</v>
      </c>
      <c r="H82">
        <v>-0.17838081635721201</v>
      </c>
      <c r="I82">
        <v>0.12680412371134001</v>
      </c>
    </row>
    <row r="83" spans="1:9" x14ac:dyDescent="0.35">
      <c r="A83" s="1" t="s">
        <v>95</v>
      </c>
      <c r="B83" t="str">
        <f>HYPERLINK("https://www.suredividend.com/sure-analysis-research-database/","Alto Ingredients Inc")</f>
        <v>Alto Ingredients Inc</v>
      </c>
      <c r="C83">
        <v>-6.1503416856491001E-2</v>
      </c>
      <c r="D83">
        <v>0.190751445086705</v>
      </c>
      <c r="E83">
        <v>2.2440944881889759</v>
      </c>
      <c r="F83">
        <v>0.43055555555555503</v>
      </c>
      <c r="G83">
        <v>9.574468085106401E-2</v>
      </c>
      <c r="H83">
        <v>-0.26164874551971301</v>
      </c>
      <c r="I83">
        <v>0.95260663507109011</v>
      </c>
    </row>
    <row r="84" spans="1:9" x14ac:dyDescent="0.35">
      <c r="A84" s="1" t="s">
        <v>96</v>
      </c>
      <c r="B84" t="str">
        <f>HYPERLINK("https://www.suredividend.com/sure-analysis-research-database/","Altair Engineering Inc")</f>
        <v>Altair Engineering Inc</v>
      </c>
      <c r="C84">
        <v>2.2928767960860002E-3</v>
      </c>
      <c r="D84">
        <v>-0.12538348672802399</v>
      </c>
      <c r="E84">
        <v>-7.8555368184373003E-2</v>
      </c>
      <c r="F84">
        <v>0.44204970310094499</v>
      </c>
      <c r="G84">
        <v>0.49260186660596411</v>
      </c>
      <c r="H84">
        <v>-9.8694158075601002E-2</v>
      </c>
      <c r="I84">
        <v>0.92174677608440803</v>
      </c>
    </row>
    <row r="85" spans="1:9" x14ac:dyDescent="0.35">
      <c r="A85" s="1" t="s">
        <v>97</v>
      </c>
      <c r="B85" t="str">
        <f>HYPERLINK("https://www.suredividend.com/sure-analysis-research-database/","AlloVir Inc")</f>
        <v>AlloVir Inc</v>
      </c>
      <c r="C85">
        <v>-0.31474103585657298</v>
      </c>
      <c r="D85">
        <v>-0.50857142857142801</v>
      </c>
      <c r="E85">
        <v>-0.55670103092783507</v>
      </c>
      <c r="F85">
        <v>-0.66471734892787504</v>
      </c>
      <c r="G85">
        <v>-0.80782122905027909</v>
      </c>
      <c r="H85">
        <v>-0.92255740657361507</v>
      </c>
      <c r="I85">
        <v>-0.93225679401339112</v>
      </c>
    </row>
    <row r="86" spans="1:9" x14ac:dyDescent="0.35">
      <c r="A86" s="1" t="s">
        <v>98</v>
      </c>
      <c r="B86" t="str">
        <f>HYPERLINK("https://www.suredividend.com/sure-analysis-research-database/","Alexander`s Inc.")</f>
        <v>Alexander`s Inc.</v>
      </c>
      <c r="C86">
        <v>-0.108439845810509</v>
      </c>
      <c r="D86">
        <v>-5.5262371801250007E-3</v>
      </c>
      <c r="E86">
        <v>-4.9427293193114001E-2</v>
      </c>
      <c r="F86">
        <v>-0.144706111327364</v>
      </c>
      <c r="G86">
        <v>-5.6095161588260008E-2</v>
      </c>
      <c r="H86">
        <v>-0.25924271495256801</v>
      </c>
      <c r="I86">
        <v>-0.247944339837772</v>
      </c>
    </row>
    <row r="87" spans="1:9" x14ac:dyDescent="0.35">
      <c r="A87" s="1" t="s">
        <v>99</v>
      </c>
      <c r="B87" t="str">
        <f>HYPERLINK("https://www.suredividend.com/sure-analysis-research-database/","Alx Oncology Holdings Inc")</f>
        <v>Alx Oncology Holdings Inc</v>
      </c>
      <c r="C87">
        <v>0.76254826254826202</v>
      </c>
      <c r="D87">
        <v>0.34859675036927601</v>
      </c>
      <c r="E87">
        <v>0.90208333333333302</v>
      </c>
      <c r="F87">
        <v>-0.189884649511978</v>
      </c>
      <c r="G87">
        <v>-0.169244767970882</v>
      </c>
      <c r="H87">
        <v>-0.84522800474656712</v>
      </c>
      <c r="I87">
        <v>-0.6956666666666661</v>
      </c>
    </row>
    <row r="88" spans="1:9" x14ac:dyDescent="0.35">
      <c r="A88" s="1" t="s">
        <v>100</v>
      </c>
      <c r="B88" t="str">
        <f>HYPERLINK("https://www.suredividend.com/sure-analysis-research-database/","Amalgamated Financial Corp")</f>
        <v>Amalgamated Financial Corp</v>
      </c>
      <c r="C88">
        <v>-5.7757644394110012E-2</v>
      </c>
      <c r="D88">
        <v>-2.3623156091206E-2</v>
      </c>
      <c r="E88">
        <v>-1.0572131907859E-2</v>
      </c>
      <c r="F88">
        <v>-0.261157017454277</v>
      </c>
      <c r="G88">
        <v>-0.27164492690186398</v>
      </c>
      <c r="H88">
        <v>8.3748439564160001E-3</v>
      </c>
      <c r="I88">
        <v>-3.2923604451805012E-2</v>
      </c>
    </row>
    <row r="89" spans="1:9" x14ac:dyDescent="0.35">
      <c r="A89" s="1" t="s">
        <v>101</v>
      </c>
      <c r="B89" t="str">
        <f>HYPERLINK("https://www.suredividend.com/sure-analysis-research-database/","Ambarella Inc")</f>
        <v>Ambarella Inc</v>
      </c>
      <c r="C89">
        <v>-7.4592890912274001E-2</v>
      </c>
      <c r="D89">
        <v>-0.35556639434215298</v>
      </c>
      <c r="E89">
        <v>-0.222794117647058</v>
      </c>
      <c r="F89">
        <v>-0.35729052657180999</v>
      </c>
      <c r="G89">
        <v>6.9621534102408011E-2</v>
      </c>
      <c r="H89">
        <v>-0.68368446253291804</v>
      </c>
      <c r="I89">
        <v>0.5453216374269001</v>
      </c>
    </row>
    <row r="90" spans="1:9" x14ac:dyDescent="0.35">
      <c r="A90" s="1" t="s">
        <v>102</v>
      </c>
      <c r="B90" t="str">
        <f>HYPERLINK("https://www.suredividend.com/sure-analysis-research-database/","AMBAC Financial Group Inc.")</f>
        <v>AMBAC Financial Group Inc.</v>
      </c>
      <c r="C90">
        <v>-0.10390624999999901</v>
      </c>
      <c r="D90">
        <v>-0.17184115523465601</v>
      </c>
      <c r="E90">
        <v>-0.240397350993377</v>
      </c>
      <c r="F90">
        <v>-0.34231651376146699</v>
      </c>
      <c r="G90">
        <v>-0.135644310474755</v>
      </c>
      <c r="H90">
        <v>-0.22864828513786101</v>
      </c>
      <c r="I90">
        <v>-0.39376321353065502</v>
      </c>
    </row>
    <row r="91" spans="1:9" x14ac:dyDescent="0.35">
      <c r="A91" s="1" t="s">
        <v>103</v>
      </c>
      <c r="B91" t="str">
        <f>HYPERLINK("https://www.suredividend.com/sure-analysis-research-database/","AMC Networks Inc")</f>
        <v>AMC Networks Inc</v>
      </c>
      <c r="C91">
        <v>-2.6094276094276E-2</v>
      </c>
      <c r="D91">
        <v>-0.104489164086687</v>
      </c>
      <c r="E91">
        <v>-0.35290827740492098</v>
      </c>
      <c r="F91">
        <v>-0.26164645820038201</v>
      </c>
      <c r="G91">
        <v>-0.47241222070223399</v>
      </c>
      <c r="H91">
        <v>-0.74402654867256601</v>
      </c>
      <c r="I91">
        <v>-0.80333163352031212</v>
      </c>
    </row>
    <row r="92" spans="1:9" x14ac:dyDescent="0.35">
      <c r="A92" s="1" t="s">
        <v>104</v>
      </c>
      <c r="B92" t="str">
        <f>HYPERLINK("https://www.suredividend.com/sure-analysis-research-database/","Apollo Medical Holdings Inc")</f>
        <v>Apollo Medical Holdings Inc</v>
      </c>
      <c r="C92">
        <v>-4.8496009821976001E-2</v>
      </c>
      <c r="D92">
        <v>-7.3797430534807001E-2</v>
      </c>
      <c r="E92">
        <v>-0.206349206349206</v>
      </c>
      <c r="F92">
        <v>4.7651233524839007E-2</v>
      </c>
      <c r="G92">
        <v>-1.5873015873015001E-2</v>
      </c>
      <c r="H92">
        <v>-0.56637291928941103</v>
      </c>
      <c r="I92">
        <v>0.71365395245992203</v>
      </c>
    </row>
    <row r="93" spans="1:9" x14ac:dyDescent="0.35">
      <c r="A93" s="1" t="s">
        <v>105</v>
      </c>
      <c r="B93" t="str">
        <f>HYPERLINK("https://www.suredividend.com/sure-analysis-research-database/","Assetmark Financial Holdings Inc")</f>
        <v>Assetmark Financial Holdings Inc</v>
      </c>
      <c r="C93">
        <v>-9.9813084112149009E-2</v>
      </c>
      <c r="D93">
        <v>-0.223225806451612</v>
      </c>
      <c r="E93">
        <v>-0.238938053097345</v>
      </c>
      <c r="F93">
        <v>4.6956521739130001E-2</v>
      </c>
      <c r="G93">
        <v>0.35891647855530401</v>
      </c>
      <c r="H93">
        <v>-3.641456582633E-2</v>
      </c>
      <c r="I93">
        <v>-0.109467455621301</v>
      </c>
    </row>
    <row r="94" spans="1:9" x14ac:dyDescent="0.35">
      <c r="A94" s="1" t="s">
        <v>106</v>
      </c>
      <c r="B94" t="str">
        <f>HYPERLINK("https://www.suredividend.com/sure-analysis-research-database/","AMKOR Technology Inc.")</f>
        <v>AMKOR Technology Inc.</v>
      </c>
      <c r="C94">
        <v>2.3820224719100998E-2</v>
      </c>
      <c r="D94">
        <v>-0.21776544638534101</v>
      </c>
      <c r="E94">
        <v>-5.4190955441514997E-2</v>
      </c>
      <c r="F94">
        <v>-4.4651431974399997E-2</v>
      </c>
      <c r="G94">
        <v>0.33320847915910701</v>
      </c>
      <c r="H94">
        <v>4.4944541793194001E-2</v>
      </c>
      <c r="I94">
        <v>2.352021071528422</v>
      </c>
    </row>
    <row r="95" spans="1:9" x14ac:dyDescent="0.35">
      <c r="A95" s="1" t="s">
        <v>107</v>
      </c>
      <c r="B95" t="str">
        <f>HYPERLINK("https://www.suredividend.com/sure-analysis-research-database/","Amylyx Pharmaceuticals Inc")</f>
        <v>Amylyx Pharmaceuticals Inc</v>
      </c>
      <c r="C95">
        <v>-0.124368048533872</v>
      </c>
      <c r="D95">
        <v>-0.23565754633715799</v>
      </c>
      <c r="E95">
        <v>-0.42266666666666602</v>
      </c>
      <c r="F95">
        <v>-0.53125845737483002</v>
      </c>
      <c r="G95">
        <v>-0.49855240301100112</v>
      </c>
      <c r="H95">
        <v>-4.1505257332594997E-2</v>
      </c>
      <c r="I95">
        <v>-4.1505257332594997E-2</v>
      </c>
    </row>
    <row r="96" spans="1:9" x14ac:dyDescent="0.35">
      <c r="A96" s="1" t="s">
        <v>108</v>
      </c>
      <c r="B96" t="str">
        <f>HYPERLINK("https://www.suredividend.com/sure-analysis-research-database/","AMN Healthcare Services Inc.")</f>
        <v>AMN Healthcare Services Inc.</v>
      </c>
      <c r="C96">
        <v>-0.161008288861133</v>
      </c>
      <c r="D96">
        <v>-0.31967590461283402</v>
      </c>
      <c r="E96">
        <v>-0.14775086505190299</v>
      </c>
      <c r="F96">
        <v>-0.28136549309472803</v>
      </c>
      <c r="G96">
        <v>-0.33546182210630399</v>
      </c>
      <c r="H96">
        <v>-0.218426063042098</v>
      </c>
      <c r="I96">
        <v>0.42178179719068698</v>
      </c>
    </row>
    <row r="97" spans="1:9" x14ac:dyDescent="0.35">
      <c r="A97" s="1" t="s">
        <v>109</v>
      </c>
      <c r="B97" t="str">
        <f>HYPERLINK("https://www.suredividend.com/sure-analysis-research-database/","American National Bankshares Inc.")</f>
        <v>American National Bankshares Inc.</v>
      </c>
      <c r="C97">
        <v>-3.8578680203045002E-2</v>
      </c>
      <c r="D97">
        <v>0.294432028649731</v>
      </c>
      <c r="E97">
        <v>0.32766005173247698</v>
      </c>
      <c r="F97">
        <v>7.4171118748653009E-2</v>
      </c>
      <c r="G97">
        <v>0.168328069482826</v>
      </c>
      <c r="H97">
        <v>0.19850282065803701</v>
      </c>
      <c r="I97">
        <v>0.22057316672359201</v>
      </c>
    </row>
    <row r="98" spans="1:9" x14ac:dyDescent="0.35">
      <c r="A98" s="1" t="s">
        <v>110</v>
      </c>
      <c r="B98" t="str">
        <f>HYPERLINK("https://www.suredividend.com/sure-analysis-research-database/","Amphastar Pharmaceuticals Inc")</f>
        <v>Amphastar Pharmaceuticals Inc</v>
      </c>
      <c r="C98">
        <v>-2.18483722962E-4</v>
      </c>
      <c r="D98">
        <v>-0.18095579022731301</v>
      </c>
      <c r="E98">
        <v>8.5646500593119013E-2</v>
      </c>
      <c r="F98">
        <v>0.63311920057102</v>
      </c>
      <c r="G98">
        <v>0.60392569225376702</v>
      </c>
      <c r="H98">
        <v>1.394557823129251</v>
      </c>
      <c r="I98">
        <v>1.517051705170517</v>
      </c>
    </row>
    <row r="99" spans="1:9" x14ac:dyDescent="0.35">
      <c r="A99" s="1" t="s">
        <v>111</v>
      </c>
      <c r="B99" t="str">
        <f>HYPERLINK("https://www.suredividend.com/sure-analysis-research-database/","Amplitude Inc")</f>
        <v>Amplitude Inc</v>
      </c>
      <c r="C99">
        <v>-0.122270742358078</v>
      </c>
      <c r="D99">
        <v>-0.14685908319185001</v>
      </c>
      <c r="E99">
        <v>-0.116094986807387</v>
      </c>
      <c r="F99">
        <v>-0.16804635761589401</v>
      </c>
      <c r="G99">
        <v>-0.29671098670398799</v>
      </c>
      <c r="H99">
        <v>-0.82059978579078907</v>
      </c>
      <c r="I99">
        <v>-0.81660583941605802</v>
      </c>
    </row>
    <row r="100" spans="1:9" x14ac:dyDescent="0.35">
      <c r="A100" s="1" t="s">
        <v>112</v>
      </c>
      <c r="B100" t="str">
        <f>HYPERLINK("https://www.suredividend.com/sure-analysis-research-database/","Altus Power Inc")</f>
        <v>Altus Power Inc</v>
      </c>
      <c r="C100">
        <v>-0.13057851239669399</v>
      </c>
      <c r="D100">
        <v>-9.9315068493150013E-2</v>
      </c>
      <c r="E100">
        <v>0.107368421052631</v>
      </c>
      <c r="F100">
        <v>-0.19325153374233101</v>
      </c>
      <c r="G100">
        <v>-0.50470809792843607</v>
      </c>
      <c r="H100">
        <v>-0.47399999999999998</v>
      </c>
      <c r="I100">
        <v>-0.49857006673021897</v>
      </c>
    </row>
    <row r="101" spans="1:9" x14ac:dyDescent="0.35">
      <c r="A101" s="1" t="s">
        <v>113</v>
      </c>
      <c r="B101" t="str">
        <f>HYPERLINK("https://www.suredividend.com/sure-analysis-research-database/","Amplify Energy Corp.")</f>
        <v>Amplify Energy Corp.</v>
      </c>
      <c r="C101">
        <v>1.8030513176144E-2</v>
      </c>
      <c r="D101">
        <v>0.100449775112443</v>
      </c>
      <c r="E101">
        <v>-2.7814569536423001E-2</v>
      </c>
      <c r="F101">
        <v>-0.16496018202502799</v>
      </c>
      <c r="G101">
        <v>-0.11990407673860901</v>
      </c>
      <c r="H101">
        <v>1.0054644808743161</v>
      </c>
      <c r="I101">
        <v>-0.13849765258215899</v>
      </c>
    </row>
    <row r="102" spans="1:9" x14ac:dyDescent="0.35">
      <c r="A102" s="1" t="s">
        <v>114</v>
      </c>
      <c r="B102" t="str">
        <f>HYPERLINK("https://www.suredividend.com/sure-analysis-research-database/","Alpha Metallurgical Resources Inc")</f>
        <v>Alpha Metallurgical Resources Inc</v>
      </c>
      <c r="C102">
        <v>-9.2683520675242007E-2</v>
      </c>
      <c r="D102">
        <v>0.45204812235156611</v>
      </c>
      <c r="E102">
        <v>0.36665529773758299</v>
      </c>
      <c r="F102">
        <v>0.540046795822401</v>
      </c>
      <c r="G102">
        <v>0.52589809192787007</v>
      </c>
      <c r="H102">
        <v>2.7902905906404798</v>
      </c>
      <c r="I102">
        <v>1.9812000000000001</v>
      </c>
    </row>
    <row r="103" spans="1:9" x14ac:dyDescent="0.35">
      <c r="A103" s="1" t="s">
        <v>115</v>
      </c>
      <c r="B103" t="str">
        <f>HYPERLINK("https://www.suredividend.com/sure-analysis-research-database/","Ameresco Inc.")</f>
        <v>Ameresco Inc.</v>
      </c>
      <c r="C103">
        <v>-0.28770053475935797</v>
      </c>
      <c r="D103">
        <v>-0.38127090301003302</v>
      </c>
      <c r="E103">
        <v>-0.27292576419213899</v>
      </c>
      <c r="F103">
        <v>-0.417220861043052</v>
      </c>
      <c r="G103">
        <v>-0.45818418483566498</v>
      </c>
      <c r="H103">
        <v>-0.47058823529411697</v>
      </c>
      <c r="I103">
        <v>1.74074074074074</v>
      </c>
    </row>
    <row r="104" spans="1:9" x14ac:dyDescent="0.35">
      <c r="A104" s="1" t="s">
        <v>116</v>
      </c>
      <c r="B104" t="str">
        <f>HYPERLINK("https://www.suredividend.com/sure-analysis-research-database/","A-Mark Precious Metals Inc")</f>
        <v>A-Mark Precious Metals Inc</v>
      </c>
      <c r="C104">
        <v>-2.1390477044130999E-2</v>
      </c>
      <c r="D104">
        <v>-0.172452998741219</v>
      </c>
      <c r="E104">
        <v>-7.2669692042614004E-2</v>
      </c>
      <c r="F104">
        <v>-3.0717719126916E-2</v>
      </c>
      <c r="G104">
        <v>0.27319297807209297</v>
      </c>
      <c r="H104">
        <v>1.9543756670224E-2</v>
      </c>
      <c r="I104">
        <v>5.1113110231498142</v>
      </c>
    </row>
    <row r="105" spans="1:9" x14ac:dyDescent="0.35">
      <c r="A105" s="1" t="s">
        <v>117</v>
      </c>
      <c r="B105" t="str">
        <f>HYPERLINK("https://www.suredividend.com/sure-analysis-research-database/","Amyris Inc")</f>
        <v>Amyris Inc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 s="1" t="s">
        <v>118</v>
      </c>
      <c r="B106" t="str">
        <f>HYPERLINK("https://www.suredividend.com/sure-analysis-research-database/","Amneal Pharmaceuticals Inc")</f>
        <v>Amneal Pharmaceuticals Inc</v>
      </c>
      <c r="C106">
        <v>-6.5693430656934004E-2</v>
      </c>
      <c r="D106">
        <v>0.26732673267326701</v>
      </c>
      <c r="E106">
        <v>1.823529411764705</v>
      </c>
      <c r="F106">
        <v>0.92964824120602996</v>
      </c>
      <c r="G106">
        <v>0.95918367346938704</v>
      </c>
      <c r="H106">
        <v>-0.31914893617021201</v>
      </c>
      <c r="I106">
        <v>-0.79498131340096101</v>
      </c>
    </row>
    <row r="107" spans="1:9" x14ac:dyDescent="0.35">
      <c r="A107" s="1" t="s">
        <v>119</v>
      </c>
      <c r="B107" t="str">
        <f>HYPERLINK("https://www.suredividend.com/sure-analysis-research-database/","Amerisafe Inc")</f>
        <v>Amerisafe Inc</v>
      </c>
      <c r="C107">
        <v>1.9045749067347E-2</v>
      </c>
      <c r="D107">
        <v>6.9991149879400003E-4</v>
      </c>
      <c r="E107">
        <v>2.8610840250196001E-2</v>
      </c>
      <c r="F107">
        <v>3.1757864917250002E-2</v>
      </c>
      <c r="G107">
        <v>9.5121539500337013E-2</v>
      </c>
      <c r="H107">
        <v>2.5134561256233999E-2</v>
      </c>
      <c r="I107">
        <v>0.182900590766537</v>
      </c>
    </row>
    <row r="108" spans="1:9" x14ac:dyDescent="0.35">
      <c r="A108" s="1" t="s">
        <v>120</v>
      </c>
      <c r="B108" t="str">
        <f>HYPERLINK("https://www.suredividend.com/sure-analysis-research-database/","American Software Inc.")</f>
        <v>American Software Inc.</v>
      </c>
      <c r="C108">
        <v>-7.9787234042550011E-3</v>
      </c>
      <c r="D108">
        <v>6.1126178238851997E-2</v>
      </c>
      <c r="E108">
        <v>-0.10915445303357101</v>
      </c>
      <c r="F108">
        <v>-0.21770681133381301</v>
      </c>
      <c r="G108">
        <v>-0.24102146708718999</v>
      </c>
      <c r="H108">
        <v>-0.5593724897226291</v>
      </c>
      <c r="I108">
        <v>0.13265987813024999</v>
      </c>
    </row>
    <row r="109" spans="1:9" x14ac:dyDescent="0.35">
      <c r="A109" s="1" t="s">
        <v>121</v>
      </c>
      <c r="B109" t="str">
        <f>HYPERLINK("https://www.suredividend.com/sure-analysis-research-database/","Amerant Bancorp Inc")</f>
        <v>Amerant Bancorp Inc</v>
      </c>
      <c r="C109">
        <v>-4.4201768070722E-2</v>
      </c>
      <c r="D109">
        <v>7.8633078534369998E-3</v>
      </c>
      <c r="E109">
        <v>-3.8768284583161013E-2</v>
      </c>
      <c r="F109">
        <v>-0.303043402422284</v>
      </c>
      <c r="G109">
        <v>-0.28685888109011998</v>
      </c>
      <c r="H109">
        <v>-0.27450423140078301</v>
      </c>
      <c r="I109">
        <v>0.83799999999999908</v>
      </c>
    </row>
    <row r="110" spans="1:9" x14ac:dyDescent="0.35">
      <c r="A110" s="1" t="s">
        <v>122</v>
      </c>
      <c r="B110" t="str">
        <f>HYPERLINK("https://www.suredividend.com/sure-analysis-research-database/","Aemetis Inc")</f>
        <v>Aemetis Inc</v>
      </c>
      <c r="C110">
        <v>-0.11111111111111099</v>
      </c>
      <c r="D110">
        <v>-0.37950138504155101</v>
      </c>
      <c r="E110">
        <v>1.00896860986547</v>
      </c>
      <c r="F110">
        <v>0.13131313131313099</v>
      </c>
      <c r="G110">
        <v>-0.23679727427597899</v>
      </c>
      <c r="H110">
        <v>-0.75124930594114303</v>
      </c>
      <c r="I110">
        <v>2.8290598290598288</v>
      </c>
    </row>
    <row r="111" spans="1:9" x14ac:dyDescent="0.35">
      <c r="A111" s="1" t="s">
        <v>123</v>
      </c>
      <c r="B111" t="str">
        <f>HYPERLINK("https://www.suredividend.com/sure-analysis-research-database/","American Woodmark Corp.")</f>
        <v>American Woodmark Corp.</v>
      </c>
      <c r="C111">
        <v>8.1063122923579999E-3</v>
      </c>
      <c r="D111">
        <v>2.1270866989768E-2</v>
      </c>
      <c r="E111">
        <v>0.49301318638063302</v>
      </c>
      <c r="F111">
        <v>0.55259926320098207</v>
      </c>
      <c r="G111">
        <v>0.7367216117216111</v>
      </c>
      <c r="H111">
        <v>0.119374354434115</v>
      </c>
      <c r="I111">
        <v>0.12435156365792201</v>
      </c>
    </row>
    <row r="112" spans="1:9" x14ac:dyDescent="0.35">
      <c r="A112" s="1" t="s">
        <v>124</v>
      </c>
      <c r="B112" t="str">
        <f>HYPERLINK("https://www.suredividend.com/sure-analysis-research-database/","American Well Corporation")</f>
        <v>American Well Corporation</v>
      </c>
      <c r="C112">
        <v>-0.25899280575539502</v>
      </c>
      <c r="D112">
        <v>-0.51415094339622602</v>
      </c>
      <c r="E112">
        <v>-0.50241545893719808</v>
      </c>
      <c r="F112">
        <v>-0.63604240282685509</v>
      </c>
      <c r="G112">
        <v>-0.695266272189349</v>
      </c>
      <c r="H112">
        <v>-0.87882352941176411</v>
      </c>
      <c r="I112">
        <v>-0.95535327264846104</v>
      </c>
    </row>
    <row r="113" spans="1:9" x14ac:dyDescent="0.35">
      <c r="A113" s="1" t="s">
        <v>125</v>
      </c>
      <c r="B113" t="str">
        <f>HYPERLINK("https://www.suredividend.com/sure-analysis-research-database/","AnaptysBio Inc")</f>
        <v>AnaptysBio Inc</v>
      </c>
      <c r="C113">
        <v>-3.3846153846153013E-2</v>
      </c>
      <c r="D113">
        <v>2.0032485110990001E-2</v>
      </c>
      <c r="E113">
        <v>-0.124941941477008</v>
      </c>
      <c r="F113">
        <v>-0.39206195546950601</v>
      </c>
      <c r="G113">
        <v>-0.289592760180995</v>
      </c>
      <c r="H113">
        <v>-0.34286710847575802</v>
      </c>
      <c r="I113">
        <v>-0.75194206714944001</v>
      </c>
    </row>
    <row r="114" spans="1:9" x14ac:dyDescent="0.35">
      <c r="A114" s="1" t="s">
        <v>126</v>
      </c>
      <c r="B114" t="str">
        <f>HYPERLINK("https://www.suredividend.com/sure-analysis-ANDE/","Andersons Inc.")</f>
        <v>Andersons Inc.</v>
      </c>
      <c r="C114">
        <v>7.2849174489020008E-3</v>
      </c>
      <c r="D114">
        <v>9.0415312012918012E-2</v>
      </c>
      <c r="E114">
        <v>0.23599382370142299</v>
      </c>
      <c r="F114">
        <v>0.47227711805616202</v>
      </c>
      <c r="G114">
        <v>0.55745084979895909</v>
      </c>
      <c r="H114">
        <v>0.69096600324735102</v>
      </c>
      <c r="I114">
        <v>0.6929950694996091</v>
      </c>
    </row>
    <row r="115" spans="1:9" x14ac:dyDescent="0.35">
      <c r="A115" s="1" t="s">
        <v>127</v>
      </c>
      <c r="B115" t="str">
        <f>HYPERLINK("https://www.suredividend.com/sure-analysis-research-database/","Abercrombie &amp; Fitch Co.")</f>
        <v>Abercrombie &amp; Fitch Co.</v>
      </c>
      <c r="C115">
        <v>0.15248091603053399</v>
      </c>
      <c r="D115">
        <v>0.72987682612431903</v>
      </c>
      <c r="E115">
        <v>1.362676056338028</v>
      </c>
      <c r="F115">
        <v>1.635966826713225</v>
      </c>
      <c r="G115">
        <v>2.6755934266585522</v>
      </c>
      <c r="H115">
        <v>0.54213483146067409</v>
      </c>
      <c r="I115">
        <v>2.5616971584274029</v>
      </c>
    </row>
    <row r="116" spans="1:9" x14ac:dyDescent="0.35">
      <c r="A116" s="1" t="s">
        <v>128</v>
      </c>
      <c r="B116" t="str">
        <f>HYPERLINK("https://www.suredividend.com/sure-analysis-research-database/","Angiodynamic Inc")</f>
        <v>Angiodynamic Inc</v>
      </c>
      <c r="C116">
        <v>-9.9999999999999006E-2</v>
      </c>
      <c r="D116">
        <v>-0.31775700934579398</v>
      </c>
      <c r="E116">
        <v>-0.27722772277227697</v>
      </c>
      <c r="F116">
        <v>-0.52287581699346408</v>
      </c>
      <c r="G116">
        <v>-0.54311543810848406</v>
      </c>
      <c r="H116">
        <v>-0.75995615637559311</v>
      </c>
      <c r="I116">
        <v>-0.67555555555555502</v>
      </c>
    </row>
    <row r="117" spans="1:9" x14ac:dyDescent="0.35">
      <c r="A117" s="1" t="s">
        <v>129</v>
      </c>
      <c r="B117" t="str">
        <f>HYPERLINK("https://www.suredividend.com/sure-analysis-research-database/","Anika Therapeutics Inc.")</f>
        <v>Anika Therapeutics Inc.</v>
      </c>
      <c r="C117">
        <v>6.9261591299370012E-2</v>
      </c>
      <c r="D117">
        <v>-0.25100240577385702</v>
      </c>
      <c r="E117">
        <v>-0.32611832611832597</v>
      </c>
      <c r="F117">
        <v>-0.36891891891891798</v>
      </c>
      <c r="G117">
        <v>-0.21677148846960101</v>
      </c>
      <c r="H117">
        <v>-0.55160825732117102</v>
      </c>
      <c r="I117">
        <v>-0.54549878345498704</v>
      </c>
    </row>
    <row r="118" spans="1:9" x14ac:dyDescent="0.35">
      <c r="A118" s="1" t="s">
        <v>130</v>
      </c>
      <c r="B118" t="str">
        <f>HYPERLINK("https://www.suredividend.com/sure-analysis-research-database/","ANI Pharmaceuticals Inc")</f>
        <v>ANI Pharmaceuticals Inc</v>
      </c>
      <c r="C118">
        <v>-7.5813431639685E-2</v>
      </c>
      <c r="D118">
        <v>0.14677804295942701</v>
      </c>
      <c r="E118">
        <v>0.50078084331077499</v>
      </c>
      <c r="F118">
        <v>0.43325876211782199</v>
      </c>
      <c r="G118">
        <v>0.73570138470800706</v>
      </c>
      <c r="H118">
        <v>0.49610793980280199</v>
      </c>
      <c r="I118">
        <v>5.6624518966463998E-2</v>
      </c>
    </row>
    <row r="119" spans="1:9" x14ac:dyDescent="0.35">
      <c r="A119" s="1" t="s">
        <v>131</v>
      </c>
      <c r="B119" t="str">
        <f>HYPERLINK("https://www.suredividend.com/sure-analysis-research-database/","AN2 Therapeutics Inc")</f>
        <v>AN2 Therapeutics Inc</v>
      </c>
      <c r="C119">
        <v>-5.4989816700609997E-2</v>
      </c>
      <c r="D119">
        <v>0.75979772439949411</v>
      </c>
      <c r="E119">
        <v>0.58722919042189203</v>
      </c>
      <c r="F119">
        <v>0.46065057712486901</v>
      </c>
      <c r="G119">
        <v>-0.221476510067114</v>
      </c>
      <c r="H119">
        <v>-9.6103896103896011E-2</v>
      </c>
      <c r="I119">
        <v>-9.6103896103896011E-2</v>
      </c>
    </row>
    <row r="120" spans="1:9" x14ac:dyDescent="0.35">
      <c r="A120" s="1" t="s">
        <v>132</v>
      </c>
      <c r="B120" t="str">
        <f>HYPERLINK("https://www.suredividend.com/sure-analysis-research-database/","Angel Oak Mortgage REIT Inc")</f>
        <v>Angel Oak Mortgage REIT Inc</v>
      </c>
      <c r="C120">
        <v>-0.1240478781284</v>
      </c>
      <c r="D120">
        <v>-2.3141238001625999E-2</v>
      </c>
      <c r="E120">
        <v>7.9826691169566005E-2</v>
      </c>
      <c r="F120">
        <v>0.91325014854426612</v>
      </c>
      <c r="G120">
        <v>4.6868497711194002E-2</v>
      </c>
      <c r="H120">
        <v>-0.40621519351483698</v>
      </c>
      <c r="I120">
        <v>-0.43471482943134399</v>
      </c>
    </row>
    <row r="121" spans="1:9" x14ac:dyDescent="0.35">
      <c r="A121" s="1" t="s">
        <v>133</v>
      </c>
      <c r="B121" t="str">
        <f>HYPERLINK("https://www.suredividend.com/sure-analysis-research-database/","Artivion Inc")</f>
        <v>Artivion Inc</v>
      </c>
      <c r="C121">
        <v>-9.5141700404858004E-2</v>
      </c>
      <c r="D121">
        <v>-0.143130990415335</v>
      </c>
      <c r="E121">
        <v>-3.7147102525999999E-3</v>
      </c>
      <c r="F121">
        <v>0.106435643564356</v>
      </c>
      <c r="G121">
        <v>0.28694817658349298</v>
      </c>
      <c r="H121">
        <v>-0.37219101123595499</v>
      </c>
      <c r="I121">
        <v>-0.56133464180569104</v>
      </c>
    </row>
    <row r="122" spans="1:9" x14ac:dyDescent="0.35">
      <c r="A122" s="1" t="s">
        <v>134</v>
      </c>
      <c r="B122" t="str">
        <f>HYPERLINK("https://www.suredividend.com/sure-analysis-research-database/","Alpha &amp; Omega Semiconductor Ltd")</f>
        <v>Alpha &amp; Omega Semiconductor Ltd</v>
      </c>
      <c r="C122">
        <v>-7.2831978319783011E-2</v>
      </c>
      <c r="D122">
        <v>-0.14522173641474001</v>
      </c>
      <c r="E122">
        <v>7.1232876712328003E-2</v>
      </c>
      <c r="F122">
        <v>-4.2002100105005012E-2</v>
      </c>
      <c r="G122">
        <v>-6.8413886997957002E-2</v>
      </c>
      <c r="H122">
        <v>-0.13930817610062801</v>
      </c>
      <c r="I122">
        <v>1.60418648905804</v>
      </c>
    </row>
    <row r="123" spans="1:9" x14ac:dyDescent="0.35">
      <c r="A123" s="1" t="s">
        <v>135</v>
      </c>
      <c r="B123" t="str">
        <f>HYPERLINK("https://www.suredividend.com/sure-analysis-APAM/","Artisan Partners Asset Management Inc")</f>
        <v>Artisan Partners Asset Management Inc</v>
      </c>
      <c r="C123">
        <v>-4.6211714132186013E-2</v>
      </c>
      <c r="D123">
        <v>-0.13284349168506801</v>
      </c>
      <c r="E123">
        <v>3.9458427519002998E-2</v>
      </c>
      <c r="F123">
        <v>0.24616497118024</v>
      </c>
      <c r="G123">
        <v>0.41448351429425201</v>
      </c>
      <c r="H123">
        <v>-0.13369628611937401</v>
      </c>
      <c r="I123">
        <v>0.7673737821301081</v>
      </c>
    </row>
    <row r="124" spans="1:9" x14ac:dyDescent="0.35">
      <c r="A124" s="1" t="s">
        <v>136</v>
      </c>
      <c r="B124" t="str">
        <f>HYPERLINK("https://www.suredividend.com/sure-analysis-research-database/","American Public Education Inc")</f>
        <v>American Public Education Inc</v>
      </c>
      <c r="C124">
        <v>-7.7405857740585005E-2</v>
      </c>
      <c r="D124">
        <v>-5.9701492537313001E-2</v>
      </c>
      <c r="E124">
        <v>-0.302215189873417</v>
      </c>
      <c r="F124">
        <v>-0.6411716842961751</v>
      </c>
      <c r="G124">
        <v>-0.58707865168539308</v>
      </c>
      <c r="H124">
        <v>-0.82486100079428104</v>
      </c>
      <c r="I124">
        <v>-0.84928229665071708</v>
      </c>
    </row>
    <row r="125" spans="1:9" x14ac:dyDescent="0.35">
      <c r="A125" s="1" t="s">
        <v>137</v>
      </c>
      <c r="B125" t="str">
        <f>HYPERLINK("https://www.suredividend.com/sure-analysis-research-database/","APi Group Corporation")</f>
        <v>APi Group Corporation</v>
      </c>
      <c r="C125">
        <v>-3.2793064455332997E-2</v>
      </c>
      <c r="D125">
        <v>-9.0715804394046001E-2</v>
      </c>
      <c r="E125">
        <v>0.20752941176470599</v>
      </c>
      <c r="F125">
        <v>0.36416799574694297</v>
      </c>
      <c r="G125">
        <v>0.80704225352112602</v>
      </c>
      <c r="H125">
        <v>0.23128598848368501</v>
      </c>
      <c r="I125">
        <v>1.467307692307692</v>
      </c>
    </row>
    <row r="126" spans="1:9" x14ac:dyDescent="0.35">
      <c r="A126" s="1" t="s">
        <v>138</v>
      </c>
      <c r="B126" t="str">
        <f>HYPERLINK("https://www.suredividend.com/sure-analysis-research-database/","Applied Digital Corporation")</f>
        <v>Applied Digital Corporation</v>
      </c>
      <c r="C126">
        <v>-2.4714828897338E-2</v>
      </c>
      <c r="D126">
        <v>-0.313253012048192</v>
      </c>
      <c r="E126">
        <v>0.45120226308345102</v>
      </c>
      <c r="F126">
        <v>1.788043478260869</v>
      </c>
      <c r="G126">
        <v>1.658031088082901</v>
      </c>
      <c r="H126">
        <v>1025</v>
      </c>
      <c r="I126">
        <v>1025</v>
      </c>
    </row>
    <row r="127" spans="1:9" x14ac:dyDescent="0.35">
      <c r="A127" s="1" t="s">
        <v>139</v>
      </c>
      <c r="B127" t="str">
        <f>HYPERLINK("https://www.suredividend.com/sure-analysis-APLE/","Apple Hospitality REIT Inc")</f>
        <v>Apple Hospitality REIT Inc</v>
      </c>
      <c r="C127">
        <v>-2.8903169724627999E-2</v>
      </c>
      <c r="D127">
        <v>4.6041895181786002E-2</v>
      </c>
      <c r="E127">
        <v>3.2772704160806E-2</v>
      </c>
      <c r="F127">
        <v>3.8816121576024001E-2</v>
      </c>
      <c r="G127">
        <v>9.2094880979813012E-2</v>
      </c>
      <c r="H127">
        <v>6.2904365791333003E-2</v>
      </c>
      <c r="I127">
        <v>0.16254868730116201</v>
      </c>
    </row>
    <row r="128" spans="1:9" x14ac:dyDescent="0.35">
      <c r="A128" s="1" t="s">
        <v>140</v>
      </c>
      <c r="B128" t="str">
        <f>HYPERLINK("https://www.suredividend.com/sure-analysis-research-database/","Apellis Pharmaceuticals Inc")</f>
        <v>Apellis Pharmaceuticals Inc</v>
      </c>
      <c r="C128">
        <v>9.0009000900090008E-2</v>
      </c>
      <c r="D128">
        <v>-0.42674556213017711</v>
      </c>
      <c r="E128">
        <v>-0.40160592958616398</v>
      </c>
      <c r="F128">
        <v>-6.3237284857861009E-2</v>
      </c>
      <c r="G128">
        <v>-0.14927994380049101</v>
      </c>
      <c r="H128">
        <v>0.39878717874675101</v>
      </c>
      <c r="I128">
        <v>2.1091142490372272</v>
      </c>
    </row>
    <row r="129" spans="1:9" x14ac:dyDescent="0.35">
      <c r="A129" s="1" t="s">
        <v>141</v>
      </c>
      <c r="B129" t="str">
        <f>HYPERLINK("https://www.suredividend.com/sure-analysis-APOG/","Apogee Enterprises Inc.")</f>
        <v>Apogee Enterprises Inc.</v>
      </c>
      <c r="C129">
        <v>-7.3453341609766007E-2</v>
      </c>
      <c r="D129">
        <v>-5.8056373580142998E-2</v>
      </c>
      <c r="E129">
        <v>8.4931374092962003E-2</v>
      </c>
      <c r="F129">
        <v>3.5301515960705E-2</v>
      </c>
      <c r="G129">
        <v>0.112773285489217</v>
      </c>
      <c r="H129">
        <v>0.21592266753556999</v>
      </c>
      <c r="I129">
        <v>0.29261322633721099</v>
      </c>
    </row>
    <row r="130" spans="1:9" x14ac:dyDescent="0.35">
      <c r="A130" s="1" t="s">
        <v>142</v>
      </c>
      <c r="B130" t="str">
        <f>HYPERLINK("https://www.suredividend.com/sure-analysis-research-database/","Appfolio Inc")</f>
        <v>Appfolio Inc</v>
      </c>
      <c r="C130">
        <v>3.8337593065889998E-3</v>
      </c>
      <c r="D130">
        <v>-4.1487612074911001E-2</v>
      </c>
      <c r="E130">
        <v>0.41038251366120199</v>
      </c>
      <c r="F130">
        <v>0.71446194723856504</v>
      </c>
      <c r="G130">
        <v>0.75817438692098005</v>
      </c>
      <c r="H130">
        <v>0.39491970352069111</v>
      </c>
      <c r="I130">
        <v>1.856894370651486</v>
      </c>
    </row>
    <row r="131" spans="1:9" x14ac:dyDescent="0.35">
      <c r="A131" s="1" t="s">
        <v>143</v>
      </c>
      <c r="B131" t="str">
        <f>HYPERLINK("https://www.suredividend.com/sure-analysis-research-database/","AppHarvest Inc")</f>
        <v>AppHarvest Inc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 s="1" t="s">
        <v>144</v>
      </c>
      <c r="B132" t="str">
        <f>HYPERLINK("https://www.suredividend.com/sure-analysis-research-database/","Appian Corp")</f>
        <v>Appian Corp</v>
      </c>
      <c r="C132">
        <v>-0.100675528437568</v>
      </c>
      <c r="D132">
        <v>-0.18212445501387201</v>
      </c>
      <c r="E132">
        <v>2.2547076313181001E-2</v>
      </c>
      <c r="F132">
        <v>0.26750614250614202</v>
      </c>
      <c r="G132">
        <v>6.8064182194617004E-2</v>
      </c>
      <c r="H132">
        <v>-0.551315503370297</v>
      </c>
      <c r="I132">
        <v>0.63058079810351608</v>
      </c>
    </row>
    <row r="133" spans="1:9" x14ac:dyDescent="0.35">
      <c r="A133" s="1" t="s">
        <v>145</v>
      </c>
      <c r="B133" t="str">
        <f>HYPERLINK("https://www.suredividend.com/sure-analysis-research-database/","Digital Turbine Inc")</f>
        <v>Digital Turbine Inc</v>
      </c>
      <c r="C133">
        <v>-0.22351233671988299</v>
      </c>
      <c r="D133">
        <v>-0.50371057513914608</v>
      </c>
      <c r="E133">
        <v>-0.56397718011409903</v>
      </c>
      <c r="F133">
        <v>-0.64895013123359502</v>
      </c>
      <c r="G133">
        <v>-0.58972392638036808</v>
      </c>
      <c r="H133">
        <v>-0.93682097307510603</v>
      </c>
      <c r="I133">
        <v>3.1796875</v>
      </c>
    </row>
    <row r="134" spans="1:9" x14ac:dyDescent="0.35">
      <c r="A134" s="1" t="s">
        <v>146</v>
      </c>
      <c r="B134" t="str">
        <f>HYPERLINK("https://www.suredividend.com/sure-analysis-research-database/","ArcBest Corp")</f>
        <v>ArcBest Corp</v>
      </c>
      <c r="C134">
        <v>-5.9158245854998001E-2</v>
      </c>
      <c r="D134">
        <v>3.2870991297870001E-3</v>
      </c>
      <c r="E134">
        <v>2.6290809506941001E-2</v>
      </c>
      <c r="F134">
        <v>0.377548968346539</v>
      </c>
      <c r="G134">
        <v>0.27496417071490997</v>
      </c>
      <c r="H134">
        <v>0.13775495676768401</v>
      </c>
      <c r="I134">
        <v>1.5261172603086131</v>
      </c>
    </row>
    <row r="135" spans="1:9" x14ac:dyDescent="0.35">
      <c r="A135" s="1" t="s">
        <v>147</v>
      </c>
      <c r="B135" t="str">
        <f>HYPERLINK("https://www.suredividend.com/sure-analysis-research-database/","Arch Resources Inc")</f>
        <v>Arch Resources Inc</v>
      </c>
      <c r="C135">
        <v>-3.4560339978750999E-2</v>
      </c>
      <c r="D135">
        <v>0.41820662227579503</v>
      </c>
      <c r="E135">
        <v>0.19177116265577901</v>
      </c>
      <c r="F135">
        <v>8.8167795361339008E-2</v>
      </c>
      <c r="G135">
        <v>0.12427749450888501</v>
      </c>
      <c r="H135">
        <v>0.66323031454734305</v>
      </c>
      <c r="I135">
        <v>0.73472653464568205</v>
      </c>
    </row>
    <row r="136" spans="1:9" x14ac:dyDescent="0.35">
      <c r="A136" s="1" t="s">
        <v>148</v>
      </c>
      <c r="B136" t="str">
        <f>HYPERLINK("https://www.suredividend.com/sure-analysis-research-database/","Arcturus Therapeutics Holdings Inc")</f>
        <v>Arcturus Therapeutics Holdings Inc</v>
      </c>
      <c r="C136">
        <v>-0.19691660826909599</v>
      </c>
      <c r="D136">
        <v>-0.353273137697516</v>
      </c>
      <c r="E136">
        <v>-0.16866158868335099</v>
      </c>
      <c r="F136">
        <v>0.35141509433962198</v>
      </c>
      <c r="G136">
        <v>0.60279720279720206</v>
      </c>
      <c r="H136">
        <v>-0.49692712906057912</v>
      </c>
      <c r="I136">
        <v>2.3025936599423629</v>
      </c>
    </row>
    <row r="137" spans="1:9" x14ac:dyDescent="0.35">
      <c r="A137" s="1" t="s">
        <v>149</v>
      </c>
      <c r="B137" t="str">
        <f>HYPERLINK("https://www.suredividend.com/sure-analysis-research-database/","Arena Group Holdings Inc (The)")</f>
        <v>Arena Group Holdings Inc (The)</v>
      </c>
      <c r="C137">
        <v>-8.6680761099365011E-2</v>
      </c>
      <c r="D137">
        <v>-6.8965517241370003E-3</v>
      </c>
      <c r="E137">
        <v>9.3457943925230012E-3</v>
      </c>
      <c r="F137">
        <v>-0.59283694627709704</v>
      </c>
      <c r="G137">
        <v>-0.66328916601714705</v>
      </c>
      <c r="H137">
        <v>18.63636363636364</v>
      </c>
      <c r="I137">
        <v>18.63636363636364</v>
      </c>
    </row>
    <row r="138" spans="1:9" x14ac:dyDescent="0.35">
      <c r="A138" s="1" t="s">
        <v>150</v>
      </c>
      <c r="B138" t="str">
        <f>HYPERLINK("https://www.suredividend.com/sure-analysis-research-database/","Argo Group International Holdings Ltd")</f>
        <v>Argo Group International Holdings Ltd</v>
      </c>
      <c r="C138">
        <v>-3.0191211003010002E-3</v>
      </c>
      <c r="D138">
        <v>6.7340067340000004E-4</v>
      </c>
      <c r="E138">
        <v>6.0934326337160009E-3</v>
      </c>
      <c r="F138">
        <v>0.14970986460348101</v>
      </c>
      <c r="G138">
        <v>0.35227981089922911</v>
      </c>
      <c r="H138">
        <v>-0.44163781231740912</v>
      </c>
      <c r="I138">
        <v>-0.43523652795883211</v>
      </c>
    </row>
    <row r="139" spans="1:9" x14ac:dyDescent="0.35">
      <c r="A139" s="1" t="s">
        <v>151</v>
      </c>
      <c r="B139" t="str">
        <f>HYPERLINK("https://www.suredividend.com/sure-analysis-ARI/","Apollo Commercial Real Estate Finance Inc")</f>
        <v>Apollo Commercial Real Estate Finance Inc</v>
      </c>
      <c r="C139">
        <v>-5.1352926797164002E-2</v>
      </c>
      <c r="D139">
        <v>-0.11109936481926801</v>
      </c>
      <c r="E139">
        <v>0.17378811321413101</v>
      </c>
      <c r="F139">
        <v>4.0034633462521001E-2</v>
      </c>
      <c r="G139">
        <v>0.27334679454820798</v>
      </c>
      <c r="H139">
        <v>-0.148178164995103</v>
      </c>
      <c r="I139">
        <v>-1.1646700428057001E-2</v>
      </c>
    </row>
    <row r="140" spans="1:9" x14ac:dyDescent="0.35">
      <c r="A140" s="1" t="s">
        <v>152</v>
      </c>
      <c r="B140" t="str">
        <f>HYPERLINK("https://www.suredividend.com/sure-analysis-research-database/","Aris Water Solutions Inc")</f>
        <v>Aris Water Solutions Inc</v>
      </c>
      <c r="C140">
        <v>-0.15896487985212501</v>
      </c>
      <c r="D140">
        <v>-6.3997860566538001E-2</v>
      </c>
      <c r="E140">
        <v>0.17680529691702801</v>
      </c>
      <c r="F140">
        <v>-0.34966554227888602</v>
      </c>
      <c r="G140">
        <v>-0.31888776617641501</v>
      </c>
      <c r="H140">
        <v>-0.32744043043812399</v>
      </c>
      <c r="I140">
        <v>-0.32744043043812399</v>
      </c>
    </row>
    <row r="141" spans="1:9" x14ac:dyDescent="0.35">
      <c r="A141" s="1" t="s">
        <v>153</v>
      </c>
      <c r="B141" t="str">
        <f>HYPERLINK("https://www.suredividend.com/sure-analysis-research-database/","ARKO Corp")</f>
        <v>ARKO Corp</v>
      </c>
      <c r="C141">
        <v>3.1165311653116E-2</v>
      </c>
      <c r="D141">
        <v>-4.2971943106504998E-2</v>
      </c>
      <c r="E141">
        <v>-0.12227079272442</v>
      </c>
      <c r="F141">
        <v>-0.10802194195695899</v>
      </c>
      <c r="G141">
        <v>-0.17900142407111699</v>
      </c>
      <c r="H141">
        <v>-0.205512345356788</v>
      </c>
      <c r="I141">
        <v>-0.231313131313131</v>
      </c>
    </row>
    <row r="142" spans="1:9" x14ac:dyDescent="0.35">
      <c r="A142" s="1" t="s">
        <v>154</v>
      </c>
      <c r="B142" t="str">
        <f>HYPERLINK("https://www.suredividend.com/sure-analysis-research-database/","American Realty Investors Inc.")</f>
        <v>American Realty Investors Inc.</v>
      </c>
      <c r="C142">
        <v>-0.151759953837276</v>
      </c>
      <c r="D142">
        <v>-0.23873640600724999</v>
      </c>
      <c r="E142">
        <v>-0.28606119475473502</v>
      </c>
      <c r="F142">
        <v>-0.42690058479532111</v>
      </c>
      <c r="G142">
        <v>-5.8295964125560013E-2</v>
      </c>
      <c r="H142">
        <v>0.241554054054053</v>
      </c>
      <c r="I142">
        <v>-0.113924050632911</v>
      </c>
    </row>
    <row r="143" spans="1:9" x14ac:dyDescent="0.35">
      <c r="A143" s="1" t="s">
        <v>155</v>
      </c>
      <c r="B143" t="str">
        <f>HYPERLINK("https://www.suredividend.com/sure-analysis-research-database/","Arlo Technologies Inc")</f>
        <v>Arlo Technologies Inc</v>
      </c>
      <c r="C143">
        <v>-0.22922374429223699</v>
      </c>
      <c r="D143">
        <v>-0.21996303142328999</v>
      </c>
      <c r="E143">
        <v>0.31669266770670801</v>
      </c>
      <c r="F143">
        <v>1.4045584045584041</v>
      </c>
      <c r="G143">
        <v>0.91383219954648509</v>
      </c>
      <c r="H143">
        <v>0.30046224961479101</v>
      </c>
      <c r="I143">
        <v>-0.33751962323390899</v>
      </c>
    </row>
    <row r="144" spans="1:9" x14ac:dyDescent="0.35">
      <c r="A144" s="1" t="s">
        <v>156</v>
      </c>
      <c r="B144" t="str">
        <f>HYPERLINK("https://www.suredividend.com/sure-analysis-research-database/","Arconic Corporation")</f>
        <v>Arconic Corporation</v>
      </c>
      <c r="C144">
        <v>8.4061869535970012E-3</v>
      </c>
      <c r="D144">
        <v>3.951473136915E-2</v>
      </c>
      <c r="E144">
        <v>0.24336650082918701</v>
      </c>
      <c r="F144">
        <v>0.41729678638941298</v>
      </c>
      <c r="G144">
        <v>9.6927578639356013E-2</v>
      </c>
      <c r="H144">
        <v>-0.14582739960125299</v>
      </c>
      <c r="I144">
        <v>3.3338150289017339</v>
      </c>
    </row>
    <row r="145" spans="1:9" x14ac:dyDescent="0.35">
      <c r="A145" s="1" t="s">
        <v>157</v>
      </c>
      <c r="B145" t="str">
        <f>HYPERLINK("https://www.suredividend.com/sure-analysis-research-database/","Archrock Inc")</f>
        <v>Archrock Inc</v>
      </c>
      <c r="C145">
        <v>6.9364161849710004E-2</v>
      </c>
      <c r="D145">
        <v>0.277611704699045</v>
      </c>
      <c r="E145">
        <v>0.31128617428461403</v>
      </c>
      <c r="F145">
        <v>0.50518387651680607</v>
      </c>
      <c r="G145">
        <v>1.0473337233016611</v>
      </c>
      <c r="H145">
        <v>0.70720453496803104</v>
      </c>
      <c r="I145">
        <v>0.58891806336040808</v>
      </c>
    </row>
    <row r="146" spans="1:9" x14ac:dyDescent="0.35">
      <c r="A146" s="1" t="s">
        <v>158</v>
      </c>
      <c r="B146" t="str">
        <f>HYPERLINK("https://www.suredividend.com/sure-analysis-AROW/","Arrow Financial Corp.")</f>
        <v>Arrow Financial Corp.</v>
      </c>
      <c r="C146">
        <v>7.4273072060680014E-3</v>
      </c>
      <c r="D146">
        <v>-5.7465559210700012E-2</v>
      </c>
      <c r="E146">
        <v>-0.153563096299387</v>
      </c>
      <c r="F146">
        <v>-0.42782593086470411</v>
      </c>
      <c r="G146">
        <v>-0.35636709791873999</v>
      </c>
      <c r="H146">
        <v>-0.42104102337891403</v>
      </c>
      <c r="I146">
        <v>-0.28328796164687098</v>
      </c>
    </row>
    <row r="147" spans="1:9" x14ac:dyDescent="0.35">
      <c r="A147" s="1" t="s">
        <v>159</v>
      </c>
      <c r="B147" t="str">
        <f>HYPERLINK("https://www.suredividend.com/sure-analysis-research-database/","Arcutis Biotherapeutics Inc")</f>
        <v>Arcutis Biotherapeutics Inc</v>
      </c>
      <c r="C147">
        <v>-0.43024963289280399</v>
      </c>
      <c r="D147">
        <v>-0.58898305084745706</v>
      </c>
      <c r="E147">
        <v>-0.72066234701223908</v>
      </c>
      <c r="F147">
        <v>-0.73783783783783707</v>
      </c>
      <c r="G147">
        <v>-0.79184549356223111</v>
      </c>
      <c r="H147">
        <v>-0.82585278276481111</v>
      </c>
      <c r="I147">
        <v>-0.82201834862385303</v>
      </c>
    </row>
    <row r="148" spans="1:9" x14ac:dyDescent="0.35">
      <c r="A148" s="1" t="s">
        <v>160</v>
      </c>
      <c r="B148" t="str">
        <f>HYPERLINK("https://www.suredividend.com/sure-analysis-ARR/","ARMOUR Residential REIT Inc")</f>
        <v>ARMOUR Residential REIT Inc</v>
      </c>
      <c r="C148">
        <v>-0.24164411888552101</v>
      </c>
      <c r="D148">
        <v>-0.236916622968012</v>
      </c>
      <c r="E148">
        <v>-0.21611383802558901</v>
      </c>
      <c r="F148">
        <v>-0.238606302112982</v>
      </c>
      <c r="G148">
        <v>-5.2559755405200997E-2</v>
      </c>
      <c r="H148">
        <v>-0.51826182297777201</v>
      </c>
      <c r="I148">
        <v>-0.65711269663239003</v>
      </c>
    </row>
    <row r="149" spans="1:9" x14ac:dyDescent="0.35">
      <c r="A149" s="1" t="s">
        <v>161</v>
      </c>
      <c r="B149" t="str">
        <f>HYPERLINK("https://www.suredividend.com/sure-analysis-research-database/","Array Technologies Inc")</f>
        <v>Array Technologies Inc</v>
      </c>
      <c r="C149">
        <v>-0.227344992050874</v>
      </c>
      <c r="D149">
        <v>-9.1743119266050003E-3</v>
      </c>
      <c r="E149">
        <v>-9.1164095371668002E-2</v>
      </c>
      <c r="F149">
        <v>5.6906363166060007E-3</v>
      </c>
      <c r="G149">
        <v>0.25419354838709601</v>
      </c>
      <c r="H149">
        <v>3.0206677265500002E-2</v>
      </c>
      <c r="I149">
        <v>-0.46666666666666612</v>
      </c>
    </row>
    <row r="150" spans="1:9" x14ac:dyDescent="0.35">
      <c r="A150" s="1" t="s">
        <v>162</v>
      </c>
      <c r="B150" t="str">
        <f>HYPERLINK("https://www.suredividend.com/sure-analysis-ARTNA/","Artesian Resources Corp.")</f>
        <v>Artesian Resources Corp.</v>
      </c>
      <c r="C150">
        <v>-0.12766865926558499</v>
      </c>
      <c r="D150">
        <v>-0.14712064506567701</v>
      </c>
      <c r="E150">
        <v>-0.261487075120103</v>
      </c>
      <c r="F150">
        <v>-0.29137791096959398</v>
      </c>
      <c r="G150">
        <v>-0.105250249636494</v>
      </c>
      <c r="H150">
        <v>9.3735779561113008E-2</v>
      </c>
      <c r="I150">
        <v>0.30316222551786798</v>
      </c>
    </row>
    <row r="151" spans="1:9" x14ac:dyDescent="0.35">
      <c r="A151" s="1" t="s">
        <v>163</v>
      </c>
      <c r="B151" t="str">
        <f>HYPERLINK("https://www.suredividend.com/sure-analysis-research-database/","Arvinas Inc")</f>
        <v>Arvinas Inc</v>
      </c>
      <c r="C151">
        <v>-0.30983606557377003</v>
      </c>
      <c r="D151">
        <v>-0.30298013245033101</v>
      </c>
      <c r="E151">
        <v>-0.37304542069992502</v>
      </c>
      <c r="F151">
        <v>-0.50774627301958508</v>
      </c>
      <c r="G151">
        <v>-0.60357815442561202</v>
      </c>
      <c r="H151">
        <v>-0.80211515863689709</v>
      </c>
      <c r="I151">
        <v>0.12266666666666599</v>
      </c>
    </row>
    <row r="152" spans="1:9" x14ac:dyDescent="0.35">
      <c r="A152" s="1" t="s">
        <v>164</v>
      </c>
      <c r="B152" t="str">
        <f>HYPERLINK("https://www.suredividend.com/sure-analysis-research-database/","Arrowhead Pharmaceuticals Inc.")</f>
        <v>Arrowhead Pharmaceuticals Inc.</v>
      </c>
      <c r="C152">
        <v>-8.022130013831201E-2</v>
      </c>
      <c r="D152">
        <v>-0.23121387283236899</v>
      </c>
      <c r="E152">
        <v>-0.12672357189757</v>
      </c>
      <c r="F152">
        <v>-0.34418145956607399</v>
      </c>
      <c r="G152">
        <v>-0.169269206745783</v>
      </c>
      <c r="H152">
        <v>-0.59794437726723004</v>
      </c>
      <c r="I152">
        <v>1.0228136882129271</v>
      </c>
    </row>
    <row r="153" spans="1:9" x14ac:dyDescent="0.35">
      <c r="A153" s="1" t="s">
        <v>165</v>
      </c>
      <c r="B153" t="str">
        <f>HYPERLINK("https://www.suredividend.com/sure-analysis-research-database/","Asana Inc")</f>
        <v>Asana Inc</v>
      </c>
      <c r="C153">
        <v>-3.6712328767122999E-2</v>
      </c>
      <c r="D153">
        <v>-0.236316246741963</v>
      </c>
      <c r="E153">
        <v>-4.0393013100436012E-2</v>
      </c>
      <c r="F153">
        <v>0.276688453159041</v>
      </c>
      <c r="G153">
        <v>-8.5327783558793002E-2</v>
      </c>
      <c r="H153">
        <v>-0.84857881136950908</v>
      </c>
      <c r="I153">
        <v>-0.389583333333333</v>
      </c>
    </row>
    <row r="154" spans="1:9" x14ac:dyDescent="0.35">
      <c r="A154" s="1" t="s">
        <v>166</v>
      </c>
      <c r="B154" t="str">
        <f>HYPERLINK("https://www.suredividend.com/sure-analysis-ASB/","Associated Banc-Corp.")</f>
        <v>Associated Banc-Corp.</v>
      </c>
      <c r="C154">
        <v>-9.3997734994337001E-2</v>
      </c>
      <c r="D154">
        <v>-5.2705118944712998E-2</v>
      </c>
      <c r="E154">
        <v>-8.8651431956437002E-2</v>
      </c>
      <c r="F154">
        <v>-0.282353521625828</v>
      </c>
      <c r="G154">
        <v>-0.22587886939608801</v>
      </c>
      <c r="H154">
        <v>-0.20919312986531499</v>
      </c>
      <c r="I154">
        <v>-0.225481653596669</v>
      </c>
    </row>
    <row r="155" spans="1:9" x14ac:dyDescent="0.35">
      <c r="A155" s="1" t="s">
        <v>167</v>
      </c>
      <c r="B155" t="str">
        <f>HYPERLINK("https://www.suredividend.com/sure-analysis-research-database/","Ardmore Shipping Corp")</f>
        <v>Ardmore Shipping Corp</v>
      </c>
      <c r="C155">
        <v>5.1159072741806012E-2</v>
      </c>
      <c r="D155">
        <v>0.13107576917452901</v>
      </c>
      <c r="E155">
        <v>-9.9962355839978007E-2</v>
      </c>
      <c r="F155">
        <v>-2.4191154645295001E-2</v>
      </c>
      <c r="G155">
        <v>0.33918569362690199</v>
      </c>
      <c r="H155">
        <v>2.6240870883285101</v>
      </c>
      <c r="I155">
        <v>1.0576775627083099</v>
      </c>
    </row>
    <row r="156" spans="1:9" x14ac:dyDescent="0.35">
      <c r="A156" s="1" t="s">
        <v>168</v>
      </c>
      <c r="B156" t="str">
        <f>HYPERLINK("https://www.suredividend.com/sure-analysis-research-database/","ASGN Inc")</f>
        <v>ASGN Inc</v>
      </c>
      <c r="C156">
        <v>5.8558558558558002E-2</v>
      </c>
      <c r="D156">
        <v>4.1402886806786013E-2</v>
      </c>
      <c r="E156">
        <v>5.4352006153057013E-2</v>
      </c>
      <c r="F156">
        <v>9.450171821305E-3</v>
      </c>
      <c r="G156">
        <v>-9.9419686849885003E-2</v>
      </c>
      <c r="H156">
        <v>-0.30707666385846599</v>
      </c>
      <c r="I156">
        <v>0.259185548071035</v>
      </c>
    </row>
    <row r="157" spans="1:9" x14ac:dyDescent="0.35">
      <c r="A157" s="1" t="s">
        <v>169</v>
      </c>
      <c r="B157" t="str">
        <f>HYPERLINK("https://www.suredividend.com/sure-analysis-research-database/","AdvanSix Inc")</f>
        <v>AdvanSix Inc</v>
      </c>
      <c r="C157">
        <v>-8.545108005082501E-2</v>
      </c>
      <c r="D157">
        <v>-0.22610855447077499</v>
      </c>
      <c r="E157">
        <v>-0.27076262170842602</v>
      </c>
      <c r="F157">
        <v>-0.23354205269098799</v>
      </c>
      <c r="G157">
        <v>-8.4004925183660012E-2</v>
      </c>
      <c r="H157">
        <v>-0.33124895471354499</v>
      </c>
      <c r="I157">
        <v>-4.4362936285330001E-2</v>
      </c>
    </row>
    <row r="158" spans="1:9" x14ac:dyDescent="0.35">
      <c r="A158" s="1" t="s">
        <v>170</v>
      </c>
      <c r="B158" t="str">
        <f>HYPERLINK("https://www.suredividend.com/sure-analysis-research-database/","AerSale Corp")</f>
        <v>AerSale Corp</v>
      </c>
      <c r="C158">
        <v>1.9016393442622001E-2</v>
      </c>
      <c r="D158">
        <v>5.6424201223657003E-2</v>
      </c>
      <c r="E158">
        <v>-0.10638297872340401</v>
      </c>
      <c r="F158">
        <v>-4.1923551171393E-2</v>
      </c>
      <c r="G158">
        <v>-0.15817984832069301</v>
      </c>
      <c r="H158">
        <v>-0.13377926421404601</v>
      </c>
      <c r="I158">
        <v>0.6053719008264461</v>
      </c>
    </row>
    <row r="159" spans="1:9" x14ac:dyDescent="0.35">
      <c r="A159" s="1" t="s">
        <v>171</v>
      </c>
      <c r="B159" t="str">
        <f>HYPERLINK("https://www.suredividend.com/sure-analysis-research-database/","Academy Sports and Outdoors Inc")</f>
        <v>Academy Sports and Outdoors Inc</v>
      </c>
      <c r="C159">
        <v>-0.13741523733545999</v>
      </c>
      <c r="D159">
        <v>-0.23537128249009001</v>
      </c>
      <c r="E159">
        <v>-0.35186184242075402</v>
      </c>
      <c r="F159">
        <v>-0.17121778288780301</v>
      </c>
      <c r="G159">
        <v>-1.0743440600004E-2</v>
      </c>
      <c r="H159">
        <v>8.4076730073667005E-2</v>
      </c>
      <c r="I159">
        <v>2.3765848479170568</v>
      </c>
    </row>
    <row r="160" spans="1:9" x14ac:dyDescent="0.35">
      <c r="A160" s="1" t="s">
        <v>172</v>
      </c>
      <c r="B160" t="str">
        <f>HYPERLINK("https://www.suredividend.com/sure-analysis-research-database/","Aspen Aerogels Inc.")</f>
        <v>Aspen Aerogels Inc.</v>
      </c>
      <c r="C160">
        <v>0.29192546583850898</v>
      </c>
      <c r="D160">
        <v>1.2033694344160001E-3</v>
      </c>
      <c r="E160">
        <v>0.40540540540540498</v>
      </c>
      <c r="F160">
        <v>-0.29431721798133997</v>
      </c>
      <c r="G160">
        <v>-0.101511879049675</v>
      </c>
      <c r="H160">
        <v>-0.83191919191919206</v>
      </c>
      <c r="I160">
        <v>1.1780104712041879</v>
      </c>
    </row>
    <row r="161" spans="1:9" x14ac:dyDescent="0.35">
      <c r="A161" s="1" t="s">
        <v>173</v>
      </c>
      <c r="B161" t="str">
        <f>HYPERLINK("https://www.suredividend.com/sure-analysis-research-database/","Astec Industries Inc.")</f>
        <v>Astec Industries Inc.</v>
      </c>
      <c r="C161">
        <v>-8.7588210875882005E-2</v>
      </c>
      <c r="D161">
        <v>-5.4029627206761001E-2</v>
      </c>
      <c r="E161">
        <v>7.9676490019869012E-2</v>
      </c>
      <c r="F161">
        <v>9.3124456048737009E-2</v>
      </c>
      <c r="G161">
        <v>0.33883567588968899</v>
      </c>
      <c r="H161">
        <v>-0.126837048645663</v>
      </c>
      <c r="I161">
        <v>-4.0390479870247013E-2</v>
      </c>
    </row>
    <row r="162" spans="1:9" x14ac:dyDescent="0.35">
      <c r="A162" s="1" t="s">
        <v>174</v>
      </c>
      <c r="B162" t="str">
        <f>HYPERLINK("https://www.suredividend.com/sure-analysis-research-database/","Astra Space Inc")</f>
        <v>Astra Space Inc</v>
      </c>
      <c r="C162">
        <v>-0.73132841328413201</v>
      </c>
      <c r="D162">
        <v>-0.87021390374331509</v>
      </c>
      <c r="E162">
        <v>-0.87431382703262506</v>
      </c>
      <c r="F162">
        <v>-0.8881051175656981</v>
      </c>
      <c r="G162">
        <v>-0.90756046467339502</v>
      </c>
      <c r="H162">
        <v>-0.99449035187287105</v>
      </c>
      <c r="I162">
        <v>-0.92719000000000007</v>
      </c>
    </row>
    <row r="163" spans="1:9" x14ac:dyDescent="0.35">
      <c r="A163" s="1" t="s">
        <v>175</v>
      </c>
      <c r="B163" t="str">
        <f>HYPERLINK("https://www.suredividend.com/sure-analysis-research-database/","Alphatec Holdings Inc")</f>
        <v>Alphatec Holdings Inc</v>
      </c>
      <c r="C163">
        <v>-0.167161961367013</v>
      </c>
      <c r="D163">
        <v>-0.392741061755146</v>
      </c>
      <c r="E163">
        <v>-0.28141025641025602</v>
      </c>
      <c r="F163">
        <v>-9.2307692307692008E-2</v>
      </c>
      <c r="G163">
        <v>0.23730684326710799</v>
      </c>
      <c r="H163">
        <v>-8.0393765381460008E-2</v>
      </c>
      <c r="I163">
        <v>2.6514657980456029</v>
      </c>
    </row>
    <row r="164" spans="1:9" x14ac:dyDescent="0.35">
      <c r="A164" s="1" t="s">
        <v>176</v>
      </c>
      <c r="B164" t="str">
        <f>HYPERLINK("https://www.suredividend.com/sure-analysis-research-database/","A10 Networks Inc")</f>
        <v>A10 Networks Inc</v>
      </c>
      <c r="C164">
        <v>-0.253251197809719</v>
      </c>
      <c r="D164">
        <v>-0.22482272527035199</v>
      </c>
      <c r="E164">
        <v>-0.258720732718205</v>
      </c>
      <c r="F164">
        <v>-0.33584547297420603</v>
      </c>
      <c r="G164">
        <v>-0.24874676362033801</v>
      </c>
      <c r="H164">
        <v>-0.184286867841014</v>
      </c>
      <c r="I164">
        <v>0.93996941569757109</v>
      </c>
    </row>
    <row r="165" spans="1:9" x14ac:dyDescent="0.35">
      <c r="A165" s="1" t="s">
        <v>177</v>
      </c>
      <c r="B165" t="str">
        <f>HYPERLINK("https://www.suredividend.com/sure-analysis-research-database/","Aterian Inc")</f>
        <v>Aterian Inc</v>
      </c>
      <c r="C165">
        <v>-9.0745192307692013E-2</v>
      </c>
      <c r="D165">
        <v>-0.47917383820998211</v>
      </c>
      <c r="E165">
        <v>-0.63120048750761704</v>
      </c>
      <c r="F165">
        <v>-0.60716603920550405</v>
      </c>
      <c r="G165">
        <v>-0.71452830188679206</v>
      </c>
      <c r="H165">
        <v>-0.96282555282555204</v>
      </c>
      <c r="I165">
        <v>-0.96974000000000005</v>
      </c>
    </row>
    <row r="166" spans="1:9" x14ac:dyDescent="0.35">
      <c r="A166" s="1" t="s">
        <v>178</v>
      </c>
      <c r="B166" t="str">
        <f>HYPERLINK("https://www.suredividend.com/sure-analysis-research-database/","Anterix Inc")</f>
        <v>Anterix Inc</v>
      </c>
      <c r="C166">
        <v>-4.7389073347419007E-2</v>
      </c>
      <c r="D166">
        <v>4.1928029052492002E-2</v>
      </c>
      <c r="E166">
        <v>-1.0968348480100001E-2</v>
      </c>
      <c r="F166">
        <v>-1.8961765620143001E-2</v>
      </c>
      <c r="G166">
        <v>-2.2001859312053999E-2</v>
      </c>
      <c r="H166">
        <v>-0.47320981472208301</v>
      </c>
      <c r="I166">
        <v>-0.20763243786090799</v>
      </c>
    </row>
    <row r="167" spans="1:9" x14ac:dyDescent="0.35">
      <c r="A167" s="1" t="s">
        <v>179</v>
      </c>
      <c r="B167" t="str">
        <f>HYPERLINK("https://www.suredividend.com/sure-analysis-research-database/","Adtalem Global Education Inc")</f>
        <v>Adtalem Global Education Inc</v>
      </c>
      <c r="C167">
        <v>2.8962001853567999E-2</v>
      </c>
      <c r="D167">
        <v>0.134355044699872</v>
      </c>
      <c r="E167">
        <v>0.113032581453633</v>
      </c>
      <c r="F167">
        <v>0.25098591549295701</v>
      </c>
      <c r="G167">
        <v>0.22274229074889801</v>
      </c>
      <c r="H167">
        <v>0.219719857182092</v>
      </c>
      <c r="I167">
        <v>-4.5972073039741997E-2</v>
      </c>
    </row>
    <row r="168" spans="1:9" x14ac:dyDescent="0.35">
      <c r="A168" s="1" t="s">
        <v>180</v>
      </c>
      <c r="B168" t="str">
        <f>HYPERLINK("https://www.suredividend.com/sure-analysis-research-database/","Athira Pharma Inc")</f>
        <v>Athira Pharma Inc</v>
      </c>
      <c r="C168">
        <v>-0.113861386138613</v>
      </c>
      <c r="D168">
        <v>-0.41693811074918502</v>
      </c>
      <c r="E168">
        <v>-0.30350194552529097</v>
      </c>
      <c r="F168">
        <v>-0.43533123028391102</v>
      </c>
      <c r="G168">
        <v>-0.44236760124610502</v>
      </c>
      <c r="H168">
        <v>-0.81276150627615007</v>
      </c>
      <c r="I168">
        <v>-0.89538281706604306</v>
      </c>
    </row>
    <row r="169" spans="1:9" x14ac:dyDescent="0.35">
      <c r="A169" s="1" t="s">
        <v>181</v>
      </c>
      <c r="B169" t="str">
        <f>HYPERLINK("https://www.suredividend.com/sure-analysis-research-database/","ATI Inc")</f>
        <v>ATI Inc</v>
      </c>
      <c r="C169">
        <v>-0.15869809203142499</v>
      </c>
      <c r="D169">
        <v>-0.178970427163198</v>
      </c>
      <c r="E169">
        <v>-6.8892421833590001E-3</v>
      </c>
      <c r="F169">
        <v>0.255190890823844</v>
      </c>
      <c r="G169">
        <v>0.38814814814814802</v>
      </c>
      <c r="H169">
        <v>1.1803374054682949</v>
      </c>
      <c r="I169">
        <v>0.37946264262053703</v>
      </c>
    </row>
    <row r="170" spans="1:9" x14ac:dyDescent="0.35">
      <c r="A170" s="1" t="s">
        <v>182</v>
      </c>
      <c r="B170" t="str">
        <f>HYPERLINK("https://www.suredividend.com/sure-analysis-research-database/","ATI Physical Therapy Inc")</f>
        <v>ATI Physical Therapy Inc</v>
      </c>
      <c r="C170">
        <v>-0.163860830527497</v>
      </c>
      <c r="D170">
        <v>-0.100241545893719</v>
      </c>
      <c r="E170">
        <v>-0.48425060574593198</v>
      </c>
      <c r="F170">
        <v>-0.51147540983606499</v>
      </c>
      <c r="G170">
        <v>-0.85247524752475201</v>
      </c>
      <c r="H170">
        <v>-0.95779036827195407</v>
      </c>
      <c r="I170">
        <v>-0.255</v>
      </c>
    </row>
    <row r="171" spans="1:9" x14ac:dyDescent="0.35">
      <c r="A171" s="1" t="s">
        <v>183</v>
      </c>
      <c r="B171" t="str">
        <f>HYPERLINK("https://www.suredividend.com/sure-analysis-research-database/","Atkore Inc")</f>
        <v>Atkore Inc</v>
      </c>
      <c r="C171">
        <v>-7.0306150094825007E-2</v>
      </c>
      <c r="D171">
        <v>-0.10093666077159801</v>
      </c>
      <c r="E171">
        <v>4.2217160212604E-2</v>
      </c>
      <c r="F171">
        <v>0.21019220596014801</v>
      </c>
      <c r="G171">
        <v>0.65015628756912602</v>
      </c>
      <c r="H171">
        <v>0.56208034596563106</v>
      </c>
      <c r="I171">
        <v>4.7263245723821443</v>
      </c>
    </row>
    <row r="172" spans="1:9" x14ac:dyDescent="0.35">
      <c r="A172" s="1" t="s">
        <v>184</v>
      </c>
      <c r="B172" t="str">
        <f>HYPERLINK("https://www.suredividend.com/sure-analysis-research-database/","Atlanticus Holdings Corp")</f>
        <v>Atlanticus Holdings Corp</v>
      </c>
      <c r="C172">
        <v>-8.4145549057829006E-2</v>
      </c>
      <c r="D172">
        <v>-0.32928860337853899</v>
      </c>
      <c r="E172">
        <v>-1.5712290502792998E-2</v>
      </c>
      <c r="F172">
        <v>7.5954198473282011E-2</v>
      </c>
      <c r="G172">
        <v>0.10505684045472299</v>
      </c>
      <c r="H172">
        <v>-0.54751203852327401</v>
      </c>
      <c r="I172">
        <v>7.4401197604790417</v>
      </c>
    </row>
    <row r="173" spans="1:9" x14ac:dyDescent="0.35">
      <c r="A173" s="1" t="s">
        <v>185</v>
      </c>
      <c r="B173" t="str">
        <f>HYPERLINK("https://www.suredividend.com/sure-analysis-research-database/","ATN International Inc")</f>
        <v>ATN International Inc</v>
      </c>
      <c r="C173">
        <v>-1.5559456162794E-2</v>
      </c>
      <c r="D173">
        <v>-5.2823210840578998E-2</v>
      </c>
      <c r="E173">
        <v>-0.14708801051641199</v>
      </c>
      <c r="F173">
        <v>-0.24739179977756001</v>
      </c>
      <c r="G173">
        <v>-8.0307064598075004E-2</v>
      </c>
      <c r="H173">
        <v>-0.251894003621836</v>
      </c>
      <c r="I173">
        <v>-0.50373883074929504</v>
      </c>
    </row>
    <row r="174" spans="1:9" x14ac:dyDescent="0.35">
      <c r="A174" s="1" t="s">
        <v>186</v>
      </c>
      <c r="B174" t="str">
        <f>HYPERLINK("https://www.suredividend.com/sure-analysis-research-database/","Atomera Inc")</f>
        <v>Atomera Inc</v>
      </c>
      <c r="C174">
        <v>9.9999999999999006E-2</v>
      </c>
      <c r="D174">
        <v>-0.30333333333333301</v>
      </c>
      <c r="E174">
        <v>0.156826568265682</v>
      </c>
      <c r="F174">
        <v>8.0385852090029998E-3</v>
      </c>
      <c r="G174">
        <v>-0.18359375</v>
      </c>
      <c r="H174">
        <v>-0.73677581863979802</v>
      </c>
      <c r="I174">
        <v>0.342612419700214</v>
      </c>
    </row>
    <row r="175" spans="1:9" x14ac:dyDescent="0.35">
      <c r="A175" s="1" t="s">
        <v>187</v>
      </c>
      <c r="B175" t="str">
        <f>HYPERLINK("https://www.suredividend.com/sure-analysis-research-database/","Atara Biotherapeutics Inc")</f>
        <v>Atara Biotherapeutics Inc</v>
      </c>
      <c r="C175">
        <v>6.5359477124180007E-3</v>
      </c>
      <c r="D175">
        <v>-0.15846994535519099</v>
      </c>
      <c r="E175">
        <v>-0.42750929368029711</v>
      </c>
      <c r="F175">
        <v>-0.53048780487804803</v>
      </c>
      <c r="G175">
        <v>-0.58713136729222504</v>
      </c>
      <c r="H175">
        <v>-0.89814814814814803</v>
      </c>
      <c r="I175">
        <v>-0.95670508855777303</v>
      </c>
    </row>
    <row r="176" spans="1:9" x14ac:dyDescent="0.35">
      <c r="A176" s="1" t="s">
        <v>188</v>
      </c>
      <c r="B176" t="str">
        <f>HYPERLINK("https://www.suredividend.com/sure-analysis-research-database/","Atricure Inc")</f>
        <v>Atricure Inc</v>
      </c>
      <c r="C176">
        <v>-0.18051511758118599</v>
      </c>
      <c r="D176">
        <v>-0.30621918847174801</v>
      </c>
      <c r="E176">
        <v>-0.138044758539458</v>
      </c>
      <c r="F176">
        <v>-0.175529517800811</v>
      </c>
      <c r="G176">
        <v>9.2891278375149003E-2</v>
      </c>
      <c r="H176">
        <v>-0.48731960207370012</v>
      </c>
      <c r="I176">
        <v>0.18606158833063199</v>
      </c>
    </row>
    <row r="177" spans="1:9" x14ac:dyDescent="0.35">
      <c r="A177" s="1" t="s">
        <v>189</v>
      </c>
      <c r="B177" t="str">
        <f>HYPERLINK("https://www.suredividend.com/sure-analysis-ATRI/","Atrion Corp.")</f>
        <v>Atrion Corp.</v>
      </c>
      <c r="C177">
        <v>-0.13195652173913</v>
      </c>
      <c r="D177">
        <v>-0.26772842682648301</v>
      </c>
      <c r="E177">
        <v>-0.37090667897649798</v>
      </c>
      <c r="F177">
        <v>-0.27234982169563798</v>
      </c>
      <c r="G177">
        <v>-0.31188925432266401</v>
      </c>
      <c r="H177">
        <v>-0.38705540217869311</v>
      </c>
      <c r="I177">
        <v>-0.37483511726342811</v>
      </c>
    </row>
    <row r="178" spans="1:9" x14ac:dyDescent="0.35">
      <c r="A178" s="1" t="s">
        <v>190</v>
      </c>
      <c r="B178" t="str">
        <f>HYPERLINK("https://www.suredividend.com/sure-analysis-research-database/","Astronics Corp.")</f>
        <v>Astronics Corp.</v>
      </c>
      <c r="C178">
        <v>-7.8455039227519008E-2</v>
      </c>
      <c r="D178">
        <v>-0.165117550574084</v>
      </c>
      <c r="E178">
        <v>3.2851511169510001E-3</v>
      </c>
      <c r="F178">
        <v>0.48252427184466001</v>
      </c>
      <c r="G178">
        <v>0.90399002493765612</v>
      </c>
      <c r="H178">
        <v>8.0679405520169001E-2</v>
      </c>
      <c r="I178">
        <v>-0.54254044337926899</v>
      </c>
    </row>
    <row r="179" spans="1:9" x14ac:dyDescent="0.35">
      <c r="A179" s="1" t="s">
        <v>191</v>
      </c>
      <c r="B179" t="str">
        <f>HYPERLINK("https://www.suredividend.com/sure-analysis-research-database/","Air Transport Services Group Inc")</f>
        <v>Air Transport Services Group Inc</v>
      </c>
      <c r="C179">
        <v>-5.4409005628517013E-2</v>
      </c>
      <c r="D179">
        <v>4.3478260869565001E-2</v>
      </c>
      <c r="E179">
        <v>-1.8978102189781E-2</v>
      </c>
      <c r="F179">
        <v>-0.22401847575057701</v>
      </c>
      <c r="G179">
        <v>-0.265306122448979</v>
      </c>
      <c r="H179">
        <v>-0.164179104477611</v>
      </c>
      <c r="I179">
        <v>-3.9084842707340001E-2</v>
      </c>
    </row>
    <row r="180" spans="1:9" x14ac:dyDescent="0.35">
      <c r="A180" s="1" t="s">
        <v>192</v>
      </c>
      <c r="B180" t="str">
        <f>HYPERLINK("https://www.suredividend.com/sure-analysis-research-database/","Atlantic Union Bankshares Corp")</f>
        <v>Atlantic Union Bankshares Corp</v>
      </c>
      <c r="C180">
        <v>-4.3405676126878012E-2</v>
      </c>
      <c r="D180">
        <v>4.5723483700948003E-2</v>
      </c>
      <c r="E180">
        <v>-0.110502589322305</v>
      </c>
      <c r="F180">
        <v>-0.161044346053833</v>
      </c>
      <c r="G180">
        <v>-7.836028553138201E-2</v>
      </c>
      <c r="H180">
        <v>-0.17143848689918401</v>
      </c>
      <c r="I180">
        <v>-0.19185821836470399</v>
      </c>
    </row>
    <row r="181" spans="1:9" x14ac:dyDescent="0.35">
      <c r="A181" s="1" t="s">
        <v>193</v>
      </c>
      <c r="B181" t="str">
        <f>HYPERLINK("https://www.suredividend.com/sure-analysis-research-database/","Aurinia Pharmaceuticals Inc")</f>
        <v>Aurinia Pharmaceuticals Inc</v>
      </c>
      <c r="C181">
        <v>-0.14932126696832501</v>
      </c>
      <c r="D181">
        <v>-0.32374100719424398</v>
      </c>
      <c r="E181">
        <v>-0.32976827094474098</v>
      </c>
      <c r="F181">
        <v>0.74074074074074003</v>
      </c>
      <c r="G181">
        <v>2.4523160762942E-2</v>
      </c>
      <c r="H181">
        <v>-0.63441905687894995</v>
      </c>
      <c r="I181">
        <v>0.30555555555555503</v>
      </c>
    </row>
    <row r="182" spans="1:9" x14ac:dyDescent="0.35">
      <c r="A182" s="1" t="s">
        <v>194</v>
      </c>
      <c r="B182" t="str">
        <f>HYPERLINK("https://www.suredividend.com/sure-analysis-research-database/","Aura Biosciences Inc")</f>
        <v>Aura Biosciences Inc</v>
      </c>
      <c r="C182">
        <v>-9.989373007438801E-2</v>
      </c>
      <c r="D182">
        <v>-0.30630630630630601</v>
      </c>
      <c r="E182">
        <v>-2.6436781609194999E-2</v>
      </c>
      <c r="F182">
        <v>-0.193333333333333</v>
      </c>
      <c r="G182">
        <v>-0.37536873156342099</v>
      </c>
      <c r="H182">
        <v>-0.42770270270270211</v>
      </c>
      <c r="I182">
        <v>-0.42770270270270211</v>
      </c>
    </row>
    <row r="183" spans="1:9" x14ac:dyDescent="0.35">
      <c r="A183" s="1" t="s">
        <v>195</v>
      </c>
      <c r="B183" t="str">
        <f>HYPERLINK("https://www.suredividend.com/sure-analysis-AVA/","Avista Corp.")</f>
        <v>Avista Corp.</v>
      </c>
      <c r="C183">
        <v>-6.1908856405847007E-2</v>
      </c>
      <c r="D183">
        <v>-0.141580247690685</v>
      </c>
      <c r="E183">
        <v>-0.22420536158714299</v>
      </c>
      <c r="F183">
        <v>-0.234620502255449</v>
      </c>
      <c r="G183">
        <v>-8.6292715745747012E-2</v>
      </c>
      <c r="H183">
        <v>-0.124398073836276</v>
      </c>
      <c r="I183">
        <v>-0.21452587168909301</v>
      </c>
    </row>
    <row r="184" spans="1:9" x14ac:dyDescent="0.35">
      <c r="A184" s="1" t="s">
        <v>196</v>
      </c>
      <c r="B184" t="str">
        <f>HYPERLINK("https://www.suredividend.com/sure-analysis-research-database/","Aveanna Healthcare Holdings Inc")</f>
        <v>Aveanna Healthcare Holdings Inc</v>
      </c>
      <c r="C184">
        <v>-0.16428571428571401</v>
      </c>
      <c r="D184">
        <v>-0.25</v>
      </c>
      <c r="E184">
        <v>-6.4000000000000001E-2</v>
      </c>
      <c r="F184">
        <v>0.49999999999999911</v>
      </c>
      <c r="G184">
        <v>-2.5000000000000001E-2</v>
      </c>
      <c r="H184">
        <v>-0.82615156017830604</v>
      </c>
      <c r="I184">
        <v>-0.89852558542931404</v>
      </c>
    </row>
    <row r="185" spans="1:9" x14ac:dyDescent="0.35">
      <c r="A185" s="1" t="s">
        <v>197</v>
      </c>
      <c r="B185" t="str">
        <f>HYPERLINK("https://www.suredividend.com/sure-analysis-research-database/","AeroVironment Inc.")</f>
        <v>AeroVironment Inc.</v>
      </c>
      <c r="C185">
        <v>1.2569581612489999E-3</v>
      </c>
      <c r="D185">
        <v>0.15624675997926299</v>
      </c>
      <c r="E185">
        <v>4.8908954100826997E-2</v>
      </c>
      <c r="F185">
        <v>0.30189119775857998</v>
      </c>
      <c r="G185">
        <v>0.47532742426246799</v>
      </c>
      <c r="H185">
        <v>0.237873237873237</v>
      </c>
      <c r="I185">
        <v>0.18916613350394501</v>
      </c>
    </row>
    <row r="186" spans="1:9" x14ac:dyDescent="0.35">
      <c r="A186" s="1" t="s">
        <v>198</v>
      </c>
      <c r="B186" t="str">
        <f>HYPERLINK("https://www.suredividend.com/sure-analysis-research-database/","American Vanguard Corp.")</f>
        <v>American Vanguard Corp.</v>
      </c>
      <c r="C186">
        <v>-0.18004313861714</v>
      </c>
      <c r="D186">
        <v>-0.42736894365084699</v>
      </c>
      <c r="E186">
        <v>-0.52324139485946108</v>
      </c>
      <c r="F186">
        <v>-0.52983356571444407</v>
      </c>
      <c r="G186">
        <v>-0.52481718335970606</v>
      </c>
      <c r="H186">
        <v>-0.35065765904089202</v>
      </c>
      <c r="I186">
        <v>-0.37813231383793411</v>
      </c>
    </row>
    <row r="187" spans="1:9" x14ac:dyDescent="0.35">
      <c r="A187" s="1" t="s">
        <v>199</v>
      </c>
      <c r="B187" t="str">
        <f>HYPERLINK("https://www.suredividend.com/sure-analysis-research-database/","AvidXchange Holdings Inc")</f>
        <v>AvidXchange Holdings Inc</v>
      </c>
      <c r="C187">
        <v>-7.8812691914022001E-2</v>
      </c>
      <c r="D187">
        <v>-0.18991899189918901</v>
      </c>
      <c r="E187">
        <v>0.19840213049267599</v>
      </c>
      <c r="F187">
        <v>-9.4567404426559004E-2</v>
      </c>
      <c r="G187">
        <v>0.143583227445997</v>
      </c>
      <c r="H187">
        <v>-0.61472602739726001</v>
      </c>
      <c r="I187">
        <v>-0.63913392141138703</v>
      </c>
    </row>
    <row r="188" spans="1:9" x14ac:dyDescent="0.35">
      <c r="A188" s="1" t="s">
        <v>200</v>
      </c>
      <c r="B188" t="str">
        <f>HYPERLINK("https://www.suredividend.com/sure-analysis-research-database/","Avid Technology, Inc.")</f>
        <v>Avid Technology, Inc.</v>
      </c>
      <c r="C188">
        <v>2.6090197540060002E-3</v>
      </c>
      <c r="D188">
        <v>6.7365269461070014E-3</v>
      </c>
      <c r="E188">
        <v>-0.17962793534614199</v>
      </c>
      <c r="F188">
        <v>1.1658518239939001E-2</v>
      </c>
      <c r="G188">
        <v>0.104269293924466</v>
      </c>
      <c r="H188">
        <v>-9.6102150537634004E-2</v>
      </c>
      <c r="I188">
        <v>3.6459412780656288</v>
      </c>
    </row>
    <row r="189" spans="1:9" x14ac:dyDescent="0.35">
      <c r="A189" s="1" t="s">
        <v>201</v>
      </c>
      <c r="B189" t="str">
        <f>HYPERLINK("https://www.suredividend.com/sure-analysis-research-database/","Atea Pharmaceuticals Inc")</f>
        <v>Atea Pharmaceuticals Inc</v>
      </c>
      <c r="C189">
        <v>-4.7169811320754013E-2</v>
      </c>
      <c r="D189">
        <v>-0.16758241758241699</v>
      </c>
      <c r="E189">
        <v>-7.6219512195121006E-2</v>
      </c>
      <c r="F189">
        <v>-0.37006237006237003</v>
      </c>
      <c r="G189">
        <v>-0.42285714285714199</v>
      </c>
      <c r="H189">
        <v>-0.92286150712830906</v>
      </c>
      <c r="I189">
        <v>-0.90013183915622907</v>
      </c>
    </row>
    <row r="190" spans="1:9" x14ac:dyDescent="0.35">
      <c r="A190" s="1" t="s">
        <v>202</v>
      </c>
      <c r="B190" t="str">
        <f>HYPERLINK("https://www.suredividend.com/sure-analysis-research-database/","Avanos Medical Inc")</f>
        <v>Avanos Medical Inc</v>
      </c>
      <c r="C190">
        <v>-7.4259909683893011E-2</v>
      </c>
      <c r="D190">
        <v>-0.26756649464073001</v>
      </c>
      <c r="E190">
        <v>-0.38108017443810799</v>
      </c>
      <c r="F190">
        <v>-0.31818181818181801</v>
      </c>
      <c r="G190">
        <v>-7.6576576576576003E-2</v>
      </c>
      <c r="H190">
        <v>-0.43818514007308101</v>
      </c>
      <c r="I190">
        <v>-0.6925</v>
      </c>
    </row>
    <row r="191" spans="1:9" x14ac:dyDescent="0.35">
      <c r="A191" s="1" t="s">
        <v>203</v>
      </c>
      <c r="B191" t="str">
        <f>HYPERLINK("https://www.suredividend.com/sure-analysis-AVNT/","Avient Corp")</f>
        <v>Avient Corp</v>
      </c>
      <c r="C191">
        <v>-0.14095536413469001</v>
      </c>
      <c r="D191">
        <v>-0.17869344626818301</v>
      </c>
      <c r="E191">
        <v>-0.172957650204561</v>
      </c>
      <c r="F191">
        <v>-6.2925745205080008E-3</v>
      </c>
      <c r="G191">
        <v>7.504050593215901E-2</v>
      </c>
      <c r="H191">
        <v>-0.32580678864012103</v>
      </c>
      <c r="I191">
        <v>-5.7562836303447003E-2</v>
      </c>
    </row>
    <row r="192" spans="1:9" x14ac:dyDescent="0.35">
      <c r="A192" s="1" t="s">
        <v>204</v>
      </c>
      <c r="B192" t="str">
        <f>HYPERLINK("https://www.suredividend.com/sure-analysis-research-database/","Aviat Networks Inc")</f>
        <v>Aviat Networks Inc</v>
      </c>
      <c r="C192">
        <v>-0.17760736196318999</v>
      </c>
      <c r="D192">
        <v>-0.134323538908621</v>
      </c>
      <c r="E192">
        <v>-0.2119341563786</v>
      </c>
      <c r="F192">
        <v>-0.14042962487976901</v>
      </c>
      <c r="G192">
        <v>-3.5611510791366E-2</v>
      </c>
      <c r="H192">
        <v>-0.119540229885057</v>
      </c>
      <c r="I192">
        <v>2.320123839009288</v>
      </c>
    </row>
    <row r="193" spans="1:9" x14ac:dyDescent="0.35">
      <c r="A193" s="1" t="s">
        <v>205</v>
      </c>
      <c r="B193" t="str">
        <f>HYPERLINK("https://www.suredividend.com/sure-analysis-research-database/","Mission Produce Inc")</f>
        <v>Mission Produce Inc</v>
      </c>
      <c r="C193">
        <v>-3.3190578158458002E-2</v>
      </c>
      <c r="D193">
        <v>-0.21614583333333301</v>
      </c>
      <c r="E193">
        <v>-0.178343949044586</v>
      </c>
      <c r="F193">
        <v>-0.22289156626505999</v>
      </c>
      <c r="G193">
        <v>-0.40119363395225399</v>
      </c>
      <c r="H193">
        <v>-0.52548607461902208</v>
      </c>
      <c r="I193">
        <v>-0.27760000000000001</v>
      </c>
    </row>
    <row r="194" spans="1:9" x14ac:dyDescent="0.35">
      <c r="A194" s="1" t="s">
        <v>206</v>
      </c>
      <c r="B194" t="str">
        <f>HYPERLINK("https://www.suredividend.com/sure-analysis-research-database/","AvePoint Inc")</f>
        <v>AvePoint Inc</v>
      </c>
      <c r="C194">
        <v>7.7265973254086004E-2</v>
      </c>
      <c r="D194">
        <v>0.241438356164383</v>
      </c>
      <c r="E194">
        <v>0.74278846153846101</v>
      </c>
      <c r="F194">
        <v>0.76399026763990208</v>
      </c>
      <c r="G194">
        <v>1.01949860724234</v>
      </c>
      <c r="H194">
        <v>-0.13793103448275801</v>
      </c>
      <c r="I194">
        <v>-0.25869120654396699</v>
      </c>
    </row>
    <row r="195" spans="1:9" x14ac:dyDescent="0.35">
      <c r="A195" s="1" t="s">
        <v>207</v>
      </c>
      <c r="B195" t="str">
        <f>HYPERLINK("https://www.suredividend.com/sure-analysis-research-database/","Avantax Inc")</f>
        <v>Avantax Inc</v>
      </c>
      <c r="C195">
        <v>3.91083300743E-3</v>
      </c>
      <c r="D195">
        <v>1.9459888800635001E-2</v>
      </c>
      <c r="E195">
        <v>-5.8327219369038001E-2</v>
      </c>
      <c r="F195">
        <v>5.4837446141790007E-3</v>
      </c>
      <c r="G195">
        <v>0.33628318584070799</v>
      </c>
      <c r="H195">
        <v>0.54452466907340502</v>
      </c>
      <c r="I195">
        <v>-0.221177184466019</v>
      </c>
    </row>
    <row r="196" spans="1:9" x14ac:dyDescent="0.35">
      <c r="A196" s="1" t="s">
        <v>208</v>
      </c>
      <c r="B196" t="str">
        <f>HYPERLINK("https://www.suredividend.com/sure-analysis-research-database/","Aerovate Therapeutics Inc")</f>
        <v>Aerovate Therapeutics Inc</v>
      </c>
      <c r="C196">
        <v>-0.16349809885931499</v>
      </c>
      <c r="D196">
        <v>-0.39726027397260211</v>
      </c>
      <c r="E196">
        <v>-0.34872705743043197</v>
      </c>
      <c r="F196">
        <v>-0.62457337883959008</v>
      </c>
      <c r="G196">
        <v>-0.43211151264842501</v>
      </c>
      <c r="H196">
        <v>-0.22151450813871201</v>
      </c>
      <c r="I196">
        <v>-0.51817783618046409</v>
      </c>
    </row>
    <row r="197" spans="1:9" x14ac:dyDescent="0.35">
      <c r="A197" s="1" t="s">
        <v>209</v>
      </c>
      <c r="B197" t="str">
        <f>HYPERLINK("https://www.suredividend.com/sure-analysis-research-database/","Anavex Life Sciences Corporation")</f>
        <v>Anavex Life Sciences Corporation</v>
      </c>
      <c r="C197">
        <v>-0.20079260237780699</v>
      </c>
      <c r="D197">
        <v>-0.28147268408551002</v>
      </c>
      <c r="E197">
        <v>-0.23223350253807101</v>
      </c>
      <c r="F197">
        <v>-0.346652267818574</v>
      </c>
      <c r="G197">
        <v>-0.42924528301886711</v>
      </c>
      <c r="H197">
        <v>-0.65468036529680307</v>
      </c>
      <c r="I197">
        <v>1.344961240310077</v>
      </c>
    </row>
    <row r="198" spans="1:9" x14ac:dyDescent="0.35">
      <c r="A198" s="1" t="s">
        <v>210</v>
      </c>
      <c r="B198" t="str">
        <f>HYPERLINK("https://www.suredividend.com/sure-analysis-AWR/","American States Water Co.")</f>
        <v>American States Water Co.</v>
      </c>
      <c r="C198">
        <v>-6.0931899641576998E-2</v>
      </c>
      <c r="D198">
        <v>-8.9344988790601002E-2</v>
      </c>
      <c r="E198">
        <v>-0.13028179533738099</v>
      </c>
      <c r="F198">
        <v>-0.13917917558335399</v>
      </c>
      <c r="G198">
        <v>-5.7340332521398002E-2</v>
      </c>
      <c r="H198">
        <v>-9.3496703834070008E-2</v>
      </c>
      <c r="I198">
        <v>0.44677044391555698</v>
      </c>
    </row>
    <row r="199" spans="1:9" x14ac:dyDescent="0.35">
      <c r="A199" s="1" t="s">
        <v>211</v>
      </c>
      <c r="B199" t="str">
        <f>HYPERLINK("https://www.suredividend.com/sure-analysis-research-database/","Axos Financial Inc.")</f>
        <v>Axos Financial Inc.</v>
      </c>
      <c r="C199">
        <v>-0.15872641509433899</v>
      </c>
      <c r="D199">
        <v>-0.15433854907539099</v>
      </c>
      <c r="E199">
        <v>-2.8065395095366999E-2</v>
      </c>
      <c r="F199">
        <v>-6.6718995290423008E-2</v>
      </c>
      <c r="G199">
        <v>-2.3274917853230999E-2</v>
      </c>
      <c r="H199">
        <v>-0.34224598930481198</v>
      </c>
      <c r="I199">
        <v>6.1923191426019007E-2</v>
      </c>
    </row>
    <row r="200" spans="1:9" x14ac:dyDescent="0.35">
      <c r="A200" s="1" t="s">
        <v>212</v>
      </c>
      <c r="B200" t="str">
        <f>HYPERLINK("https://www.suredividend.com/sure-analysis-research-database/","BioXcel Therapeutics Inc")</f>
        <v>BioXcel Therapeutics Inc</v>
      </c>
      <c r="C200">
        <v>-6.2874251497004999E-2</v>
      </c>
      <c r="D200">
        <v>-0.69611650485436805</v>
      </c>
      <c r="E200">
        <v>-0.8329775880469581</v>
      </c>
      <c r="F200">
        <v>-0.85428305400372406</v>
      </c>
      <c r="G200">
        <v>-0.69463414634146303</v>
      </c>
      <c r="H200">
        <v>-0.88445921004060502</v>
      </c>
      <c r="I200">
        <v>-0.50786163522012506</v>
      </c>
    </row>
    <row r="201" spans="1:9" x14ac:dyDescent="0.35">
      <c r="A201" s="1" t="s">
        <v>213</v>
      </c>
      <c r="B201" t="str">
        <f>HYPERLINK("https://www.suredividend.com/sure-analysis-research-database/","Peabody Energy Corp.")</f>
        <v>Peabody Energy Corp.</v>
      </c>
      <c r="C201">
        <v>7.2886297376093007E-2</v>
      </c>
      <c r="D201">
        <v>0.239039359701399</v>
      </c>
      <c r="E201">
        <v>2.7752509535435999E-2</v>
      </c>
      <c r="F201">
        <v>-1.8535804773968999E-2</v>
      </c>
      <c r="G201">
        <v>2.7169893578089998E-3</v>
      </c>
      <c r="H201">
        <v>0.62470356728391907</v>
      </c>
      <c r="I201">
        <v>-0.19277002720014</v>
      </c>
    </row>
    <row r="202" spans="1:9" x14ac:dyDescent="0.35">
      <c r="A202" s="1" t="s">
        <v>214</v>
      </c>
      <c r="B202" t="str">
        <f>HYPERLINK("https://www.suredividend.com/sure-analysis-research-database/","First Busey Corp.")</f>
        <v>First Busey Corp.</v>
      </c>
      <c r="C202">
        <v>-4.1206030150752998E-2</v>
      </c>
      <c r="D202">
        <v>-7.8185164965238002E-2</v>
      </c>
      <c r="E202">
        <v>4.3250041008256003E-2</v>
      </c>
      <c r="F202">
        <v>-0.183662991438729</v>
      </c>
      <c r="G202">
        <v>-0.14177761784814599</v>
      </c>
      <c r="H202">
        <v>-0.175763649794589</v>
      </c>
      <c r="I202">
        <v>-0.19459347654485601</v>
      </c>
    </row>
    <row r="203" spans="1:9" x14ac:dyDescent="0.35">
      <c r="A203" s="1" t="s">
        <v>215</v>
      </c>
      <c r="B203" t="str">
        <f>HYPERLINK("https://www.suredividend.com/sure-analysis-research-database/","BrightView Holdings Inc")</f>
        <v>BrightView Holdings Inc</v>
      </c>
      <c r="C203">
        <v>-0.118683901292596</v>
      </c>
      <c r="D203">
        <v>-1.1857707509881001E-2</v>
      </c>
      <c r="E203">
        <v>0.39146567717996211</v>
      </c>
      <c r="F203">
        <v>8.8534107402032006E-2</v>
      </c>
      <c r="G203">
        <v>-5.5415617128462998E-2</v>
      </c>
      <c r="H203">
        <v>-0.51550387596899205</v>
      </c>
      <c r="I203">
        <v>-0.45454545454545398</v>
      </c>
    </row>
    <row r="204" spans="1:9" x14ac:dyDescent="0.35">
      <c r="A204" s="1" t="s">
        <v>216</v>
      </c>
      <c r="B204" t="str">
        <f>HYPERLINK("https://www.suredividend.com/sure-analysis-research-database/","Bluegreen Vacations Holding Corporation")</f>
        <v>Bluegreen Vacations Holding Corporation</v>
      </c>
      <c r="C204">
        <v>-5.0436742744434007E-2</v>
      </c>
      <c r="D204">
        <v>-7.1023941118906003E-2</v>
      </c>
      <c r="E204">
        <v>0.18523416288001299</v>
      </c>
      <c r="F204">
        <v>0.37400720844137803</v>
      </c>
      <c r="G204">
        <v>0.97613393145102212</v>
      </c>
      <c r="H204">
        <v>0.41859495956793902</v>
      </c>
      <c r="I204">
        <v>0.110832761985127</v>
      </c>
    </row>
    <row r="205" spans="1:9" x14ac:dyDescent="0.35">
      <c r="A205" s="1" t="s">
        <v>217</v>
      </c>
      <c r="B205" t="str">
        <f>HYPERLINK("https://www.suredividend.com/sure-analysis-research-database/","Bioventus Inc")</f>
        <v>Bioventus Inc</v>
      </c>
      <c r="C205">
        <v>-5.2459016393442012E-2</v>
      </c>
      <c r="D205">
        <v>-0.18591549295774601</v>
      </c>
      <c r="E205">
        <v>1.7264150943396219</v>
      </c>
      <c r="F205">
        <v>0.10727969348659</v>
      </c>
      <c r="G205">
        <v>-0.52072968490878901</v>
      </c>
      <c r="H205">
        <v>-0.78812316715542508</v>
      </c>
      <c r="I205">
        <v>-0.84955752212389302</v>
      </c>
    </row>
    <row r="206" spans="1:9" x14ac:dyDescent="0.35">
      <c r="A206" s="1" t="s">
        <v>218</v>
      </c>
      <c r="B206" t="str">
        <f>HYPERLINK("https://www.suredividend.com/sure-analysis-research-database/","Babcock &amp; Wilcox Enterprises Inc")</f>
        <v>Babcock &amp; Wilcox Enterprises Inc</v>
      </c>
      <c r="C206">
        <v>-0.43942505133470211</v>
      </c>
      <c r="D206">
        <v>-0.53492333901192501</v>
      </c>
      <c r="E206">
        <v>-0.54651162790697605</v>
      </c>
      <c r="F206">
        <v>-0.52686308492201006</v>
      </c>
      <c r="G206">
        <v>-0.5741029641185641</v>
      </c>
      <c r="H206">
        <v>-0.5666666666666661</v>
      </c>
      <c r="I206">
        <v>-0.75405405405405401</v>
      </c>
    </row>
    <row r="207" spans="1:9" x14ac:dyDescent="0.35">
      <c r="A207" s="1" t="s">
        <v>219</v>
      </c>
      <c r="B207" t="str">
        <f>HYPERLINK("https://www.suredividend.com/sure-analysis-research-database/","Bridgewater Bancshares Inc")</f>
        <v>Bridgewater Bancshares Inc</v>
      </c>
      <c r="C207">
        <v>-0.101532567049808</v>
      </c>
      <c r="D207">
        <v>-3.7948717948717001E-2</v>
      </c>
      <c r="E207">
        <v>-6.7594433399602E-2</v>
      </c>
      <c r="F207">
        <v>-0.47125140924464398</v>
      </c>
      <c r="G207">
        <v>-0.48602739726027311</v>
      </c>
      <c r="H207">
        <v>-0.47392035894559698</v>
      </c>
      <c r="I207">
        <v>-0.25318471337579601</v>
      </c>
    </row>
    <row r="208" spans="1:9" x14ac:dyDescent="0.35">
      <c r="A208" s="1" t="s">
        <v>220</v>
      </c>
      <c r="B208" t="str">
        <f>HYPERLINK("https://www.suredividend.com/sure-analysis-research-database/","Bankwell Financial Group Inc")</f>
        <v>Bankwell Financial Group Inc</v>
      </c>
      <c r="C208">
        <v>-2.5379696243004998E-2</v>
      </c>
      <c r="D208">
        <v>7.7528990718010006E-3</v>
      </c>
      <c r="E208">
        <v>7.9976261337868004E-2</v>
      </c>
      <c r="F208">
        <v>-0.14610872800490199</v>
      </c>
      <c r="G208">
        <v>-0.119512978923917</v>
      </c>
      <c r="H208">
        <v>-0.12211541923173801</v>
      </c>
      <c r="I208">
        <v>-6.8417895850763008E-2</v>
      </c>
    </row>
    <row r="209" spans="1:9" x14ac:dyDescent="0.35">
      <c r="A209" s="1" t="s">
        <v>221</v>
      </c>
      <c r="B209" t="str">
        <f>HYPERLINK("https://www.suredividend.com/sure-analysis-research-database/","Bluelinx Hldgs Inc")</f>
        <v>Bluelinx Hldgs Inc</v>
      </c>
      <c r="C209">
        <v>-0.13167259786476801</v>
      </c>
      <c r="D209">
        <v>-0.23165739477275099</v>
      </c>
      <c r="E209">
        <v>6.0408518035636002E-2</v>
      </c>
      <c r="F209">
        <v>2.9391084235690999E-2</v>
      </c>
      <c r="G209">
        <v>0.15475627070515799</v>
      </c>
      <c r="H209">
        <v>0.42440163455925201</v>
      </c>
      <c r="I209">
        <v>1.864970645792563</v>
      </c>
    </row>
    <row r="210" spans="1:9" x14ac:dyDescent="0.35">
      <c r="A210" s="1" t="s">
        <v>222</v>
      </c>
      <c r="B210" t="str">
        <f>HYPERLINK("https://www.suredividend.com/sure-analysis-BXMT/","Blackstone Mortgage Trust Inc")</f>
        <v>Blackstone Mortgage Trust Inc</v>
      </c>
      <c r="C210">
        <v>-7.0682582764586999E-2</v>
      </c>
      <c r="D210">
        <v>-1.4755388347480001E-2</v>
      </c>
      <c r="E210">
        <v>0.300321393236608</v>
      </c>
      <c r="F210">
        <v>9.7954566681541011E-2</v>
      </c>
      <c r="G210">
        <v>7.2190440479748999E-2</v>
      </c>
      <c r="H210">
        <v>-0.19055597634403601</v>
      </c>
      <c r="I210">
        <v>2.7907993490562999E-2</v>
      </c>
    </row>
    <row r="211" spans="1:9" x14ac:dyDescent="0.35">
      <c r="A211" s="1" t="s">
        <v>223</v>
      </c>
      <c r="B211" t="str">
        <f>HYPERLINK("https://www.suredividend.com/sure-analysis-research-database/","Byline Bancorp Inc")</f>
        <v>Byline Bancorp Inc</v>
      </c>
      <c r="C211">
        <v>-4.4542339696524012E-2</v>
      </c>
      <c r="D211">
        <v>3.7547306204022003E-2</v>
      </c>
      <c r="E211">
        <v>-6.2718905270010006E-3</v>
      </c>
      <c r="F211">
        <v>-0.13954605764865</v>
      </c>
      <c r="G211">
        <v>-8.0100095665819007E-2</v>
      </c>
      <c r="H211">
        <v>-0.17294443644128801</v>
      </c>
      <c r="I211">
        <v>-2.9092410307934E-2</v>
      </c>
    </row>
    <row r="212" spans="1:9" x14ac:dyDescent="0.35">
      <c r="A212" s="1" t="s">
        <v>224</v>
      </c>
      <c r="B212" t="str">
        <f>HYPERLINK("https://www.suredividend.com/sure-analysis-research-database/","Beyond Meat Inc")</f>
        <v>Beyond Meat Inc</v>
      </c>
      <c r="C212">
        <v>-0.16521739130434701</v>
      </c>
      <c r="D212">
        <v>-0.49295774647887303</v>
      </c>
      <c r="E212">
        <v>-0.41700404858299511</v>
      </c>
      <c r="F212">
        <v>-0.29813160032493902</v>
      </c>
      <c r="G212">
        <v>-0.35256650430872899</v>
      </c>
      <c r="H212">
        <v>-0.91821279818250612</v>
      </c>
      <c r="I212">
        <v>-0.86859315589353603</v>
      </c>
    </row>
    <row r="213" spans="1:9" x14ac:dyDescent="0.35">
      <c r="A213" s="1" t="s">
        <v>225</v>
      </c>
      <c r="B213" t="str">
        <f>HYPERLINK("https://www.suredividend.com/sure-analysis-research-database/","Beazer Homes USA Inc.")</f>
        <v>Beazer Homes USA Inc.</v>
      </c>
      <c r="C213">
        <v>-9.5164410058027005E-2</v>
      </c>
      <c r="D213">
        <v>-0.19177608845888</v>
      </c>
      <c r="E213">
        <v>0.40564903846153799</v>
      </c>
      <c r="F213">
        <v>0.83307210031347911</v>
      </c>
      <c r="G213">
        <v>1.236137667304015</v>
      </c>
      <c r="H213">
        <v>0.31997742663656797</v>
      </c>
      <c r="I213">
        <v>1.4672995780590721</v>
      </c>
    </row>
    <row r="214" spans="1:9" x14ac:dyDescent="0.35">
      <c r="A214" s="1" t="s">
        <v>226</v>
      </c>
      <c r="B214" t="str">
        <f>HYPERLINK("https://www.suredividend.com/sure-analysis-research-database/","Camden National Corp.")</f>
        <v>Camden National Corp.</v>
      </c>
      <c r="C214">
        <v>-7.7519966430256007E-2</v>
      </c>
      <c r="D214">
        <v>-7.7208918249380004E-2</v>
      </c>
      <c r="E214">
        <v>-0.15014433603837901</v>
      </c>
      <c r="F214">
        <v>-0.29470794281927398</v>
      </c>
      <c r="G214">
        <v>-0.32155884629589299</v>
      </c>
      <c r="H214">
        <v>-0.36714834495842302</v>
      </c>
      <c r="I214">
        <v>-0.20135311388907001</v>
      </c>
    </row>
    <row r="215" spans="1:9" x14ac:dyDescent="0.35">
      <c r="A215" s="1" t="s">
        <v>227</v>
      </c>
      <c r="B215" t="str">
        <f>HYPERLINK("https://www.suredividend.com/sure-analysis-research-database/","Cadence Bank")</f>
        <v>Cadence Bank</v>
      </c>
      <c r="C215">
        <v>-4.7265987025023007E-2</v>
      </c>
      <c r="D215">
        <v>4.6911649726340014E-3</v>
      </c>
      <c r="E215">
        <v>3.5846537521726E-2</v>
      </c>
      <c r="F215">
        <v>-0.138487324533836</v>
      </c>
      <c r="G215">
        <v>-0.22332737733218999</v>
      </c>
      <c r="H215">
        <v>-0.31420947298198798</v>
      </c>
      <c r="I215">
        <v>-0.26925059089051201</v>
      </c>
    </row>
    <row r="216" spans="1:9" x14ac:dyDescent="0.35">
      <c r="A216" s="1" t="s">
        <v>228</v>
      </c>
      <c r="B216" t="str">
        <f>HYPERLINK("https://www.suredividend.com/sure-analysis-CAKE/","Cheesecake Factory Inc.")</f>
        <v>Cheesecake Factory Inc.</v>
      </c>
      <c r="C216">
        <v>-4.8884514435694998E-2</v>
      </c>
      <c r="D216">
        <v>-0.17794779018528001</v>
      </c>
      <c r="E216">
        <v>-8.3586751047916005E-2</v>
      </c>
      <c r="F216">
        <v>-4.8881393967828E-2</v>
      </c>
      <c r="G216">
        <v>-5.2320164757032002E-2</v>
      </c>
      <c r="H216">
        <v>-0.28210055544962198</v>
      </c>
      <c r="I216">
        <v>-0.35521323114015302</v>
      </c>
    </row>
    <row r="217" spans="1:9" x14ac:dyDescent="0.35">
      <c r="A217" s="1" t="s">
        <v>229</v>
      </c>
      <c r="B217" t="str">
        <f>HYPERLINK("https://www.suredividend.com/sure-analysis-research-database/","Caleres Inc")</f>
        <v>Caleres Inc</v>
      </c>
      <c r="C217">
        <v>-1.099706744868E-2</v>
      </c>
      <c r="D217">
        <v>5.8217660232902008E-2</v>
      </c>
      <c r="E217">
        <v>0.23213788253131701</v>
      </c>
      <c r="F217">
        <v>0.22159386758067301</v>
      </c>
      <c r="G217">
        <v>9.6966468930803004E-2</v>
      </c>
      <c r="H217">
        <v>0.24803981885382001</v>
      </c>
      <c r="I217">
        <v>-0.14467865215558001</v>
      </c>
    </row>
    <row r="218" spans="1:9" x14ac:dyDescent="0.35">
      <c r="A218" s="1" t="s">
        <v>230</v>
      </c>
      <c r="B218" t="str">
        <f>HYPERLINK("https://www.suredividend.com/sure-analysis-research-database/","Cal-Maine Foods, Inc.")</f>
        <v>Cal-Maine Foods, Inc.</v>
      </c>
      <c r="C218">
        <v>7.552083333333301E-2</v>
      </c>
      <c r="D218">
        <v>0.17087000177189701</v>
      </c>
      <c r="E218">
        <v>-3.6097712774233001E-2</v>
      </c>
      <c r="F218">
        <v>4.7276531216290003E-3</v>
      </c>
      <c r="G218">
        <v>-6.9334224689307999E-2</v>
      </c>
      <c r="H218">
        <v>0.61041374895612299</v>
      </c>
      <c r="I218">
        <v>0.23401150847698099</v>
      </c>
    </row>
    <row r="219" spans="1:9" x14ac:dyDescent="0.35">
      <c r="A219" s="1" t="s">
        <v>231</v>
      </c>
      <c r="B219" t="str">
        <f>HYPERLINK("https://www.suredividend.com/sure-analysis-research-database/","Calix Inc")</f>
        <v>Calix Inc</v>
      </c>
      <c r="C219">
        <v>-6.6953713670613008E-2</v>
      </c>
      <c r="D219">
        <v>-0.12638580931263799</v>
      </c>
      <c r="E219">
        <v>-0.13734076433121001</v>
      </c>
      <c r="F219">
        <v>-0.366652053193044</v>
      </c>
      <c r="G219">
        <v>-0.24783061437001</v>
      </c>
      <c r="H219">
        <v>-0.24455290221369999</v>
      </c>
      <c r="I219">
        <v>4.9696969696969706</v>
      </c>
    </row>
    <row r="220" spans="1:9" x14ac:dyDescent="0.35">
      <c r="A220" s="1" t="s">
        <v>232</v>
      </c>
      <c r="B220" t="str">
        <f>HYPERLINK("https://www.suredividend.com/sure-analysis-research-database/","Cano Health Inc")</f>
        <v>Cano Health Inc</v>
      </c>
      <c r="C220">
        <v>-0.47631656369520398</v>
      </c>
      <c r="D220">
        <v>-0.87194244604316506</v>
      </c>
      <c r="E220">
        <v>-0.86515151515151512</v>
      </c>
      <c r="F220">
        <v>-0.87007299270072902</v>
      </c>
      <c r="G220">
        <v>-0.97837181044957411</v>
      </c>
      <c r="H220">
        <v>-0.98442694663167107</v>
      </c>
      <c r="I220">
        <v>-0.98254901960784302</v>
      </c>
    </row>
    <row r="221" spans="1:9" x14ac:dyDescent="0.35">
      <c r="A221" s="1" t="s">
        <v>233</v>
      </c>
      <c r="B221" t="str">
        <f>HYPERLINK("https://www.suredividend.com/sure-analysis-research-database/","Cara Therapeutics Inc")</f>
        <v>Cara Therapeutics Inc</v>
      </c>
      <c r="C221">
        <v>-0.39316239316239299</v>
      </c>
      <c r="D221">
        <v>-0.50349650349650299</v>
      </c>
      <c r="E221">
        <v>-0.66430260047281309</v>
      </c>
      <c r="F221">
        <v>-0.86778398510242005</v>
      </c>
      <c r="G221">
        <v>-0.86023622047244108</v>
      </c>
      <c r="H221">
        <v>-0.89209726443769</v>
      </c>
      <c r="I221">
        <v>-0.92680412371134002</v>
      </c>
    </row>
    <row r="222" spans="1:9" x14ac:dyDescent="0.35">
      <c r="A222" s="1" t="s">
        <v>234</v>
      </c>
      <c r="B222" t="str">
        <f>HYPERLINK("https://www.suredividend.com/sure-analysis-research-database/","Carter Bankshares Inc")</f>
        <v>Carter Bankshares Inc</v>
      </c>
      <c r="C222">
        <v>-0.203513909224011</v>
      </c>
      <c r="D222">
        <v>-0.27272727272727199</v>
      </c>
      <c r="E222">
        <v>-0.17638152914458699</v>
      </c>
      <c r="F222">
        <v>-0.34418324291741997</v>
      </c>
      <c r="G222">
        <v>-0.35199523525908211</v>
      </c>
      <c r="H222">
        <v>-0.257337883959044</v>
      </c>
      <c r="I222">
        <v>0.27251461988303999</v>
      </c>
    </row>
    <row r="223" spans="1:9" x14ac:dyDescent="0.35">
      <c r="A223" s="1" t="s">
        <v>235</v>
      </c>
      <c r="B223" t="str">
        <f>HYPERLINK("https://www.suredividend.com/sure-analysis-research-database/","CarGurus Inc")</f>
        <v>CarGurus Inc</v>
      </c>
      <c r="C223">
        <v>-1.5306122448979E-2</v>
      </c>
      <c r="D223">
        <v>-0.25673940949935797</v>
      </c>
      <c r="E223">
        <v>1.1648223645893E-2</v>
      </c>
      <c r="F223">
        <v>0.23982869379014901</v>
      </c>
      <c r="G223">
        <v>0.267883211678832</v>
      </c>
      <c r="H223">
        <v>-0.49884593190998211</v>
      </c>
      <c r="I223">
        <v>-0.57941888619854709</v>
      </c>
    </row>
    <row r="224" spans="1:9" x14ac:dyDescent="0.35">
      <c r="A224" s="1" t="s">
        <v>236</v>
      </c>
      <c r="B224" t="str">
        <f>HYPERLINK("https://www.suredividend.com/sure-analysis-research-database/","Cars.com")</f>
        <v>Cars.com</v>
      </c>
      <c r="C224">
        <v>-6.7013287117273002E-2</v>
      </c>
      <c r="D224">
        <v>-0.22318422318422301</v>
      </c>
      <c r="E224">
        <v>-0.18516649848637701</v>
      </c>
      <c r="F224">
        <v>0.172839506172839</v>
      </c>
      <c r="G224">
        <v>0.29614767255216601</v>
      </c>
      <c r="H224">
        <v>0.318367346938775</v>
      </c>
      <c r="I224">
        <v>-0.37159533073929901</v>
      </c>
    </row>
    <row r="225" spans="1:9" x14ac:dyDescent="0.35">
      <c r="A225" s="1" t="s">
        <v>237</v>
      </c>
      <c r="B225" t="str">
        <f>HYPERLINK("https://www.suredividend.com/sure-analysis-research-database/","Casa Systems Inc")</f>
        <v>Casa Systems Inc</v>
      </c>
      <c r="C225">
        <v>-0.224578313253012</v>
      </c>
      <c r="D225">
        <v>-0.48512000000000011</v>
      </c>
      <c r="E225">
        <v>-0.43543859649122801</v>
      </c>
      <c r="F225">
        <v>-0.76424908424908411</v>
      </c>
      <c r="G225">
        <v>-0.7937179487179481</v>
      </c>
      <c r="H225">
        <v>-0.90203957382039512</v>
      </c>
      <c r="I225">
        <v>-0.95221974758723005</v>
      </c>
    </row>
    <row r="226" spans="1:9" x14ac:dyDescent="0.35">
      <c r="A226" s="1" t="s">
        <v>238</v>
      </c>
      <c r="B226" t="str">
        <f>HYPERLINK("https://www.suredividend.com/sure-analysis-research-database/","Pathward Financial Inc")</f>
        <v>Pathward Financial Inc</v>
      </c>
      <c r="C226">
        <v>-5.0431987140847012E-2</v>
      </c>
      <c r="D226">
        <v>-9.5391588634780006E-2</v>
      </c>
      <c r="E226">
        <v>0.142826743016327</v>
      </c>
      <c r="F226">
        <v>0.102322901772906</v>
      </c>
      <c r="G226">
        <v>0.265277164237045</v>
      </c>
      <c r="H226">
        <v>-0.21430020182809001</v>
      </c>
      <c r="I226">
        <v>0.89189838351974704</v>
      </c>
    </row>
    <row r="227" spans="1:9" x14ac:dyDescent="0.35">
      <c r="A227" s="1" t="s">
        <v>239</v>
      </c>
      <c r="B227" t="str">
        <f>HYPERLINK("https://www.suredividend.com/sure-analysis-CASS/","Cass Information Systems Inc")</f>
        <v>Cass Information Systems Inc</v>
      </c>
      <c r="C227">
        <v>-4.9479166666666012E-2</v>
      </c>
      <c r="D227">
        <v>-2.8606862559846999E-2</v>
      </c>
      <c r="E227">
        <v>-0.120015429866435</v>
      </c>
      <c r="F227">
        <v>-0.174051177146788</v>
      </c>
      <c r="G227">
        <v>-1.1196506408259E-2</v>
      </c>
      <c r="H227">
        <v>-6.8378468056867009E-2</v>
      </c>
      <c r="I227">
        <v>-0.32446063271202202</v>
      </c>
    </row>
    <row r="228" spans="1:9" x14ac:dyDescent="0.35">
      <c r="A228" s="1" t="s">
        <v>240</v>
      </c>
      <c r="B228" t="str">
        <f>HYPERLINK("https://www.suredividend.com/sure-analysis-CATC/","Cambridge Bancorp")</f>
        <v>Cambridge Bancorp</v>
      </c>
      <c r="C228">
        <v>0.139317073170731</v>
      </c>
      <c r="D228">
        <v>4.0187693398485998E-2</v>
      </c>
      <c r="E228">
        <v>-2.1009974330643E-2</v>
      </c>
      <c r="F228">
        <v>-0.25499202551834099</v>
      </c>
      <c r="G228">
        <v>-0.25336108987031303</v>
      </c>
      <c r="H228">
        <v>-0.26232407711549599</v>
      </c>
      <c r="I228">
        <v>-0.16763839668823</v>
      </c>
    </row>
    <row r="229" spans="1:9" x14ac:dyDescent="0.35">
      <c r="A229" s="1" t="s">
        <v>241</v>
      </c>
      <c r="B229" t="str">
        <f>HYPERLINK("https://www.suredividend.com/sure-analysis-research-database/","Cato Corp.")</f>
        <v>Cato Corp.</v>
      </c>
      <c r="C229">
        <v>-2.4226110363391E-2</v>
      </c>
      <c r="D229">
        <v>-9.2524908626645003E-2</v>
      </c>
      <c r="E229">
        <v>-0.110647693817467</v>
      </c>
      <c r="F229">
        <v>-0.17248778706113299</v>
      </c>
      <c r="G229">
        <v>-0.204747383893118</v>
      </c>
      <c r="H229">
        <v>-0.51331829654690908</v>
      </c>
      <c r="I229">
        <v>-0.50389018523714002</v>
      </c>
    </row>
    <row r="230" spans="1:9" x14ac:dyDescent="0.35">
      <c r="A230" s="1" t="s">
        <v>242</v>
      </c>
      <c r="B230" t="str">
        <f>HYPERLINK("https://www.suredividend.com/sure-analysis-research-database/","Cathay General Bancorp")</f>
        <v>Cathay General Bancorp</v>
      </c>
      <c r="C230">
        <v>-7.8557976863060999E-2</v>
      </c>
      <c r="D230">
        <v>4.2443426519152012E-2</v>
      </c>
      <c r="E230">
        <v>8.7982007795351008E-2</v>
      </c>
      <c r="F230">
        <v>-0.117781910536646</v>
      </c>
      <c r="G230">
        <v>-0.148975291708907</v>
      </c>
      <c r="H230">
        <v>-8.6990480709508003E-2</v>
      </c>
      <c r="I230">
        <v>6.0374799921981012E-2</v>
      </c>
    </row>
    <row r="231" spans="1:9" x14ac:dyDescent="0.35">
      <c r="A231" s="1" t="s">
        <v>243</v>
      </c>
      <c r="B231" t="str">
        <f>HYPERLINK("https://www.suredividend.com/sure-analysis-research-database/","Colony Bankcorp, Inc.")</f>
        <v>Colony Bankcorp, Inc.</v>
      </c>
      <c r="C231">
        <v>-2.6679841897232999E-2</v>
      </c>
      <c r="D231">
        <v>1.7940556405274002E-2</v>
      </c>
      <c r="E231">
        <v>7.1688916451784004E-2</v>
      </c>
      <c r="F231">
        <v>-0.18164899803928</v>
      </c>
      <c r="G231">
        <v>-0.23030639275472101</v>
      </c>
      <c r="H231">
        <v>-0.42605422476532301</v>
      </c>
      <c r="I231">
        <v>-0.34987789584845802</v>
      </c>
    </row>
    <row r="232" spans="1:9" x14ac:dyDescent="0.35">
      <c r="A232" s="1" t="s">
        <v>244</v>
      </c>
      <c r="B232" t="str">
        <f>HYPERLINK("https://www.suredividend.com/sure-analysis-research-database/","CBL&amp; Associates Properties, Inc.")</f>
        <v>CBL&amp; Associates Properties, Inc.</v>
      </c>
      <c r="C232">
        <v>-2.0705882352941001E-2</v>
      </c>
      <c r="D232">
        <v>-5.5078781274122003E-2</v>
      </c>
      <c r="E232">
        <v>-0.14779126004856899</v>
      </c>
      <c r="F232">
        <v>-5.2751844653123013E-2</v>
      </c>
      <c r="G232">
        <v>-6.6074866598151011E-2</v>
      </c>
      <c r="H232">
        <v>-0.19181013557860699</v>
      </c>
      <c r="I232">
        <v>-0.19181013557860699</v>
      </c>
    </row>
    <row r="233" spans="1:9" x14ac:dyDescent="0.35">
      <c r="A233" s="1" t="s">
        <v>245</v>
      </c>
      <c r="B233" t="str">
        <f>HYPERLINK("https://www.suredividend.com/sure-analysis-research-database/","Capital Bancorp Inc")</f>
        <v>Capital Bancorp Inc</v>
      </c>
      <c r="C233">
        <v>1.2352032938754001E-2</v>
      </c>
      <c r="D233">
        <v>8.6410206843224008E-2</v>
      </c>
      <c r="E233">
        <v>0.20991800606496699</v>
      </c>
      <c r="F233">
        <v>-0.15218075316693</v>
      </c>
      <c r="G233">
        <v>-0.17524822219240499</v>
      </c>
      <c r="H233">
        <v>-0.17225301199749099</v>
      </c>
      <c r="I233">
        <v>0.58008466747531806</v>
      </c>
    </row>
    <row r="234" spans="1:9" x14ac:dyDescent="0.35">
      <c r="A234" s="1" t="s">
        <v>246</v>
      </c>
      <c r="B234" t="str">
        <f>HYPERLINK("https://www.suredividend.com/sure-analysis-CBRL/","Cracker Barrel Old Country Store Inc")</f>
        <v>Cracker Barrel Old Country Store Inc</v>
      </c>
      <c r="C234">
        <v>-2.5637332565173001E-2</v>
      </c>
      <c r="D234">
        <v>-0.26116040955631298</v>
      </c>
      <c r="E234">
        <v>-0.38766421732353601</v>
      </c>
      <c r="F234">
        <v>-0.24901089239486099</v>
      </c>
      <c r="G234">
        <v>-0.25712484804826402</v>
      </c>
      <c r="H234">
        <v>-0.43980026581539411</v>
      </c>
      <c r="I234">
        <v>-0.47381889258516302</v>
      </c>
    </row>
    <row r="235" spans="1:9" x14ac:dyDescent="0.35">
      <c r="A235" s="1" t="s">
        <v>247</v>
      </c>
      <c r="B235" t="str">
        <f>HYPERLINK("https://www.suredividend.com/sure-analysis-research-database/","Cabot Corp.")</f>
        <v>Cabot Corp.</v>
      </c>
      <c r="C235">
        <v>-1.0946276825579001E-2</v>
      </c>
      <c r="D235">
        <v>1.4956080646662999E-2</v>
      </c>
      <c r="E235">
        <v>-7.5039398714995001E-2</v>
      </c>
      <c r="F235">
        <v>4.4234357393656012E-2</v>
      </c>
      <c r="G235">
        <v>0.106449211612641</v>
      </c>
      <c r="H235">
        <v>0.34962500589613299</v>
      </c>
      <c r="I235">
        <v>0.46120062303705012</v>
      </c>
    </row>
    <row r="236" spans="1:9" x14ac:dyDescent="0.35">
      <c r="A236" s="1" t="s">
        <v>248</v>
      </c>
      <c r="B236" t="str">
        <f>HYPERLINK("https://www.suredividend.com/sure-analysis-CBU/","Community Bank System, Inc.")</f>
        <v>Community Bank System, Inc.</v>
      </c>
      <c r="C236">
        <v>-5.9349220898257997E-2</v>
      </c>
      <c r="D236">
        <v>-7.7223262515932006E-2</v>
      </c>
      <c r="E236">
        <v>-0.117824669533467</v>
      </c>
      <c r="F236">
        <v>-0.32978388183297902</v>
      </c>
      <c r="G236">
        <v>-0.32431987569460902</v>
      </c>
      <c r="H236">
        <v>-0.38432049530328699</v>
      </c>
      <c r="I236">
        <v>-0.19556177419291601</v>
      </c>
    </row>
    <row r="237" spans="1:9" x14ac:dyDescent="0.35">
      <c r="A237" s="1" t="s">
        <v>249</v>
      </c>
      <c r="B237" t="str">
        <f>HYPERLINK("https://www.suredividend.com/sure-analysis-research-database/","Cbiz Inc")</f>
        <v>Cbiz Inc</v>
      </c>
      <c r="C237">
        <v>1.674730182359E-3</v>
      </c>
      <c r="D237">
        <v>9.7542674920270012E-3</v>
      </c>
      <c r="E237">
        <v>3.8587690526721001E-2</v>
      </c>
      <c r="F237">
        <v>0.14898612593383101</v>
      </c>
      <c r="G237">
        <v>0.22983778843957001</v>
      </c>
      <c r="H237">
        <v>0.54329128440366903</v>
      </c>
      <c r="I237">
        <v>1.379752431476569</v>
      </c>
    </row>
    <row r="238" spans="1:9" x14ac:dyDescent="0.35">
      <c r="A238" s="1" t="s">
        <v>250</v>
      </c>
      <c r="B238" t="str">
        <f>HYPERLINK("https://www.suredividend.com/sure-analysis-research-database/","Coastal Financial Corp")</f>
        <v>Coastal Financial Corp</v>
      </c>
      <c r="C238">
        <v>-2.7552674230145E-2</v>
      </c>
      <c r="D238">
        <v>4.9737565608596997E-2</v>
      </c>
      <c r="E238">
        <v>0.26126126126126098</v>
      </c>
      <c r="F238">
        <v>-0.11616161616161599</v>
      </c>
      <c r="G238">
        <v>3.6781041718094001E-2</v>
      </c>
      <c r="H238">
        <v>0.245182330269789</v>
      </c>
      <c r="I238">
        <v>1.5439127801332519</v>
      </c>
    </row>
    <row r="239" spans="1:9" x14ac:dyDescent="0.35">
      <c r="A239" s="1" t="s">
        <v>251</v>
      </c>
      <c r="B239" t="str">
        <f>HYPERLINK("https://www.suredividend.com/sure-analysis-research-database/","Capital City Bank Group, Inc.")</f>
        <v>Capital City Bank Group, Inc.</v>
      </c>
      <c r="C239">
        <v>-3.5360211500330002E-2</v>
      </c>
      <c r="D239">
        <v>-6.4102111942236001E-2</v>
      </c>
      <c r="E239">
        <v>4.9747003420039002E-2</v>
      </c>
      <c r="F239">
        <v>-7.4215033301617009E-2</v>
      </c>
      <c r="G239">
        <v>-0.13169448972549699</v>
      </c>
      <c r="H239">
        <v>0.17823712476235401</v>
      </c>
      <c r="I239">
        <v>0.42377047980918803</v>
      </c>
    </row>
    <row r="240" spans="1:9" x14ac:dyDescent="0.35">
      <c r="A240" s="1" t="s">
        <v>252</v>
      </c>
      <c r="B240" t="str">
        <f>HYPERLINK("https://www.suredividend.com/sure-analysis-research-database/","C4 Therapeutics Inc")</f>
        <v>C4 Therapeutics Inc</v>
      </c>
      <c r="C240">
        <v>-0.10762331838564999</v>
      </c>
      <c r="D240">
        <v>-0.40597014925373098</v>
      </c>
      <c r="E240">
        <v>-0.40597014925373098</v>
      </c>
      <c r="F240">
        <v>-0.66271186440677909</v>
      </c>
      <c r="G240">
        <v>-0.75</v>
      </c>
      <c r="H240">
        <v>-0.9546593757120071</v>
      </c>
      <c r="I240">
        <v>-0.92193016869360511</v>
      </c>
    </row>
    <row r="241" spans="1:9" x14ac:dyDescent="0.35">
      <c r="A241" s="1" t="s">
        <v>253</v>
      </c>
      <c r="B241" t="str">
        <f>HYPERLINK("https://www.suredividend.com/sure-analysis-research-database/","Chase Corp.")</f>
        <v>Chase Corp.</v>
      </c>
      <c r="C241">
        <v>-2.2055927530519998E-3</v>
      </c>
      <c r="D241">
        <v>3.0843098958332999E-2</v>
      </c>
      <c r="E241">
        <v>0.23870526109915799</v>
      </c>
      <c r="F241">
        <v>0.46846742406677411</v>
      </c>
      <c r="G241">
        <v>0.55743781990672803</v>
      </c>
      <c r="H241">
        <v>0.31492213962652299</v>
      </c>
      <c r="I241">
        <v>0.199467450466454</v>
      </c>
    </row>
    <row r="242" spans="1:9" x14ac:dyDescent="0.35">
      <c r="A242" s="1" t="s">
        <v>254</v>
      </c>
      <c r="B242" t="str">
        <f>HYPERLINK("https://www.suredividend.com/sure-analysis-research-database/","CNB Financial Corp (PA)")</f>
        <v>CNB Financial Corp (PA)</v>
      </c>
      <c r="C242">
        <v>-2.6558265582655002E-2</v>
      </c>
      <c r="D242">
        <v>1.3606939482699001E-2</v>
      </c>
      <c r="E242">
        <v>2.7295398906353002E-2</v>
      </c>
      <c r="F242">
        <v>-0.209155478447725</v>
      </c>
      <c r="G242">
        <v>-0.23300635033160899</v>
      </c>
      <c r="H242">
        <v>-0.22128037808658699</v>
      </c>
      <c r="I242">
        <v>-0.22448151234741101</v>
      </c>
    </row>
    <row r="243" spans="1:9" x14ac:dyDescent="0.35">
      <c r="A243" s="1" t="s">
        <v>255</v>
      </c>
      <c r="B243" t="str">
        <f>HYPERLINK("https://www.suredividend.com/sure-analysis-research-database/","Clear Channel Outdoor Holdings Inc.")</f>
        <v>Clear Channel Outdoor Holdings Inc.</v>
      </c>
      <c r="C243">
        <v>-0.26490066225165498</v>
      </c>
      <c r="D243">
        <v>-0.34319526627218899</v>
      </c>
      <c r="E243">
        <v>-8.2644628099173001E-2</v>
      </c>
      <c r="F243">
        <v>5.7142857142857002E-2</v>
      </c>
      <c r="G243">
        <v>-0.23972602739726001</v>
      </c>
      <c r="H243">
        <v>-0.58736059479553804</v>
      </c>
      <c r="I243">
        <v>-0.75056179775280907</v>
      </c>
    </row>
    <row r="244" spans="1:9" x14ac:dyDescent="0.35">
      <c r="A244" s="1" t="s">
        <v>256</v>
      </c>
      <c r="B244" t="str">
        <f>HYPERLINK("https://www.suredividend.com/sure-analysis-CCOI/","Cogent Communications Holdings Inc")</f>
        <v>Cogent Communications Holdings Inc</v>
      </c>
      <c r="C244">
        <v>-4.3796734320158001E-2</v>
      </c>
      <c r="D244">
        <v>1.6035063425168999E-2</v>
      </c>
      <c r="E244">
        <v>-5.2658633566666002E-2</v>
      </c>
      <c r="F244">
        <v>0.16274322784645601</v>
      </c>
      <c r="G244">
        <v>0.33932102024371102</v>
      </c>
      <c r="H244">
        <v>-2.7148548485760999E-2</v>
      </c>
      <c r="I244">
        <v>0.62016806722689</v>
      </c>
    </row>
    <row r="245" spans="1:9" x14ac:dyDescent="0.35">
      <c r="A245" s="1" t="s">
        <v>257</v>
      </c>
      <c r="B245" t="str">
        <f>HYPERLINK("https://www.suredividend.com/sure-analysis-research-database/","Cross Country Healthcares, Inc.")</f>
        <v>Cross Country Healthcares, Inc.</v>
      </c>
      <c r="C245">
        <v>-4.6434494195688E-2</v>
      </c>
      <c r="D245">
        <v>-0.15378955114054399</v>
      </c>
      <c r="E245">
        <v>-1.3722126929674E-2</v>
      </c>
      <c r="F245">
        <v>-0.134362062476477</v>
      </c>
      <c r="G245">
        <v>-0.28281883380105999</v>
      </c>
      <c r="H245">
        <v>0.217575436739015</v>
      </c>
      <c r="I245">
        <v>1.7251184834123221</v>
      </c>
    </row>
    <row r="246" spans="1:9" x14ac:dyDescent="0.35">
      <c r="A246" s="1" t="s">
        <v>258</v>
      </c>
      <c r="B246" t="str">
        <f>HYPERLINK("https://www.suredividend.com/sure-analysis-research-database/","Century Communities Inc")</f>
        <v>Century Communities Inc</v>
      </c>
      <c r="C246">
        <v>-0.11374407582938301</v>
      </c>
      <c r="D246">
        <v>-0.20771155616440401</v>
      </c>
      <c r="E246">
        <v>-1.36102037641E-4</v>
      </c>
      <c r="F246">
        <v>0.24715545082314999</v>
      </c>
      <c r="G246">
        <v>0.48427691108769999</v>
      </c>
      <c r="H246">
        <v>2.7487924394471001E-2</v>
      </c>
      <c r="I246">
        <v>1.7343299983162439</v>
      </c>
    </row>
    <row r="247" spans="1:9" x14ac:dyDescent="0.35">
      <c r="A247" s="1" t="s">
        <v>259</v>
      </c>
      <c r="B247" t="str">
        <f>HYPERLINK("https://www.suredividend.com/sure-analysis-research-database/","Consensus Cloud Solutions Inc")</f>
        <v>Consensus Cloud Solutions Inc</v>
      </c>
      <c r="C247">
        <v>-4.9761146496814998E-2</v>
      </c>
      <c r="D247">
        <v>-0.291270783847981</v>
      </c>
      <c r="E247">
        <v>-0.38888888888888801</v>
      </c>
      <c r="F247">
        <v>-0.55598958333333304</v>
      </c>
      <c r="G247">
        <v>-0.51206050695012206</v>
      </c>
      <c r="H247">
        <v>-0.62509816239987404</v>
      </c>
      <c r="I247">
        <v>-0.63209001233045603</v>
      </c>
    </row>
    <row r="248" spans="1:9" x14ac:dyDescent="0.35">
      <c r="A248" s="1" t="s">
        <v>260</v>
      </c>
      <c r="B248" t="str">
        <f>HYPERLINK("https://www.suredividend.com/sure-analysis-research-database/","Coeur Mining Inc")</f>
        <v>Coeur Mining Inc</v>
      </c>
      <c r="C248">
        <v>5.0420168067225997E-2</v>
      </c>
      <c r="D248">
        <v>-0.18831168831168801</v>
      </c>
      <c r="E248">
        <v>-0.38574938574938511</v>
      </c>
      <c r="F248">
        <v>-0.25595238095237999</v>
      </c>
      <c r="G248">
        <v>-0.235474006116207</v>
      </c>
      <c r="H248">
        <v>-0.60691823899371</v>
      </c>
      <c r="I248">
        <v>-0.55116696588868908</v>
      </c>
    </row>
    <row r="249" spans="1:9" x14ac:dyDescent="0.35">
      <c r="A249" s="1" t="s">
        <v>261</v>
      </c>
      <c r="B249" t="str">
        <f>HYPERLINK("https://www.suredividend.com/sure-analysis-research-database/","Cardlytics Inc")</f>
        <v>Cardlytics Inc</v>
      </c>
      <c r="C249">
        <v>-0.42349869451697097</v>
      </c>
      <c r="D249">
        <v>0.21052631578947301</v>
      </c>
      <c r="E249">
        <v>0.7276995305164311</v>
      </c>
      <c r="F249">
        <v>0.91003460207612408</v>
      </c>
      <c r="G249">
        <v>0.524861878453038</v>
      </c>
      <c r="H249">
        <v>-0.86885245901639307</v>
      </c>
      <c r="I249">
        <v>-0.45074626865671602</v>
      </c>
    </row>
    <row r="250" spans="1:9" x14ac:dyDescent="0.35">
      <c r="A250" s="1" t="s">
        <v>262</v>
      </c>
      <c r="B250" t="str">
        <f>HYPERLINK("https://www.suredividend.com/sure-analysis-research-database/","Avid Bioservices Inc")</f>
        <v>Avid Bioservices Inc</v>
      </c>
      <c r="C250">
        <v>-0.20941402497598399</v>
      </c>
      <c r="D250">
        <v>-0.37792894935752003</v>
      </c>
      <c r="E250">
        <v>-0.58138351983723302</v>
      </c>
      <c r="F250">
        <v>-0.40232389251996997</v>
      </c>
      <c r="G250">
        <v>-0.53371104815864001</v>
      </c>
      <c r="H250">
        <v>-0.6808840635905381</v>
      </c>
      <c r="I250">
        <v>0.50732600732600708</v>
      </c>
    </row>
    <row r="251" spans="1:9" x14ac:dyDescent="0.35">
      <c r="A251" s="1" t="s">
        <v>263</v>
      </c>
      <c r="B251" t="str">
        <f>HYPERLINK("https://www.suredividend.com/sure-analysis-research-database/","Caredx Inc")</f>
        <v>Caredx Inc</v>
      </c>
      <c r="C251">
        <v>-0.28661616161616099</v>
      </c>
      <c r="D251">
        <v>-0.42169907881269098</v>
      </c>
      <c r="E251">
        <v>-0.36373873873873802</v>
      </c>
      <c r="F251">
        <v>-0.50482033304119101</v>
      </c>
      <c r="G251">
        <v>-0.65653495440729404</v>
      </c>
      <c r="H251">
        <v>-0.92042253521126705</v>
      </c>
      <c r="I251">
        <v>-0.74165523548239609</v>
      </c>
    </row>
    <row r="252" spans="1:9" x14ac:dyDescent="0.35">
      <c r="A252" s="1" t="s">
        <v>264</v>
      </c>
      <c r="B252" t="str">
        <f>HYPERLINK("https://www.suredividend.com/sure-analysis-research-database/","Cadre Holdings Inc")</f>
        <v>Cadre Holdings Inc</v>
      </c>
      <c r="C252">
        <v>7.5427682737169002E-2</v>
      </c>
      <c r="D252">
        <v>0.249057336518444</v>
      </c>
      <c r="E252">
        <v>0.24656361260083801</v>
      </c>
      <c r="F252">
        <v>0.38817790358035398</v>
      </c>
      <c r="G252">
        <v>3.4416990467357002E-2</v>
      </c>
      <c r="H252">
        <v>0.85968332941136905</v>
      </c>
      <c r="I252">
        <v>0.85968332941136905</v>
      </c>
    </row>
    <row r="253" spans="1:9" x14ac:dyDescent="0.35">
      <c r="A253" s="1" t="s">
        <v>265</v>
      </c>
      <c r="B253" t="str">
        <f>HYPERLINK("https://www.suredividend.com/sure-analysis-research-database/","Codexis Inc.")</f>
        <v>Codexis Inc.</v>
      </c>
      <c r="C253">
        <v>2.5773195876287999E-2</v>
      </c>
      <c r="D253">
        <v>-0.36624203821655998</v>
      </c>
      <c r="E253">
        <v>-0.51463414634146309</v>
      </c>
      <c r="F253">
        <v>-0.57296137339055808</v>
      </c>
      <c r="G253">
        <v>-0.6027944111776441</v>
      </c>
      <c r="H253">
        <v>-0.92975644193434503</v>
      </c>
      <c r="I253">
        <v>-0.86829913964262007</v>
      </c>
    </row>
    <row r="254" spans="1:9" x14ac:dyDescent="0.35">
      <c r="A254" s="1" t="s">
        <v>266</v>
      </c>
      <c r="B254" t="str">
        <f>HYPERLINK("https://www.suredividend.com/sure-analysis-research-database/","Consol Energy Inc")</f>
        <v>Consol Energy Inc</v>
      </c>
      <c r="C254">
        <v>9.8067287043664006E-2</v>
      </c>
      <c r="D254">
        <v>0.71205357142857106</v>
      </c>
      <c r="E254">
        <v>0.81272758273165102</v>
      </c>
      <c r="F254">
        <v>0.71601803273186904</v>
      </c>
      <c r="G254">
        <v>0.70401708777798511</v>
      </c>
      <c r="H254">
        <v>2.5886518660120772</v>
      </c>
      <c r="I254">
        <v>2.0037287860605502</v>
      </c>
    </row>
    <row r="255" spans="1:9" x14ac:dyDescent="0.35">
      <c r="A255" s="1" t="s">
        <v>267</v>
      </c>
      <c r="B255" t="str">
        <f>HYPERLINK("https://www.suredividend.com/sure-analysis-research-database/","Celsius Holdings Inc")</f>
        <v>Celsius Holdings Inc</v>
      </c>
      <c r="C255">
        <v>-0.17141699994937401</v>
      </c>
      <c r="D255">
        <v>6.8970021553131006E-2</v>
      </c>
      <c r="E255">
        <v>0.88299585826046911</v>
      </c>
      <c r="F255">
        <v>0.57314494425221008</v>
      </c>
      <c r="G255">
        <v>0.97955974842767213</v>
      </c>
      <c r="H255">
        <v>0.84085029805421208</v>
      </c>
      <c r="I255">
        <v>43.475543478260867</v>
      </c>
    </row>
    <row r="256" spans="1:9" x14ac:dyDescent="0.35">
      <c r="A256" s="1" t="s">
        <v>268</v>
      </c>
      <c r="B256" t="str">
        <f>HYPERLINK("https://www.suredividend.com/sure-analysis-research-database/","PhenomeX Inc")</f>
        <v>PhenomeX Inc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 s="1" t="s">
        <v>269</v>
      </c>
      <c r="B257" t="str">
        <f>HYPERLINK("https://www.suredividend.com/sure-analysis-research-database/","Celularity Inc")</f>
        <v>Celularity Inc</v>
      </c>
      <c r="C257">
        <v>-3.0618892508143002E-2</v>
      </c>
      <c r="D257">
        <v>-0.40240963855421602</v>
      </c>
      <c r="E257">
        <v>-0.5610619469026551</v>
      </c>
      <c r="F257">
        <v>-0.76930232558139511</v>
      </c>
      <c r="G257">
        <v>-0.85692307692307612</v>
      </c>
      <c r="H257">
        <v>-0.95860917941585511</v>
      </c>
      <c r="I257">
        <v>-0.96963265306122404</v>
      </c>
    </row>
    <row r="258" spans="1:9" x14ac:dyDescent="0.35">
      <c r="A258" s="1" t="s">
        <v>270</v>
      </c>
      <c r="B258" t="str">
        <f>HYPERLINK("https://www.suredividend.com/sure-analysis-research-database/","Cenntro Electric Group Limited")</f>
        <v>Cenntro Electric Group Limited</v>
      </c>
      <c r="C258">
        <v>-0.120883534136546</v>
      </c>
      <c r="D258">
        <v>-0.49093023255813911</v>
      </c>
      <c r="E258">
        <v>-0.46997578692493902</v>
      </c>
      <c r="F258">
        <v>-0.50250000000000006</v>
      </c>
      <c r="G258">
        <v>-0.77316062176165801</v>
      </c>
      <c r="H258">
        <v>-0.97832565968612306</v>
      </c>
      <c r="I258">
        <v>-0.99991465886939512</v>
      </c>
    </row>
    <row r="259" spans="1:9" x14ac:dyDescent="0.35">
      <c r="A259" s="1" t="s">
        <v>271</v>
      </c>
      <c r="B259" t="str">
        <f>HYPERLINK("https://www.suredividend.com/sure-analysis-research-database/","Central Garden &amp; Pet Co.")</f>
        <v>Central Garden &amp; Pet Co.</v>
      </c>
      <c r="C259">
        <v>-6.9053708439896999E-2</v>
      </c>
      <c r="D259">
        <v>0.11088504577823</v>
      </c>
      <c r="E259">
        <v>9.9421092373521008E-2</v>
      </c>
      <c r="F259">
        <v>0.166355140186915</v>
      </c>
      <c r="G259">
        <v>0.18438177874186501</v>
      </c>
      <c r="H259">
        <v>-0.116504854368932</v>
      </c>
      <c r="I259">
        <v>0.31447487210352099</v>
      </c>
    </row>
    <row r="260" spans="1:9" x14ac:dyDescent="0.35">
      <c r="A260" s="1" t="s">
        <v>272</v>
      </c>
      <c r="B260" t="str">
        <f>HYPERLINK("https://www.suredividend.com/sure-analysis-research-database/","Central Garden &amp; Pet Co.")</f>
        <v>Central Garden &amp; Pet Co.</v>
      </c>
      <c r="C260">
        <v>-6.1224489795918012E-2</v>
      </c>
      <c r="D260">
        <v>6.4585575888051E-2</v>
      </c>
      <c r="E260">
        <v>4.7114875595553003E-2</v>
      </c>
      <c r="F260">
        <v>0.10502793296089399</v>
      </c>
      <c r="G260">
        <v>0.13093196112064001</v>
      </c>
      <c r="H260">
        <v>-0.120497999110715</v>
      </c>
      <c r="I260">
        <v>0.29917898193760201</v>
      </c>
    </row>
    <row r="261" spans="1:9" x14ac:dyDescent="0.35">
      <c r="A261" s="1" t="s">
        <v>273</v>
      </c>
      <c r="B261" t="str">
        <f>HYPERLINK("https://www.suredividend.com/sure-analysis-research-database/","Century Aluminum Co.")</f>
        <v>Century Aluminum Co.</v>
      </c>
      <c r="C261">
        <v>-0.13430851063829699</v>
      </c>
      <c r="D261">
        <v>-0.25429553264604798</v>
      </c>
      <c r="E261">
        <v>-0.31111111111111101</v>
      </c>
      <c r="F261">
        <v>-0.20415647921760299</v>
      </c>
      <c r="G261">
        <v>0.13020833333333301</v>
      </c>
      <c r="H261">
        <v>-0.62260869565217303</v>
      </c>
      <c r="I261">
        <v>-0.35925196850393698</v>
      </c>
    </row>
    <row r="262" spans="1:9" x14ac:dyDescent="0.35">
      <c r="A262" s="1" t="s">
        <v>274</v>
      </c>
      <c r="B262" t="str">
        <f>HYPERLINK("https://www.suredividend.com/sure-analysis-research-database/","Cerevel Therapeutics Holdings Inc")</f>
        <v>Cerevel Therapeutics Holdings Inc</v>
      </c>
      <c r="C262">
        <v>-1.2362030905077001E-2</v>
      </c>
      <c r="D262">
        <v>-0.25878064943671297</v>
      </c>
      <c r="E262">
        <v>-9.4698502630513007E-2</v>
      </c>
      <c r="F262">
        <v>-0.29074191502853503</v>
      </c>
      <c r="G262">
        <v>-0.16342557965594601</v>
      </c>
      <c r="H262">
        <v>-0.36664779161947902</v>
      </c>
      <c r="I262">
        <v>1.2641700404858289</v>
      </c>
    </row>
    <row r="263" spans="1:9" x14ac:dyDescent="0.35">
      <c r="A263" s="1" t="s">
        <v>275</v>
      </c>
      <c r="B263" t="str">
        <f>HYPERLINK("https://www.suredividend.com/sure-analysis-research-database/","Cerus Corp.")</f>
        <v>Cerus Corp.</v>
      </c>
      <c r="C263">
        <v>-0.20858895705521399</v>
      </c>
      <c r="D263">
        <v>-0.46694214876033002</v>
      </c>
      <c r="E263">
        <v>-0.54092526690391407</v>
      </c>
      <c r="F263">
        <v>-0.6465753424657531</v>
      </c>
      <c r="G263">
        <v>-0.625</v>
      </c>
      <c r="H263">
        <v>-0.78921568627450911</v>
      </c>
      <c r="I263">
        <v>-0.78355704697986506</v>
      </c>
    </row>
    <row r="264" spans="1:9" x14ac:dyDescent="0.35">
      <c r="A264" s="1" t="s">
        <v>276</v>
      </c>
      <c r="B264" t="str">
        <f>HYPERLINK("https://www.suredividend.com/sure-analysis-research-database/","Ceva Inc.")</f>
        <v>Ceva Inc.</v>
      </c>
      <c r="C264">
        <v>-0.110269758637008</v>
      </c>
      <c r="D264">
        <v>-0.27775643488282697</v>
      </c>
      <c r="E264">
        <v>-0.33498408206579411</v>
      </c>
      <c r="F264">
        <v>-0.26505082095387</v>
      </c>
      <c r="G264">
        <v>-0.221854304635761</v>
      </c>
      <c r="H264">
        <v>-0.55940942113897307</v>
      </c>
      <c r="I264">
        <v>-0.246794871794871</v>
      </c>
    </row>
    <row r="265" spans="1:9" x14ac:dyDescent="0.35">
      <c r="A265" s="1" t="s">
        <v>277</v>
      </c>
      <c r="B265" t="str">
        <f>HYPERLINK("https://www.suredividend.com/sure-analysis-research-database/","Crossfirst Bankshares Inc")</f>
        <v>Crossfirst Bankshares Inc</v>
      </c>
      <c r="C265">
        <v>-5.1923076923076003E-2</v>
      </c>
      <c r="D265">
        <v>-9.0405904059040004E-2</v>
      </c>
      <c r="E265">
        <v>-4.0404040404040014E-3</v>
      </c>
      <c r="F265">
        <v>-0.20547945205479401</v>
      </c>
      <c r="G265">
        <v>-0.27976625273922501</v>
      </c>
      <c r="H265">
        <v>-0.27500000000000002</v>
      </c>
      <c r="I265">
        <v>-0.32465753424657501</v>
      </c>
    </row>
    <row r="266" spans="1:9" x14ac:dyDescent="0.35">
      <c r="A266" s="1" t="s">
        <v>278</v>
      </c>
      <c r="B266" t="str">
        <f>HYPERLINK("https://www.suredividend.com/sure-analysis-research-database/","Capitol Federal Financial")</f>
        <v>Capitol Federal Financial</v>
      </c>
      <c r="C266">
        <v>-0.146666666666666</v>
      </c>
      <c r="D266">
        <v>-0.25463771732800899</v>
      </c>
      <c r="E266">
        <v>-0.29573036533987201</v>
      </c>
      <c r="F266">
        <v>-0.45473576592585302</v>
      </c>
      <c r="G266">
        <v>-0.41375835852340298</v>
      </c>
      <c r="H266">
        <v>-0.55287636232983306</v>
      </c>
      <c r="I266">
        <v>-0.47814742335290211</v>
      </c>
    </row>
    <row r="267" spans="1:9" x14ac:dyDescent="0.35">
      <c r="A267" s="1" t="s">
        <v>279</v>
      </c>
      <c r="B267" t="str">
        <f>HYPERLINK("https://www.suredividend.com/sure-analysis-research-database/","Cullinan Oncology Inc")</f>
        <v>Cullinan Oncology Inc</v>
      </c>
      <c r="C267">
        <v>-0.116465863453815</v>
      </c>
      <c r="D267">
        <v>-0.24914675767917999</v>
      </c>
      <c r="E267">
        <v>-0.121756487025948</v>
      </c>
      <c r="F267">
        <v>-0.16587677725118399</v>
      </c>
      <c r="G267">
        <v>-0.30269413629160002</v>
      </c>
      <c r="H267">
        <v>-0.64799999999999902</v>
      </c>
      <c r="I267">
        <v>-0.70578401872283503</v>
      </c>
    </row>
    <row r="268" spans="1:9" x14ac:dyDescent="0.35">
      <c r="A268" s="1" t="s">
        <v>280</v>
      </c>
      <c r="B268" t="str">
        <f>HYPERLINK("https://www.suredividend.com/sure-analysis-research-database/","City Holding Co.")</f>
        <v>City Holding Co.</v>
      </c>
      <c r="C268">
        <v>1.5966309972108E-2</v>
      </c>
      <c r="D268">
        <v>-9.3839750579770009E-3</v>
      </c>
      <c r="E268">
        <v>3.3979331863852998E-2</v>
      </c>
      <c r="F268">
        <v>2.1158217326894001E-2</v>
      </c>
      <c r="G268">
        <v>1.9187358916477999E-2</v>
      </c>
      <c r="H268">
        <v>0.28009208724472501</v>
      </c>
      <c r="I268">
        <v>0.47299188631047312</v>
      </c>
    </row>
    <row r="269" spans="1:9" x14ac:dyDescent="0.35">
      <c r="A269" s="1" t="s">
        <v>281</v>
      </c>
      <c r="B269" t="str">
        <f>HYPERLINK("https://www.suredividend.com/sure-analysis-CHCT/","Community Healthcare Trust Inc")</f>
        <v>Community Healthcare Trust Inc</v>
      </c>
      <c r="C269">
        <v>-0.12818153940509</v>
      </c>
      <c r="D269">
        <v>-0.19787378714735901</v>
      </c>
      <c r="E269">
        <v>-0.19175091258514601</v>
      </c>
      <c r="F269">
        <v>-0.17649580571905199</v>
      </c>
      <c r="G269">
        <v>-5.5057916341216012E-2</v>
      </c>
      <c r="H269">
        <v>-0.34945620213308798</v>
      </c>
      <c r="I269">
        <v>0.26136358594620002</v>
      </c>
    </row>
    <row r="270" spans="1:9" x14ac:dyDescent="0.35">
      <c r="A270" s="1" t="s">
        <v>282</v>
      </c>
      <c r="B270" t="str">
        <f>HYPERLINK("https://www.suredividend.com/sure-analysis-research-database/","Chefs` Warehouse Inc")</f>
        <v>Chefs` Warehouse Inc</v>
      </c>
      <c r="C270">
        <v>-0.33333333333333298</v>
      </c>
      <c r="D270">
        <v>-0.47599451303154999</v>
      </c>
      <c r="E270">
        <v>-0.41230769230769199</v>
      </c>
      <c r="F270">
        <v>-0.42608173076923012</v>
      </c>
      <c r="G270">
        <v>-0.35819892473118198</v>
      </c>
      <c r="H270">
        <v>-0.43272943272943198</v>
      </c>
      <c r="I270">
        <v>-0.38604950176792002</v>
      </c>
    </row>
    <row r="271" spans="1:9" x14ac:dyDescent="0.35">
      <c r="A271" s="1" t="s">
        <v>283</v>
      </c>
      <c r="B271" t="str">
        <f>HYPERLINK("https://www.suredividend.com/sure-analysis-research-database/","Chegg Inc")</f>
        <v>Chegg Inc</v>
      </c>
      <c r="C271">
        <v>-0.15885947046843099</v>
      </c>
      <c r="D271">
        <v>-0.100217864923747</v>
      </c>
      <c r="E271">
        <v>-0.54814004376367609</v>
      </c>
      <c r="F271">
        <v>-0.67313019390581708</v>
      </c>
      <c r="G271">
        <v>-0.58741258741258706</v>
      </c>
      <c r="H271">
        <v>-0.86520887728459506</v>
      </c>
      <c r="I271">
        <v>-0.68046421663442902</v>
      </c>
    </row>
    <row r="272" spans="1:9" x14ac:dyDescent="0.35">
      <c r="A272" s="1" t="s">
        <v>284</v>
      </c>
      <c r="B272" t="str">
        <f>HYPERLINK("https://www.suredividend.com/sure-analysis-research-database/","Chord Energy Corp")</f>
        <v>Chord Energy Corp</v>
      </c>
      <c r="C272">
        <v>6.5663906970865007E-2</v>
      </c>
      <c r="D272">
        <v>0.147643967654707</v>
      </c>
      <c r="E272">
        <v>0.201471235801021</v>
      </c>
      <c r="F272">
        <v>0.28286573123422698</v>
      </c>
      <c r="G272">
        <v>0.230800224525055</v>
      </c>
      <c r="H272">
        <v>0.86543056907690907</v>
      </c>
      <c r="I272">
        <v>5.5128890468208036</v>
      </c>
    </row>
    <row r="273" spans="1:9" x14ac:dyDescent="0.35">
      <c r="A273" s="1" t="s">
        <v>285</v>
      </c>
      <c r="B273" t="str">
        <f>HYPERLINK("https://www.suredividend.com/sure-analysis-research-database/","Coherus Biosciences Inc")</f>
        <v>Coherus Biosciences Inc</v>
      </c>
      <c r="C273">
        <v>-0.22560975609756001</v>
      </c>
      <c r="D273">
        <v>-6.1576354679802013E-2</v>
      </c>
      <c r="E273">
        <v>-0.51649746192893409</v>
      </c>
      <c r="F273">
        <v>-0.51893939393939303</v>
      </c>
      <c r="G273">
        <v>-0.53985507246376807</v>
      </c>
      <c r="H273">
        <v>-0.77588235294117602</v>
      </c>
      <c r="I273">
        <v>-0.70804597701149408</v>
      </c>
    </row>
    <row r="274" spans="1:9" x14ac:dyDescent="0.35">
      <c r="A274" s="1" t="s">
        <v>286</v>
      </c>
      <c r="B274" t="str">
        <f>HYPERLINK("https://www.suredividend.com/sure-analysis-research-database/","Chico`s Fas, Inc.")</f>
        <v>Chico`s Fas, Inc.</v>
      </c>
      <c r="C274">
        <v>0.62745098039215608</v>
      </c>
      <c r="D274">
        <v>0.31282952548330401</v>
      </c>
      <c r="E274">
        <v>0.40943396226415002</v>
      </c>
      <c r="F274">
        <v>0.51829268292682906</v>
      </c>
      <c r="G274">
        <v>0.51521298174442209</v>
      </c>
      <c r="H274">
        <v>0.50301810865191099</v>
      </c>
      <c r="I274">
        <v>0.117142985329085</v>
      </c>
    </row>
    <row r="275" spans="1:9" x14ac:dyDescent="0.35">
      <c r="A275" s="1" t="s">
        <v>287</v>
      </c>
      <c r="B275" t="str">
        <f>HYPERLINK("https://www.suredividend.com/sure-analysis-research-database/","Chuy`s Holdings Inc")</f>
        <v>Chuy`s Holdings Inc</v>
      </c>
      <c r="C275">
        <v>-0.111264876833656</v>
      </c>
      <c r="D275">
        <v>-0.21778319123020701</v>
      </c>
      <c r="E275">
        <v>-7.8886976477337001E-2</v>
      </c>
      <c r="F275">
        <v>0.13462897526501699</v>
      </c>
      <c r="G275">
        <v>0.30475416497358698</v>
      </c>
      <c r="H275">
        <v>6.0435931307792998E-2</v>
      </c>
      <c r="I275">
        <v>0.203974503187101</v>
      </c>
    </row>
    <row r="276" spans="1:9" x14ac:dyDescent="0.35">
      <c r="A276" s="1" t="s">
        <v>288</v>
      </c>
      <c r="B276" t="str">
        <f>HYPERLINK("https://www.suredividend.com/sure-analysis-research-database/","ChampionX Corp.")</f>
        <v>ChampionX Corp.</v>
      </c>
      <c r="C276">
        <v>-9.5692427769778002E-2</v>
      </c>
      <c r="D276">
        <v>-1.0414212336835999E-2</v>
      </c>
      <c r="E276">
        <v>0.20270608869957399</v>
      </c>
      <c r="F276">
        <v>0.17492787831104101</v>
      </c>
      <c r="G276">
        <v>0.61964396754927609</v>
      </c>
      <c r="H276">
        <v>0.304611179275319</v>
      </c>
      <c r="I276">
        <v>-0.22258213789911999</v>
      </c>
    </row>
    <row r="277" spans="1:9" x14ac:dyDescent="0.35">
      <c r="A277" s="1" t="s">
        <v>289</v>
      </c>
      <c r="B277" t="str">
        <f>HYPERLINK("https://www.suredividend.com/sure-analysis-research-database/","Cipher Mining Inc")</f>
        <v>Cipher Mining Inc</v>
      </c>
      <c r="C277">
        <v>-0.16376306620209</v>
      </c>
      <c r="D277">
        <v>-0.51120162932790203</v>
      </c>
      <c r="E277">
        <v>-0.17525773195876199</v>
      </c>
      <c r="F277">
        <v>3.2857142857142851</v>
      </c>
      <c r="G277">
        <v>1.5260498894853169</v>
      </c>
      <c r="H277">
        <v>-0.65665236051502107</v>
      </c>
      <c r="I277">
        <v>-0.75510204081632604</v>
      </c>
    </row>
    <row r="278" spans="1:9" x14ac:dyDescent="0.35">
      <c r="A278" s="1" t="s">
        <v>290</v>
      </c>
      <c r="B278" t="str">
        <f>HYPERLINK("https://www.suredividend.com/sure-analysis-CIM/","Chimera Investment Corp")</f>
        <v>Chimera Investment Corp</v>
      </c>
      <c r="C278">
        <v>-0.11426191326227</v>
      </c>
      <c r="D278">
        <v>-5.8513137446238997E-2</v>
      </c>
      <c r="E278">
        <v>1.7458891536148002E-2</v>
      </c>
      <c r="F278">
        <v>5.2461466981799001E-2</v>
      </c>
      <c r="G278">
        <v>0.10815697117941001</v>
      </c>
      <c r="H278">
        <v>-0.55498612000854108</v>
      </c>
      <c r="I278">
        <v>-0.44698015072709801</v>
      </c>
    </row>
    <row r="279" spans="1:9" x14ac:dyDescent="0.35">
      <c r="A279" s="1" t="s">
        <v>291</v>
      </c>
      <c r="B279" t="str">
        <f>HYPERLINK("https://www.suredividend.com/sure-analysis-CIO/","City Office REIT Inc")</f>
        <v>City Office REIT Inc</v>
      </c>
      <c r="C279">
        <v>-0.20765372782062599</v>
      </c>
      <c r="D279">
        <v>-0.32185048246009501</v>
      </c>
      <c r="E279">
        <v>-0.35515958085372701</v>
      </c>
      <c r="F279">
        <v>-0.50586132576354903</v>
      </c>
      <c r="G279">
        <v>-0.57485781481439602</v>
      </c>
      <c r="H279">
        <v>-0.76590273756825211</v>
      </c>
      <c r="I279">
        <v>-0.5431126664722461</v>
      </c>
    </row>
    <row r="280" spans="1:9" x14ac:dyDescent="0.35">
      <c r="A280" s="1" t="s">
        <v>292</v>
      </c>
      <c r="B280" t="str">
        <f>HYPERLINK("https://www.suredividend.com/sure-analysis-research-database/","Circor International Inc")</f>
        <v>Circor International Inc</v>
      </c>
      <c r="C280">
        <v>-5.2348512011473003E-2</v>
      </c>
      <c r="D280">
        <v>-5.6576833839013997E-2</v>
      </c>
      <c r="E280">
        <v>0.84502617801047109</v>
      </c>
      <c r="F280">
        <v>1.206176961602671</v>
      </c>
      <c r="G280">
        <v>2.2133738601823709</v>
      </c>
      <c r="H280">
        <v>0.63653250773993808</v>
      </c>
      <c r="I280">
        <v>0.37298701298701298</v>
      </c>
    </row>
    <row r="281" spans="1:9" x14ac:dyDescent="0.35">
      <c r="A281" s="1" t="s">
        <v>293</v>
      </c>
      <c r="B281" t="str">
        <f>HYPERLINK("https://www.suredividend.com/sure-analysis-research-database/","CISO Global Inc")</f>
        <v>CISO Global Inc</v>
      </c>
      <c r="C281">
        <v>-0.280782508630609</v>
      </c>
      <c r="D281">
        <v>-0.35132330046704702</v>
      </c>
      <c r="E281">
        <v>-0.47567114093959711</v>
      </c>
      <c r="F281">
        <v>-0.95098039215686203</v>
      </c>
      <c r="G281">
        <v>-0.95689655172413812</v>
      </c>
      <c r="H281">
        <v>-0.9769372693726931</v>
      </c>
      <c r="I281">
        <v>-0.9769372693726931</v>
      </c>
    </row>
    <row r="282" spans="1:9" x14ac:dyDescent="0.35">
      <c r="A282" s="1" t="s">
        <v>294</v>
      </c>
      <c r="B282" t="str">
        <f>HYPERLINK("https://www.suredividend.com/sure-analysis-research-database/","Civista Bancshares Inc")</f>
        <v>Civista Bancshares Inc</v>
      </c>
      <c r="C282">
        <v>-7.8031212484994006E-2</v>
      </c>
      <c r="D282">
        <v>-7.4910562642286002E-2</v>
      </c>
      <c r="E282">
        <v>1.6659716844382999E-2</v>
      </c>
      <c r="F282">
        <v>-0.27106023719016498</v>
      </c>
      <c r="G282">
        <v>-0.248969533392985</v>
      </c>
      <c r="H282">
        <v>-0.34629118131482201</v>
      </c>
      <c r="I282">
        <v>-0.252260014896382</v>
      </c>
    </row>
    <row r="283" spans="1:9" x14ac:dyDescent="0.35">
      <c r="A283" s="1" t="s">
        <v>295</v>
      </c>
      <c r="B283" t="str">
        <f>HYPERLINK("https://www.suredividend.com/sure-analysis-research-database/","Civitas Resources Inc")</f>
        <v>Civitas Resources Inc</v>
      </c>
      <c r="C283">
        <v>-8.877943296492001E-2</v>
      </c>
      <c r="D283">
        <v>0.109904710619966</v>
      </c>
      <c r="E283">
        <v>6.369402634483301E-2</v>
      </c>
      <c r="F283">
        <v>0.37044712531325102</v>
      </c>
      <c r="G283">
        <v>0.26414981133584797</v>
      </c>
      <c r="H283">
        <v>0.41590442411797601</v>
      </c>
      <c r="I283">
        <v>1.712833113373891</v>
      </c>
    </row>
    <row r="284" spans="1:9" x14ac:dyDescent="0.35">
      <c r="A284" s="1" t="s">
        <v>296</v>
      </c>
      <c r="B284" t="str">
        <f>HYPERLINK("https://www.suredividend.com/sure-analysis-research-database/","Compx International, Inc.")</f>
        <v>Compx International, Inc.</v>
      </c>
      <c r="C284">
        <v>1.4746040415073E-2</v>
      </c>
      <c r="D284">
        <v>-0.170105947722928</v>
      </c>
      <c r="E284">
        <v>4.8651089287729002E-2</v>
      </c>
      <c r="F284">
        <v>6.9715759596064006E-2</v>
      </c>
      <c r="G284">
        <v>0.13400551744342101</v>
      </c>
      <c r="H284">
        <v>3.5230140909419998E-2</v>
      </c>
      <c r="I284">
        <v>0.79470089928231202</v>
      </c>
    </row>
    <row r="285" spans="1:9" x14ac:dyDescent="0.35">
      <c r="A285" s="1" t="s">
        <v>297</v>
      </c>
      <c r="B285" t="str">
        <f>HYPERLINK("https://www.suredividend.com/sure-analysis-research-database/","Clarus Corp")</f>
        <v>Clarus Corp</v>
      </c>
      <c r="C285">
        <v>-0.15317919075144501</v>
      </c>
      <c r="D285">
        <v>-0.34363799283154101</v>
      </c>
      <c r="E285">
        <v>-0.37853946168366998</v>
      </c>
      <c r="F285">
        <v>-0.24186557992108099</v>
      </c>
      <c r="G285">
        <v>-0.50631013159446603</v>
      </c>
      <c r="H285">
        <v>-0.7834714041842481</v>
      </c>
      <c r="I285">
        <v>-0.40758413619499101</v>
      </c>
    </row>
    <row r="286" spans="1:9" x14ac:dyDescent="0.35">
      <c r="A286" s="1" t="s">
        <v>298</v>
      </c>
      <c r="B286" t="str">
        <f>HYPERLINK("https://www.suredividend.com/sure-analysis-research-database/","Columbia Financial, Inc")</f>
        <v>Columbia Financial, Inc</v>
      </c>
      <c r="C286">
        <v>-5.2279635258358013E-2</v>
      </c>
      <c r="D286">
        <v>-0.120699379582628</v>
      </c>
      <c r="E286">
        <v>-0.164970540974826</v>
      </c>
      <c r="F286">
        <v>-0.27890841813135903</v>
      </c>
      <c r="G286">
        <v>-0.28649885583523999</v>
      </c>
      <c r="H286">
        <v>-0.17074468085106301</v>
      </c>
      <c r="I286">
        <v>2.4310118265439998E-2</v>
      </c>
    </row>
    <row r="287" spans="1:9" x14ac:dyDescent="0.35">
      <c r="A287" s="1" t="s">
        <v>299</v>
      </c>
      <c r="B287" t="str">
        <f>HYPERLINK("https://www.suredividend.com/sure-analysis-research-database/","Chatham Lodging Trust")</f>
        <v>Chatham Lodging Trust</v>
      </c>
      <c r="C287">
        <v>-1.9974715549936E-2</v>
      </c>
      <c r="D287">
        <v>1.3608928963692001E-2</v>
      </c>
      <c r="E287">
        <v>-5.0567797689616001E-2</v>
      </c>
      <c r="F287">
        <v>-0.19286321155479999</v>
      </c>
      <c r="G287">
        <v>-9.7714956142801013E-2</v>
      </c>
      <c r="H287">
        <v>-0.215028676970934</v>
      </c>
      <c r="I287">
        <v>-0.43153485588909901</v>
      </c>
    </row>
    <row r="288" spans="1:9" x14ac:dyDescent="0.35">
      <c r="A288" s="1" t="s">
        <v>300</v>
      </c>
      <c r="B288" t="str">
        <f>HYPERLINK("https://www.suredividend.com/sure-analysis-research-database/","Celldex Therapeutics Inc.")</f>
        <v>Celldex Therapeutics Inc.</v>
      </c>
      <c r="C288">
        <v>-6.4758497316636007E-2</v>
      </c>
      <c r="D288">
        <v>-0.29900777688388303</v>
      </c>
      <c r="E288">
        <v>-0.137008913832948</v>
      </c>
      <c r="F288">
        <v>-0.41350684316804998</v>
      </c>
      <c r="G288">
        <v>-0.16857506361323099</v>
      </c>
      <c r="H288">
        <v>-0.43395409268081397</v>
      </c>
      <c r="I288">
        <v>3.1690590111642738</v>
      </c>
    </row>
    <row r="289" spans="1:9" x14ac:dyDescent="0.35">
      <c r="A289" s="1" t="s">
        <v>301</v>
      </c>
      <c r="B289" t="str">
        <f>HYPERLINK("https://www.suredividend.com/sure-analysis-research-database/","Clearfield Inc")</f>
        <v>Clearfield Inc</v>
      </c>
      <c r="C289">
        <v>-0.21282051282051201</v>
      </c>
      <c r="D289">
        <v>-0.47755796639012899</v>
      </c>
      <c r="E289">
        <v>-0.45687748783724003</v>
      </c>
      <c r="F289">
        <v>-0.7391119609092841</v>
      </c>
      <c r="G289">
        <v>-0.74051769677760104</v>
      </c>
      <c r="H289">
        <v>-0.53210135263859704</v>
      </c>
      <c r="I289">
        <v>1.0364842454394689</v>
      </c>
    </row>
    <row r="290" spans="1:9" x14ac:dyDescent="0.35">
      <c r="A290" s="1" t="s">
        <v>302</v>
      </c>
      <c r="B290" t="str">
        <f>HYPERLINK("https://www.suredividend.com/sure-analysis-research-database/","Clean Energy Fuels Corp")</f>
        <v>Clean Energy Fuels Corp</v>
      </c>
      <c r="C290">
        <v>-0.118993135011441</v>
      </c>
      <c r="D290">
        <v>-0.204545454545454</v>
      </c>
      <c r="E290">
        <v>-0.13870246085011101</v>
      </c>
      <c r="F290">
        <v>-0.25961538461538403</v>
      </c>
      <c r="G290">
        <v>-0.209445585215605</v>
      </c>
      <c r="H290">
        <v>-0.57222222222222208</v>
      </c>
      <c r="I290">
        <v>0.61764705882352899</v>
      </c>
    </row>
    <row r="291" spans="1:9" x14ac:dyDescent="0.35">
      <c r="A291" s="1" t="s">
        <v>303</v>
      </c>
      <c r="B291" t="str">
        <f>HYPERLINK("https://www.suredividend.com/sure-analysis-research-database/","Clover Health Investments Corp")</f>
        <v>Clover Health Investments Corp</v>
      </c>
      <c r="C291">
        <v>-8.8495575221238007E-2</v>
      </c>
      <c r="D291">
        <v>3.1650641025641003E-2</v>
      </c>
      <c r="E291">
        <v>0.24486342760454399</v>
      </c>
      <c r="F291">
        <v>0.10812264658418499</v>
      </c>
      <c r="G291">
        <v>-0.31788079470198599</v>
      </c>
      <c r="H291">
        <v>-0.86978508217446204</v>
      </c>
      <c r="I291">
        <v>-0.89901960784313706</v>
      </c>
    </row>
    <row r="292" spans="1:9" x14ac:dyDescent="0.35">
      <c r="A292" s="1" t="s">
        <v>304</v>
      </c>
      <c r="B292" t="str">
        <f>HYPERLINK("https://www.suredividend.com/sure-analysis-CLPR/","Clipper Realty Inc")</f>
        <v>Clipper Realty Inc</v>
      </c>
      <c r="C292">
        <v>-0.10307414104882399</v>
      </c>
      <c r="D292">
        <v>-0.196605008260714</v>
      </c>
      <c r="E292">
        <v>-0.12777406534660399</v>
      </c>
      <c r="F292">
        <v>-0.18508173827322699</v>
      </c>
      <c r="G292">
        <v>-0.19956104960784901</v>
      </c>
      <c r="H292">
        <v>-0.32070613692701699</v>
      </c>
      <c r="I292">
        <v>-0.48955964228010401</v>
      </c>
    </row>
    <row r="293" spans="1:9" x14ac:dyDescent="0.35">
      <c r="A293" s="1" t="s">
        <v>305</v>
      </c>
      <c r="B293" t="str">
        <f>HYPERLINK("https://www.suredividend.com/sure-analysis-research-database/","Cleanspark Inc")</f>
        <v>Cleanspark Inc</v>
      </c>
      <c r="C293">
        <v>-0.203619909502262</v>
      </c>
      <c r="D293">
        <v>-0.48985507246376803</v>
      </c>
      <c r="E293">
        <v>-0.14769975786924899</v>
      </c>
      <c r="F293">
        <v>0.72549019607843102</v>
      </c>
      <c r="G293">
        <v>0.243816254416961</v>
      </c>
      <c r="H293">
        <v>-0.77707409753008205</v>
      </c>
      <c r="I293">
        <v>-0.30980392156862702</v>
      </c>
    </row>
    <row r="294" spans="1:9" x14ac:dyDescent="0.35">
      <c r="A294" s="1" t="s">
        <v>306</v>
      </c>
      <c r="B294" t="str">
        <f>HYPERLINK("https://www.suredividend.com/sure-analysis-research-database/","Clearwater Paper Corp")</f>
        <v>Clearwater Paper Corp</v>
      </c>
      <c r="C294">
        <v>3.7279453614115013E-2</v>
      </c>
      <c r="D294">
        <v>0.14550597108736599</v>
      </c>
      <c r="E294">
        <v>0.108913903255248</v>
      </c>
      <c r="F294">
        <v>-3.5969320285638012E-2</v>
      </c>
      <c r="G294">
        <v>-5.2015604681404003E-2</v>
      </c>
      <c r="H294">
        <v>-5.7283142389520014E-3</v>
      </c>
      <c r="I294">
        <v>0.37651057401812599</v>
      </c>
    </row>
    <row r="295" spans="1:9" x14ac:dyDescent="0.35">
      <c r="A295" s="1" t="s">
        <v>307</v>
      </c>
      <c r="B295" t="str">
        <f>HYPERLINK("https://www.suredividend.com/sure-analysis-research-database/","CareMax Inc")</f>
        <v>CareMax Inc</v>
      </c>
      <c r="C295">
        <v>0.22018348623853201</v>
      </c>
      <c r="D295">
        <v>4.7244094488188997E-2</v>
      </c>
      <c r="E295">
        <v>-1.4814814814814E-2</v>
      </c>
      <c r="F295">
        <v>-0.27123287671232799</v>
      </c>
      <c r="G295">
        <v>-0.57744241461477308</v>
      </c>
      <c r="H295">
        <v>-0.69033760186263005</v>
      </c>
      <c r="I295">
        <v>-0.73131313131313103</v>
      </c>
    </row>
    <row r="296" spans="1:9" x14ac:dyDescent="0.35">
      <c r="A296" s="1" t="s">
        <v>308</v>
      </c>
      <c r="B296" t="str">
        <f>HYPERLINK("https://www.suredividend.com/sure-analysis-research-database/","Cambium Networks Corp")</f>
        <v>Cambium Networks Corp</v>
      </c>
      <c r="C296">
        <v>-0.30013831258644502</v>
      </c>
      <c r="D296">
        <v>-0.6592592592592591</v>
      </c>
      <c r="E296">
        <v>-0.69554753309265904</v>
      </c>
      <c r="F296">
        <v>-0.76649746192893409</v>
      </c>
      <c r="G296">
        <v>-0.69898869720404511</v>
      </c>
      <c r="H296">
        <v>-0.85086943707633311</v>
      </c>
      <c r="I296">
        <v>-0.47835051546391699</v>
      </c>
    </row>
    <row r="297" spans="1:9" x14ac:dyDescent="0.35">
      <c r="A297" s="1" t="s">
        <v>309</v>
      </c>
      <c r="B297" t="str">
        <f>HYPERLINK("https://www.suredividend.com/sure-analysis-research-database/","Commercial Metals Co.")</f>
        <v>Commercial Metals Co.</v>
      </c>
      <c r="C297">
        <v>-0.16486068111455099</v>
      </c>
      <c r="D297">
        <v>-0.218682114409848</v>
      </c>
      <c r="E297">
        <v>-8.9159392885482011E-2</v>
      </c>
      <c r="F297">
        <v>-9.8088139106739011E-2</v>
      </c>
      <c r="G297">
        <v>6.0627283875072997E-2</v>
      </c>
      <c r="H297">
        <v>0.40035755190505001</v>
      </c>
      <c r="I297">
        <v>1.5694605680674869</v>
      </c>
    </row>
    <row r="298" spans="1:9" x14ac:dyDescent="0.35">
      <c r="A298" s="1" t="s">
        <v>310</v>
      </c>
      <c r="B298" t="str">
        <f>HYPERLINK("https://www.suredividend.com/sure-analysis-research-database/","Columbus Mckinnon Corp.")</f>
        <v>Columbus Mckinnon Corp.</v>
      </c>
      <c r="C298">
        <v>-4.5799381848834003E-2</v>
      </c>
      <c r="D298">
        <v>-0.176529639840834</v>
      </c>
      <c r="E298">
        <v>-3.7679549556952012E-2</v>
      </c>
      <c r="F298">
        <v>5.3814024787592007E-2</v>
      </c>
      <c r="G298">
        <v>0.36937140368633398</v>
      </c>
      <c r="H298">
        <v>-0.313148474000364</v>
      </c>
      <c r="I298">
        <v>3.4274908403259998E-3</v>
      </c>
    </row>
    <row r="299" spans="1:9" x14ac:dyDescent="0.35">
      <c r="A299" s="1" t="s">
        <v>311</v>
      </c>
      <c r="B299" t="str">
        <f>HYPERLINK("https://www.suredividend.com/sure-analysis-research-database/","Cumulus Media Inc.")</f>
        <v>Cumulus Media Inc.</v>
      </c>
      <c r="C299">
        <v>0.175280898876404</v>
      </c>
      <c r="D299">
        <v>0.132034632034632</v>
      </c>
      <c r="E299">
        <v>0.44077134986225902</v>
      </c>
      <c r="F299">
        <v>-0.15780998389694001</v>
      </c>
      <c r="G299">
        <v>-0.25815602836879398</v>
      </c>
      <c r="H299">
        <v>-0.58851298190401202</v>
      </c>
      <c r="I299">
        <v>-0.6830303030303031</v>
      </c>
    </row>
    <row r="300" spans="1:9" x14ac:dyDescent="0.35">
      <c r="A300" s="1" t="s">
        <v>312</v>
      </c>
      <c r="B300" t="str">
        <f>HYPERLINK("https://www.suredividend.com/sure-analysis-CMP/","Compass Minerals International Inc")</f>
        <v>Compass Minerals International Inc</v>
      </c>
      <c r="C300">
        <v>-5.7705597788527997E-2</v>
      </c>
      <c r="D300">
        <v>-0.17207836565172599</v>
      </c>
      <c r="E300">
        <v>-0.12882914253402999</v>
      </c>
      <c r="F300">
        <v>-0.32589935704592099</v>
      </c>
      <c r="G300">
        <v>-0.26518734085121798</v>
      </c>
      <c r="H300">
        <v>-0.62297436861686706</v>
      </c>
      <c r="I300">
        <v>-0.51369049529740307</v>
      </c>
    </row>
    <row r="301" spans="1:9" x14ac:dyDescent="0.35">
      <c r="A301" s="1" t="s">
        <v>313</v>
      </c>
      <c r="B301" t="str">
        <f>HYPERLINK("https://www.suredividend.com/sure-analysis-research-database/","CompoSecure Inc")</f>
        <v>CompoSecure Inc</v>
      </c>
      <c r="C301">
        <v>-5.5891238670694003E-2</v>
      </c>
      <c r="D301">
        <v>-9.1569767441860003E-2</v>
      </c>
      <c r="E301">
        <v>-0.19354838709677399</v>
      </c>
      <c r="F301">
        <v>0.27291242362525397</v>
      </c>
      <c r="G301">
        <v>0.20192307692307601</v>
      </c>
      <c r="H301">
        <v>-0.38362919132149897</v>
      </c>
      <c r="I301">
        <v>-0.36676798378926001</v>
      </c>
    </row>
    <row r="302" spans="1:9" x14ac:dyDescent="0.35">
      <c r="A302" s="1" t="s">
        <v>314</v>
      </c>
      <c r="B302" t="str">
        <f>HYPERLINK("https://www.suredividend.com/sure-analysis-research-database/","Cimpress plc")</f>
        <v>Cimpress plc</v>
      </c>
      <c r="C302">
        <v>-5.6248187880545003E-2</v>
      </c>
      <c r="D302">
        <v>3.1695721077653997E-2</v>
      </c>
      <c r="E302">
        <v>0.48021828103683412</v>
      </c>
      <c r="F302">
        <v>1.357841361825425</v>
      </c>
      <c r="G302">
        <v>2.0335507921714808</v>
      </c>
      <c r="H302">
        <v>-0.25497825589379702</v>
      </c>
      <c r="I302">
        <v>-0.43719201175758599</v>
      </c>
    </row>
    <row r="303" spans="1:9" x14ac:dyDescent="0.35">
      <c r="A303" s="1" t="s">
        <v>315</v>
      </c>
      <c r="B303" t="str">
        <f>HYPERLINK("https://www.suredividend.com/sure-analysis-research-database/","Costamare Inc")</f>
        <v>Costamare Inc</v>
      </c>
      <c r="C303">
        <v>4.1797283176590004E-3</v>
      </c>
      <c r="D303">
        <v>-8.9820668034770006E-3</v>
      </c>
      <c r="E303">
        <v>-1.6678604318019E-2</v>
      </c>
      <c r="F303">
        <v>7.223350367080901E-2</v>
      </c>
      <c r="G303">
        <v>5.2032360121295002E-2</v>
      </c>
      <c r="H303">
        <v>-0.25291332706226199</v>
      </c>
      <c r="I303">
        <v>1.123663042517457</v>
      </c>
    </row>
    <row r="304" spans="1:9" x14ac:dyDescent="0.35">
      <c r="A304" s="1" t="s">
        <v>316</v>
      </c>
      <c r="B304" t="str">
        <f>HYPERLINK("https://www.suredividend.com/sure-analysis-research-database/","Chimerix Inc")</f>
        <v>Chimerix Inc</v>
      </c>
      <c r="C304">
        <v>-5.3461538461538012E-2</v>
      </c>
      <c r="D304">
        <v>-0.17277310924369699</v>
      </c>
      <c r="E304">
        <v>-0.179666666666666</v>
      </c>
      <c r="F304">
        <v>-0.47075268817204202</v>
      </c>
      <c r="G304">
        <v>-0.45005586592178698</v>
      </c>
      <c r="H304">
        <v>-0.83835796387520511</v>
      </c>
      <c r="I304">
        <v>-0.73322493224932206</v>
      </c>
    </row>
    <row r="305" spans="1:9" x14ac:dyDescent="0.35">
      <c r="A305" s="1" t="s">
        <v>317</v>
      </c>
      <c r="B305" t="str">
        <f>HYPERLINK("https://www.suredividend.com/sure-analysis-research-database/","Claros Mortgage Trust Inc")</f>
        <v>Claros Mortgage Trust Inc</v>
      </c>
      <c r="C305">
        <v>-3.639980366323E-2</v>
      </c>
      <c r="D305">
        <v>-1.9899800301298998E-2</v>
      </c>
      <c r="E305">
        <v>2.1050614546548999E-2</v>
      </c>
      <c r="F305">
        <v>-0.170459768410752</v>
      </c>
      <c r="G305">
        <v>-5.9379308025957013E-2</v>
      </c>
      <c r="H305">
        <v>-0.192564959195307</v>
      </c>
      <c r="I305">
        <v>-0.192564959195307</v>
      </c>
    </row>
    <row r="306" spans="1:9" x14ac:dyDescent="0.35">
      <c r="A306" s="1" t="s">
        <v>318</v>
      </c>
      <c r="B306" t="str">
        <f>HYPERLINK("https://www.suredividend.com/sure-analysis-research-database/","Comtech Telecommunications Corp.")</f>
        <v>Comtech Telecommunications Corp.</v>
      </c>
      <c r="C306">
        <v>0.21570926143024599</v>
      </c>
      <c r="D306">
        <v>0.18785796105383701</v>
      </c>
      <c r="E306">
        <v>-6.0688405797100997E-2</v>
      </c>
      <c r="F306">
        <v>-0.14579901153212499</v>
      </c>
      <c r="G306">
        <v>6.8675543097407005E-2</v>
      </c>
      <c r="H306">
        <v>-0.5608128139320171</v>
      </c>
      <c r="I306">
        <v>-0.64785982308097101</v>
      </c>
    </row>
    <row r="307" spans="1:9" x14ac:dyDescent="0.35">
      <c r="A307" s="1" t="s">
        <v>319</v>
      </c>
      <c r="B307" t="str">
        <f>HYPERLINK("https://www.suredividend.com/sure-analysis-research-database/","Conduent Inc")</f>
        <v>Conduent Inc</v>
      </c>
      <c r="C307">
        <v>5.1118210862619001E-2</v>
      </c>
      <c r="D307">
        <v>-8.1005586592178006E-2</v>
      </c>
      <c r="E307">
        <v>-2.3738872403559999E-2</v>
      </c>
      <c r="F307">
        <v>-0.187654320987654</v>
      </c>
      <c r="G307">
        <v>-4.6376811594201997E-2</v>
      </c>
      <c r="H307">
        <v>-0.51186943620178005</v>
      </c>
      <c r="I307">
        <v>-0.83541770885442701</v>
      </c>
    </row>
    <row r="308" spans="1:9" x14ac:dyDescent="0.35">
      <c r="A308" s="1" t="s">
        <v>320</v>
      </c>
      <c r="B308" t="str">
        <f>HYPERLINK("https://www.suredividend.com/sure-analysis-research-database/","Cinemark Holdings Inc")</f>
        <v>Cinemark Holdings Inc</v>
      </c>
      <c r="C308">
        <v>1.3714967203339E-2</v>
      </c>
      <c r="D308">
        <v>9.2544987146529006E-2</v>
      </c>
      <c r="E308">
        <v>4.4226044226044002E-2</v>
      </c>
      <c r="F308">
        <v>0.96304849884526511</v>
      </c>
      <c r="G308">
        <v>0.81623931623931612</v>
      </c>
      <c r="H308">
        <v>-0.15758176412289299</v>
      </c>
      <c r="I308">
        <v>-0.55312079407806103</v>
      </c>
    </row>
    <row r="309" spans="1:9" x14ac:dyDescent="0.35">
      <c r="A309" s="1" t="s">
        <v>321</v>
      </c>
      <c r="B309" t="str">
        <f>HYPERLINK("https://www.suredividend.com/sure-analysis-research-database/","Conmed Corp.")</f>
        <v>Conmed Corp.</v>
      </c>
      <c r="C309">
        <v>-0.13280089153046001</v>
      </c>
      <c r="D309">
        <v>-0.30536028577081997</v>
      </c>
      <c r="E309">
        <v>-0.15223077335110299</v>
      </c>
      <c r="F309">
        <v>5.9379959816622002E-2</v>
      </c>
      <c r="G309">
        <v>0.23709154980889799</v>
      </c>
      <c r="H309">
        <v>-0.33269828429568499</v>
      </c>
      <c r="I309">
        <v>0.33122344823653499</v>
      </c>
    </row>
    <row r="310" spans="1:9" x14ac:dyDescent="0.35">
      <c r="A310" s="1" t="s">
        <v>322</v>
      </c>
      <c r="B310" t="str">
        <f>HYPERLINK("https://www.suredividend.com/sure-analysis-research-database/","Cannae Holdings Inc")</f>
        <v>Cannae Holdings Inc</v>
      </c>
      <c r="C310">
        <v>-6.9862315145334003E-2</v>
      </c>
      <c r="D310">
        <v>-0.12476007677543099</v>
      </c>
      <c r="E310">
        <v>-1.4054054054054001E-2</v>
      </c>
      <c r="F310">
        <v>-0.11670702179176699</v>
      </c>
      <c r="G310">
        <v>-9.1633466135458003E-2</v>
      </c>
      <c r="H310">
        <v>-0.42424242424242398</v>
      </c>
      <c r="I310">
        <v>-6.9387755102040011E-2</v>
      </c>
    </row>
    <row r="311" spans="1:9" x14ac:dyDescent="0.35">
      <c r="A311" s="1" t="s">
        <v>323</v>
      </c>
      <c r="B311" t="str">
        <f>HYPERLINK("https://www.suredividend.com/sure-analysis-research-database/","CNO Financial Group Inc")</f>
        <v>CNO Financial Group Inc</v>
      </c>
      <c r="C311">
        <v>-7.9631181894379999E-3</v>
      </c>
      <c r="D311">
        <v>-1.4788577041700999E-2</v>
      </c>
      <c r="E311">
        <v>9.4166755266284013E-2</v>
      </c>
      <c r="F311">
        <v>5.5137274830496012E-2</v>
      </c>
      <c r="G311">
        <v>0.25244721942959902</v>
      </c>
      <c r="H311">
        <v>-3.2436078239009E-2</v>
      </c>
      <c r="I311">
        <v>0.34937918296145098</v>
      </c>
    </row>
    <row r="312" spans="1:9" x14ac:dyDescent="0.35">
      <c r="A312" s="1" t="s">
        <v>324</v>
      </c>
      <c r="B312" t="str">
        <f>HYPERLINK("https://www.suredividend.com/sure-analysis-research-database/","ConnectOne Bancorp Inc.")</f>
        <v>ConnectOne Bancorp Inc.</v>
      </c>
      <c r="C312">
        <v>-6.8891280947254011E-2</v>
      </c>
      <c r="D312">
        <v>3.7898285967975003E-2</v>
      </c>
      <c r="E312">
        <v>8.9489262548019005E-2</v>
      </c>
      <c r="F312">
        <v>-0.26000384969095502</v>
      </c>
      <c r="G312">
        <v>-0.24141106312073801</v>
      </c>
      <c r="H312">
        <v>-0.42671951009371301</v>
      </c>
      <c r="I312">
        <v>-0.12093049253299</v>
      </c>
    </row>
    <row r="313" spans="1:9" x14ac:dyDescent="0.35">
      <c r="A313" s="1" t="s">
        <v>325</v>
      </c>
      <c r="B313" t="str">
        <f>HYPERLINK("https://www.suredividend.com/sure-analysis-CNS/","Cohen &amp; Steers Inc.")</f>
        <v>Cohen &amp; Steers Inc.</v>
      </c>
      <c r="C313">
        <v>-0.121786833855799</v>
      </c>
      <c r="D313">
        <v>-0.111668487299697</v>
      </c>
      <c r="E313">
        <v>-5.7262511083853003E-2</v>
      </c>
      <c r="F313">
        <v>-0.108248423558921</v>
      </c>
      <c r="G313">
        <v>5.5789316987410013E-2</v>
      </c>
      <c r="H313">
        <v>-0.31093937545502798</v>
      </c>
      <c r="I313">
        <v>0.9236315196792001</v>
      </c>
    </row>
    <row r="314" spans="1:9" x14ac:dyDescent="0.35">
      <c r="A314" s="1" t="s">
        <v>326</v>
      </c>
      <c r="B314" t="str">
        <f>HYPERLINK("https://www.suredividend.com/sure-analysis-research-database/","Consolidated Communications Holdings Inc")</f>
        <v>Consolidated Communications Holdings Inc</v>
      </c>
      <c r="C314">
        <v>5.6980056980050001E-3</v>
      </c>
      <c r="D314">
        <v>-8.0729166666666005E-2</v>
      </c>
      <c r="E314">
        <v>-5.3619302949060997E-2</v>
      </c>
      <c r="F314">
        <v>-1.3966480446927E-2</v>
      </c>
      <c r="G314">
        <v>-0.16152019002375301</v>
      </c>
      <c r="H314">
        <v>-0.62684989429175408</v>
      </c>
      <c r="I314">
        <v>-0.67621214066885504</v>
      </c>
    </row>
    <row r="315" spans="1:9" x14ac:dyDescent="0.35">
      <c r="A315" s="1" t="s">
        <v>327</v>
      </c>
      <c r="B315" t="str">
        <f>HYPERLINK("https://www.suredividend.com/sure-analysis-research-database/","Century Casinos Inc.")</f>
        <v>Century Casinos Inc.</v>
      </c>
      <c r="C315">
        <v>-0.18461538461538399</v>
      </c>
      <c r="D315">
        <v>-0.38846153846153803</v>
      </c>
      <c r="E315">
        <v>-0.33841886269070698</v>
      </c>
      <c r="F315">
        <v>-0.32147937411095301</v>
      </c>
      <c r="G315">
        <v>-0.28485757121439198</v>
      </c>
      <c r="H315">
        <v>-0.67306374228923904</v>
      </c>
      <c r="I315">
        <v>-0.278366111951588</v>
      </c>
    </row>
    <row r="316" spans="1:9" x14ac:dyDescent="0.35">
      <c r="A316" s="1" t="s">
        <v>328</v>
      </c>
      <c r="B316" t="str">
        <f>HYPERLINK("https://www.suredividend.com/sure-analysis-research-database/","CNX Resources Corp")</f>
        <v>CNX Resources Corp</v>
      </c>
      <c r="C316">
        <v>6.7250115154306012E-2</v>
      </c>
      <c r="D316">
        <v>0.32022792022792002</v>
      </c>
      <c r="E316">
        <v>0.39831019915509902</v>
      </c>
      <c r="F316">
        <v>0.37589073634204201</v>
      </c>
      <c r="G316">
        <v>0.33621683967704702</v>
      </c>
      <c r="H316">
        <v>0.7486792452830191</v>
      </c>
      <c r="I316">
        <v>0.59463179628355101</v>
      </c>
    </row>
    <row r="317" spans="1:9" x14ac:dyDescent="0.35">
      <c r="A317" s="1" t="s">
        <v>329</v>
      </c>
      <c r="B317" t="str">
        <f>HYPERLINK("https://www.suredividend.com/sure-analysis-research-database/","PC Connection, Inc.")</f>
        <v>PC Connection, Inc.</v>
      </c>
      <c r="C317">
        <v>4.6790192775589996E-3</v>
      </c>
      <c r="D317">
        <v>0.16771045653389199</v>
      </c>
      <c r="E317">
        <v>0.193413991044948</v>
      </c>
      <c r="F317">
        <v>0.15456999365502699</v>
      </c>
      <c r="G317">
        <v>0.184147250740092</v>
      </c>
      <c r="H317">
        <v>0.25796480604423</v>
      </c>
      <c r="I317">
        <v>0.538439492727663</v>
      </c>
    </row>
    <row r="318" spans="1:9" x14ac:dyDescent="0.35">
      <c r="A318" s="1" t="s">
        <v>330</v>
      </c>
      <c r="B318" t="str">
        <f>HYPERLINK("https://www.suredividend.com/sure-analysis-research-database/","Vita Coco Company Inc (The)")</f>
        <v>Vita Coco Company Inc (The)</v>
      </c>
      <c r="C318">
        <v>-1.9036954087345001E-2</v>
      </c>
      <c r="D318">
        <v>6.5693430656934004E-2</v>
      </c>
      <c r="E318">
        <v>0.22861150070126199</v>
      </c>
      <c r="F318">
        <v>0.90159189580318411</v>
      </c>
      <c r="G318">
        <v>1.3195057369814649</v>
      </c>
      <c r="H318">
        <v>0.94378698224852009</v>
      </c>
      <c r="I318">
        <v>0.94378698224852009</v>
      </c>
    </row>
    <row r="319" spans="1:9" x14ac:dyDescent="0.35">
      <c r="A319" s="1" t="s">
        <v>331</v>
      </c>
      <c r="B319" t="str">
        <f>HYPERLINK("https://www.suredividend.com/sure-analysis-CODI/","Compass Diversified Holdings")</f>
        <v>Compass Diversified Holdings</v>
      </c>
      <c r="C319">
        <v>-7.493670886075901E-2</v>
      </c>
      <c r="D319">
        <v>-0.16517781666811299</v>
      </c>
      <c r="E319">
        <v>-3.2765274843955E-2</v>
      </c>
      <c r="F319">
        <v>3.8805970149253001E-2</v>
      </c>
      <c r="G319">
        <v>6.376784591378E-2</v>
      </c>
      <c r="H319">
        <v>-0.34269462822851299</v>
      </c>
      <c r="I319">
        <v>0.48652606912712298</v>
      </c>
    </row>
    <row r="320" spans="1:9" x14ac:dyDescent="0.35">
      <c r="A320" s="1" t="s">
        <v>332</v>
      </c>
      <c r="B320" t="str">
        <f>HYPERLINK("https://www.suredividend.com/sure-analysis-research-database/","Cogent Biosciences Inc")</f>
        <v>Cogent Biosciences Inc</v>
      </c>
      <c r="C320">
        <v>-0.19047619047618999</v>
      </c>
      <c r="D320">
        <v>-0.24022346368715</v>
      </c>
      <c r="E320">
        <v>-7.302823758519901E-2</v>
      </c>
      <c r="F320">
        <v>-0.17647058823529399</v>
      </c>
      <c r="G320">
        <v>-0.30051432770022002</v>
      </c>
      <c r="H320">
        <v>3.0303030303029999E-2</v>
      </c>
      <c r="I320">
        <v>-1.0493179433359999E-3</v>
      </c>
    </row>
    <row r="321" spans="1:9" x14ac:dyDescent="0.35">
      <c r="A321" s="1" t="s">
        <v>333</v>
      </c>
      <c r="B321" t="str">
        <f>HYPERLINK("https://www.suredividend.com/sure-analysis-research-database/","Cohu, Inc.")</f>
        <v>Cohu, Inc.</v>
      </c>
      <c r="C321">
        <v>-4.0195233993680001E-3</v>
      </c>
      <c r="D321">
        <v>-0.124653040625788</v>
      </c>
      <c r="E321">
        <v>-3.7458379578246E-2</v>
      </c>
      <c r="F321">
        <v>8.2371294851794008E-2</v>
      </c>
      <c r="G321">
        <v>0.31700835231586899</v>
      </c>
      <c r="H321">
        <v>0.13033561420658099</v>
      </c>
      <c r="I321">
        <v>0.68117318652347503</v>
      </c>
    </row>
    <row r="322" spans="1:9" x14ac:dyDescent="0.35">
      <c r="A322" s="1" t="s">
        <v>334</v>
      </c>
      <c r="B322" t="str">
        <f>HYPERLINK("https://www.suredividend.com/sure-analysis-research-database/","Coca-Cola Consolidated Inc")</f>
        <v>Coca-Cola Consolidated Inc</v>
      </c>
      <c r="C322">
        <v>-3.5520312839451999E-2</v>
      </c>
      <c r="D322">
        <v>-1.1145593390601999E-2</v>
      </c>
      <c r="E322">
        <v>0.16291035750423599</v>
      </c>
      <c r="F322">
        <v>0.21737032106274101</v>
      </c>
      <c r="G322">
        <v>0.44012564055272202</v>
      </c>
      <c r="H322">
        <v>0.57823997789808801</v>
      </c>
      <c r="I322">
        <v>2.8992309193145962</v>
      </c>
    </row>
    <row r="323" spans="1:9" x14ac:dyDescent="0.35">
      <c r="A323" s="1" t="s">
        <v>335</v>
      </c>
      <c r="B323" t="str">
        <f>HYPERLINK("https://www.suredividend.com/sure-analysis-research-database/","Collegium Pharmaceutical Inc")</f>
        <v>Collegium Pharmaceutical Inc</v>
      </c>
      <c r="C323">
        <v>-3.3112582781456013E-2</v>
      </c>
      <c r="D323">
        <v>1.3419713095788001E-2</v>
      </c>
      <c r="E323">
        <v>-4.4919319668556001E-2</v>
      </c>
      <c r="F323">
        <v>-5.6034482758619997E-2</v>
      </c>
      <c r="G323">
        <v>0.22414756847400699</v>
      </c>
      <c r="H323">
        <v>4.3851286939942002E-2</v>
      </c>
      <c r="I323">
        <v>0.29662522202486602</v>
      </c>
    </row>
    <row r="324" spans="1:9" x14ac:dyDescent="0.35">
      <c r="A324" s="1" t="s">
        <v>336</v>
      </c>
      <c r="B324" t="str">
        <f>HYPERLINK("https://www.suredividend.com/sure-analysis-research-database/","CommScope Holding Company Inc")</f>
        <v>CommScope Holding Company Inc</v>
      </c>
      <c r="C324">
        <v>-0.33521126760563302</v>
      </c>
      <c r="D324">
        <v>-0.56497695852534502</v>
      </c>
      <c r="E324">
        <v>-0.55722326454033699</v>
      </c>
      <c r="F324">
        <v>-0.67891156462585001</v>
      </c>
      <c r="G324">
        <v>-0.78738738738738712</v>
      </c>
      <c r="H324">
        <v>-0.80544105523495402</v>
      </c>
      <c r="I324">
        <v>-0.90616302186878706</v>
      </c>
    </row>
    <row r="325" spans="1:9" x14ac:dyDescent="0.35">
      <c r="A325" s="1" t="s">
        <v>337</v>
      </c>
      <c r="B325" t="str">
        <f>HYPERLINK("https://www.suredividend.com/sure-analysis-research-database/","Compass Inc")</f>
        <v>Compass Inc</v>
      </c>
      <c r="C325">
        <v>-0.31987577639751502</v>
      </c>
      <c r="D325">
        <v>-0.43846153846153801</v>
      </c>
      <c r="E325">
        <v>-0.300319488817891</v>
      </c>
      <c r="F325">
        <v>-6.0085836909871002E-2</v>
      </c>
      <c r="G325">
        <v>-0.109756097560975</v>
      </c>
      <c r="H325">
        <v>-0.8125</v>
      </c>
      <c r="I325">
        <v>-0.89131513647642602</v>
      </c>
    </row>
    <row r="326" spans="1:9" x14ac:dyDescent="0.35">
      <c r="A326" s="1" t="s">
        <v>338</v>
      </c>
      <c r="B326" t="str">
        <f>HYPERLINK("https://www.suredividend.com/sure-analysis-research-database/","Conns Inc")</f>
        <v>Conns Inc</v>
      </c>
      <c r="C326">
        <v>-0.1825</v>
      </c>
      <c r="D326">
        <v>-0.243055555555555</v>
      </c>
      <c r="E326">
        <v>-0.37832699619771798</v>
      </c>
      <c r="F326">
        <v>-0.524709302325581</v>
      </c>
      <c r="G326">
        <v>-0.57587548638132202</v>
      </c>
      <c r="H326">
        <v>-0.85788787483702711</v>
      </c>
      <c r="I326">
        <v>-0.89668246445497612</v>
      </c>
    </row>
    <row r="327" spans="1:9" x14ac:dyDescent="0.35">
      <c r="A327" s="1" t="s">
        <v>339</v>
      </c>
      <c r="B327" t="str">
        <f>HYPERLINK("https://www.suredividend.com/sure-analysis-research-database/","Traeger Inc")</f>
        <v>Traeger Inc</v>
      </c>
      <c r="C327">
        <v>-0.375</v>
      </c>
      <c r="D327">
        <v>-0.39759036144578302</v>
      </c>
      <c r="E327">
        <v>-0.32249322493224902</v>
      </c>
      <c r="F327">
        <v>-0.113475177304964</v>
      </c>
      <c r="G327">
        <v>-6.7164179104477001E-2</v>
      </c>
      <c r="H327">
        <v>-0.87335359675785207</v>
      </c>
      <c r="I327">
        <v>-0.88636363636363602</v>
      </c>
    </row>
    <row r="328" spans="1:9" x14ac:dyDescent="0.35">
      <c r="A328" s="1" t="s">
        <v>340</v>
      </c>
      <c r="B328" t="str">
        <f>HYPERLINK("https://www.suredividend.com/sure-analysis-research-database/","Mr. Cooper Group Inc")</f>
        <v>Mr. Cooper Group Inc</v>
      </c>
      <c r="C328">
        <v>-3.1388478581970002E-3</v>
      </c>
      <c r="D328">
        <v>3.7072608528620002E-2</v>
      </c>
      <c r="E328">
        <v>0.225374489332728</v>
      </c>
      <c r="F328">
        <v>0.34537752305008701</v>
      </c>
      <c r="G328">
        <v>0.27455146364494798</v>
      </c>
      <c r="H328">
        <v>0.27125029432540598</v>
      </c>
      <c r="I328">
        <v>2.4564660691421252</v>
      </c>
    </row>
    <row r="329" spans="1:9" x14ac:dyDescent="0.35">
      <c r="A329" s="1" t="s">
        <v>341</v>
      </c>
      <c r="B329" t="str">
        <f>HYPERLINK("https://www.suredividend.com/sure-analysis-research-database/","Corcept Therapeutics Inc")</f>
        <v>Corcept Therapeutics Inc</v>
      </c>
      <c r="C329">
        <v>-0.176576038243202</v>
      </c>
      <c r="D329">
        <v>0.20771253286590699</v>
      </c>
      <c r="E329">
        <v>0.243121335137573</v>
      </c>
      <c r="F329">
        <v>0.35696701132447001</v>
      </c>
      <c r="G329">
        <v>1.2490815576781E-2</v>
      </c>
      <c r="H329">
        <v>0.37524950099800303</v>
      </c>
      <c r="I329">
        <v>1.199521149241819</v>
      </c>
    </row>
    <row r="330" spans="1:9" x14ac:dyDescent="0.35">
      <c r="A330" s="1" t="s">
        <v>342</v>
      </c>
      <c r="B330" t="str">
        <f>HYPERLINK("https://www.suredividend.com/sure-analysis-research-database/","Coursera Inc")</f>
        <v>Coursera Inc</v>
      </c>
      <c r="C330">
        <v>-1.646542261251E-3</v>
      </c>
      <c r="D330">
        <v>0.36459114778694601</v>
      </c>
      <c r="E330">
        <v>0.6284691136974031</v>
      </c>
      <c r="F330">
        <v>0.537616229923922</v>
      </c>
      <c r="G330">
        <v>0.58173913043478209</v>
      </c>
      <c r="H330">
        <v>-0.44928852558280302</v>
      </c>
      <c r="I330">
        <v>-0.59577777777777707</v>
      </c>
    </row>
    <row r="331" spans="1:9" x14ac:dyDescent="0.35">
      <c r="A331" s="1" t="s">
        <v>343</v>
      </c>
      <c r="B331" t="str">
        <f>HYPERLINK("https://www.suredividend.com/sure-analysis-research-database/","Callon Petroleum Co.")</f>
        <v>Callon Petroleum Co.</v>
      </c>
      <c r="C331">
        <v>-4.9248315189210001E-3</v>
      </c>
      <c r="D331">
        <v>0.14018414018413999</v>
      </c>
      <c r="E331">
        <v>8.6705202312130011E-3</v>
      </c>
      <c r="F331">
        <v>3.5049878673496002E-2</v>
      </c>
      <c r="G331">
        <v>-8.3552160420148E-2</v>
      </c>
      <c r="H331">
        <v>-0.26624617737002998</v>
      </c>
      <c r="I331">
        <v>-0.69459029435163</v>
      </c>
    </row>
    <row r="332" spans="1:9" x14ac:dyDescent="0.35">
      <c r="A332" s="1" t="s">
        <v>344</v>
      </c>
      <c r="B332" t="str">
        <f>HYPERLINK("https://www.suredividend.com/sure-analysis-research-database/","Central Pacific Financial Corp.")</f>
        <v>Central Pacific Financial Corp.</v>
      </c>
      <c r="C332">
        <v>-3.7103530819868002E-2</v>
      </c>
      <c r="D332">
        <v>-1.3004539320327999E-2</v>
      </c>
      <c r="E332">
        <v>6.3105490615480006E-3</v>
      </c>
      <c r="F332">
        <v>-0.17147270854788799</v>
      </c>
      <c r="G332">
        <v>-0.22907752825677599</v>
      </c>
      <c r="H332">
        <v>-0.31214329991663597</v>
      </c>
      <c r="I332">
        <v>-0.22472029218745401</v>
      </c>
    </row>
    <row r="333" spans="1:9" x14ac:dyDescent="0.35">
      <c r="A333" s="1" t="s">
        <v>345</v>
      </c>
      <c r="B333" t="str">
        <f>HYPERLINK("https://www.suredividend.com/sure-analysis-CPK/","Chesapeake Utilities Corp")</f>
        <v>Chesapeake Utilities Corp</v>
      </c>
      <c r="C333">
        <v>-0.17394043012687799</v>
      </c>
      <c r="D333">
        <v>-0.240071257806239</v>
      </c>
      <c r="E333">
        <v>-0.28428642264835802</v>
      </c>
      <c r="F333">
        <v>-0.212006345151521</v>
      </c>
      <c r="G333">
        <v>-0.198368794016582</v>
      </c>
      <c r="H333">
        <v>-0.254640835127039</v>
      </c>
      <c r="I333">
        <v>0.24635800072229</v>
      </c>
    </row>
    <row r="334" spans="1:9" x14ac:dyDescent="0.35">
      <c r="A334" s="1" t="s">
        <v>346</v>
      </c>
      <c r="B334" t="str">
        <f>HYPERLINK("https://www.suredividend.com/sure-analysis-research-database/","Catalyst Pharmaceuticals Inc")</f>
        <v>Catalyst Pharmaceuticals Inc</v>
      </c>
      <c r="C334">
        <v>2.5682182985553002E-2</v>
      </c>
      <c r="D334">
        <v>-6.2208398133740007E-3</v>
      </c>
      <c r="E334">
        <v>-0.27755794234030501</v>
      </c>
      <c r="F334">
        <v>-0.31290322580645102</v>
      </c>
      <c r="G334">
        <v>1.8326693227091E-2</v>
      </c>
      <c r="H334">
        <v>1.1194029850746261</v>
      </c>
      <c r="I334">
        <v>2.8610271903323259</v>
      </c>
    </row>
    <row r="335" spans="1:9" x14ac:dyDescent="0.35">
      <c r="A335" s="1" t="s">
        <v>347</v>
      </c>
      <c r="B335" t="str">
        <f>HYPERLINK("https://www.suredividend.com/sure-analysis-research-database/","Computer Programs &amp; Systems Inc")</f>
        <v>Computer Programs &amp; Systems Inc</v>
      </c>
      <c r="C335">
        <v>-8.773045136681501E-2</v>
      </c>
      <c r="D335">
        <v>-0.43459416863672101</v>
      </c>
      <c r="E335">
        <v>-0.50973693201229908</v>
      </c>
      <c r="F335">
        <v>-0.47281410727406298</v>
      </c>
      <c r="G335">
        <v>-0.49167552249380098</v>
      </c>
      <c r="H335">
        <v>-0.60500963391136808</v>
      </c>
      <c r="I335">
        <v>-0.45248651247262411</v>
      </c>
    </row>
    <row r="336" spans="1:9" x14ac:dyDescent="0.35">
      <c r="A336" s="1" t="s">
        <v>348</v>
      </c>
      <c r="B336" t="str">
        <f>HYPERLINK("https://www.suredividend.com/sure-analysis-research-database/","Consumer Portfolio Service, Inc.")</f>
        <v>Consumer Portfolio Service, Inc.</v>
      </c>
      <c r="C336">
        <v>-3.9699570815450003E-2</v>
      </c>
      <c r="D336">
        <v>-0.31417624521072801</v>
      </c>
      <c r="E336">
        <v>-6.770833333333301E-2</v>
      </c>
      <c r="F336">
        <v>1.1299435028247999E-2</v>
      </c>
      <c r="G336">
        <v>0.89217758985200812</v>
      </c>
      <c r="H336">
        <v>0.40502354788069</v>
      </c>
      <c r="I336">
        <v>1.5718390804597691</v>
      </c>
    </row>
    <row r="337" spans="1:9" x14ac:dyDescent="0.35">
      <c r="A337" s="1" t="s">
        <v>349</v>
      </c>
      <c r="B337" t="str">
        <f>HYPERLINK("https://www.suredividend.com/sure-analysis-research-database/","Cepton Inc")</f>
        <v>Cepton Inc</v>
      </c>
      <c r="C337">
        <v>-0.29479768786127097</v>
      </c>
      <c r="D337">
        <v>-0.44637725003781498</v>
      </c>
      <c r="E337">
        <v>-8.4999999999999007E-2</v>
      </c>
      <c r="F337">
        <v>-0.71181102362204707</v>
      </c>
      <c r="G337">
        <v>-0.85647058823529409</v>
      </c>
      <c r="H337">
        <v>-0.95551720366071502</v>
      </c>
      <c r="I337">
        <v>-0.95551720366071502</v>
      </c>
    </row>
    <row r="338" spans="1:9" x14ac:dyDescent="0.35">
      <c r="A338" s="1" t="s">
        <v>350</v>
      </c>
      <c r="B338" t="str">
        <f>HYPERLINK("https://www.suredividend.com/sure-analysis-research-database/","CRA International Inc.")</f>
        <v>CRA International Inc.</v>
      </c>
      <c r="C338">
        <v>-6.1297287149158997E-2</v>
      </c>
      <c r="D338">
        <v>-1.1718058974736E-2</v>
      </c>
      <c r="E338">
        <v>-4.5243066793840013E-2</v>
      </c>
      <c r="F338">
        <v>-0.16882011521815499</v>
      </c>
      <c r="G338">
        <v>0.10332774681717501</v>
      </c>
      <c r="H338">
        <v>-3.3132611663514E-2</v>
      </c>
      <c r="I338">
        <v>1.4903188853332661</v>
      </c>
    </row>
    <row r="339" spans="1:9" x14ac:dyDescent="0.35">
      <c r="A339" s="1" t="s">
        <v>351</v>
      </c>
      <c r="B339" t="str">
        <f>HYPERLINK("https://www.suredividend.com/sure-analysis-research-database/","Caribou Biosciences Inc")</f>
        <v>Caribou Biosciences Inc</v>
      </c>
      <c r="C339">
        <v>-0.28498293515358297</v>
      </c>
      <c r="D339">
        <v>-0.33492063492063401</v>
      </c>
      <c r="E339">
        <v>-8.5152838427947006E-2</v>
      </c>
      <c r="F339">
        <v>-0.33280254777070001</v>
      </c>
      <c r="G339">
        <v>-0.55187165775401004</v>
      </c>
      <c r="H339">
        <v>-0.79894433781190011</v>
      </c>
      <c r="I339">
        <v>-0.7432598039215681</v>
      </c>
    </row>
    <row r="340" spans="1:9" x14ac:dyDescent="0.35">
      <c r="A340" s="1" t="s">
        <v>352</v>
      </c>
      <c r="B340" t="str">
        <f>HYPERLINK("https://www.suredividend.com/sure-analysis-research-database/","California Resources Corporation")</f>
        <v>California Resources Corporation</v>
      </c>
      <c r="C340">
        <v>-4.4930069930068997E-2</v>
      </c>
      <c r="D340">
        <v>0.20991586179097599</v>
      </c>
      <c r="E340">
        <v>0.34488412283422698</v>
      </c>
      <c r="F340">
        <v>0.27960386855893998</v>
      </c>
      <c r="G340">
        <v>0.40074408920865501</v>
      </c>
      <c r="H340">
        <v>0.33931198148547598</v>
      </c>
      <c r="I340">
        <v>2.7938290381049611</v>
      </c>
    </row>
    <row r="341" spans="1:9" x14ac:dyDescent="0.35">
      <c r="A341" s="1" t="s">
        <v>353</v>
      </c>
      <c r="B341" t="str">
        <f>HYPERLINK("https://www.suredividend.com/sure-analysis-research-database/","Credo Technology Group Holding Ltd")</f>
        <v>Credo Technology Group Holding Ltd</v>
      </c>
      <c r="C341">
        <v>4.0106951871657012E-2</v>
      </c>
      <c r="D341">
        <v>-7.9289940828402003E-2</v>
      </c>
      <c r="E341">
        <v>0.75028121484814303</v>
      </c>
      <c r="F341">
        <v>0.16904583020285499</v>
      </c>
      <c r="G341">
        <v>0.46240601503759299</v>
      </c>
      <c r="H341">
        <v>0.33562231759656602</v>
      </c>
      <c r="I341">
        <v>0.33562231759656602</v>
      </c>
    </row>
    <row r="342" spans="1:9" x14ac:dyDescent="0.35">
      <c r="A342" s="1" t="s">
        <v>354</v>
      </c>
      <c r="B342" t="str">
        <f>HYPERLINK("https://www.suredividend.com/sure-analysis-research-database/","Charge Enterprises Inc")</f>
        <v>Charge Enterprises Inc</v>
      </c>
      <c r="C342">
        <v>-0.37446334870408599</v>
      </c>
      <c r="D342">
        <v>-0.58771745965206401</v>
      </c>
      <c r="E342">
        <v>-0.62173076923076909</v>
      </c>
      <c r="F342">
        <v>-0.68274193548387108</v>
      </c>
      <c r="G342">
        <v>-0.78022346368715001</v>
      </c>
      <c r="H342">
        <v>3933</v>
      </c>
      <c r="I342">
        <v>3933</v>
      </c>
    </row>
    <row r="343" spans="1:9" x14ac:dyDescent="0.35">
      <c r="A343" s="1" t="s">
        <v>355</v>
      </c>
      <c r="B343" t="str">
        <f>HYPERLINK("https://www.suredividend.com/sure-analysis-research-database/","Crescent Energy Co.")</f>
        <v>Crescent Energy Co.</v>
      </c>
      <c r="C343">
        <v>-3.4538152610441013E-2</v>
      </c>
      <c r="D343">
        <v>0.15392738513526399</v>
      </c>
      <c r="E343">
        <v>-2.3764273995744E-2</v>
      </c>
      <c r="F343">
        <v>4.0242319342275998E-2</v>
      </c>
      <c r="G343">
        <v>-0.107043362628056</v>
      </c>
      <c r="H343">
        <v>-0.22793314748917601</v>
      </c>
      <c r="I343">
        <v>-0.22793314748917601</v>
      </c>
    </row>
    <row r="344" spans="1:9" x14ac:dyDescent="0.35">
      <c r="A344" s="1" t="s">
        <v>356</v>
      </c>
      <c r="B344" t="str">
        <f>HYPERLINK("https://www.suredividend.com/sure-analysis-research-database/","Comstock Resources, Inc.")</f>
        <v>Comstock Resources, Inc.</v>
      </c>
      <c r="C344">
        <v>8.9500860585198003E-2</v>
      </c>
      <c r="D344">
        <v>0.121266872143692</v>
      </c>
      <c r="E344">
        <v>0.16604649449213399</v>
      </c>
      <c r="F344">
        <v>-4.4535512939524013E-2</v>
      </c>
      <c r="G344">
        <v>-0.23763413664775801</v>
      </c>
      <c r="H344">
        <v>0.43514634865214102</v>
      </c>
      <c r="I344">
        <v>0.52473172670448309</v>
      </c>
    </row>
    <row r="345" spans="1:9" x14ac:dyDescent="0.35">
      <c r="A345" s="1" t="s">
        <v>357</v>
      </c>
      <c r="B345" t="str">
        <f>HYPERLINK("https://www.suredividend.com/sure-analysis-research-database/","Americas Car Mart, Inc.")</f>
        <v>Americas Car Mart, Inc.</v>
      </c>
      <c r="C345">
        <v>-9.7024866785079003E-2</v>
      </c>
      <c r="D345">
        <v>-0.215621986499517</v>
      </c>
      <c r="E345">
        <v>-5.4186046511627013E-2</v>
      </c>
      <c r="F345">
        <v>0.12565734846387999</v>
      </c>
      <c r="G345">
        <v>0.32995421844342698</v>
      </c>
      <c r="H345">
        <v>-0.28036804388215503</v>
      </c>
      <c r="I345">
        <v>0.116847452972676</v>
      </c>
    </row>
    <row r="346" spans="1:9" x14ac:dyDescent="0.35">
      <c r="A346" s="1" t="s">
        <v>358</v>
      </c>
      <c r="B346" t="str">
        <f>HYPERLINK("https://www.suredividend.com/sure-analysis-research-database/","Cerence Inc")</f>
        <v>Cerence Inc</v>
      </c>
      <c r="C346">
        <v>-0.17865538316878199</v>
      </c>
      <c r="D346">
        <v>-0.35582595870206501</v>
      </c>
      <c r="E346">
        <v>-0.35200296735905001</v>
      </c>
      <c r="F346">
        <v>-5.7204533189422008E-2</v>
      </c>
      <c r="G346">
        <v>0.23900709219858099</v>
      </c>
      <c r="H346">
        <v>-0.80944589877835904</v>
      </c>
      <c r="I346">
        <v>0.13811074918566699</v>
      </c>
    </row>
    <row r="347" spans="1:9" x14ac:dyDescent="0.35">
      <c r="A347" s="1" t="s">
        <v>359</v>
      </c>
      <c r="B347" t="str">
        <f>HYPERLINK("https://www.suredividend.com/sure-analysis-research-database/","Crinetics Pharmaceuticals Inc")</f>
        <v>Crinetics Pharmaceuticals Inc</v>
      </c>
      <c r="C347">
        <v>-1.2885723974228E-2</v>
      </c>
      <c r="D347">
        <v>0.42906234658811898</v>
      </c>
      <c r="E347">
        <v>0.82736974262397911</v>
      </c>
      <c r="F347">
        <v>0.59071038251366104</v>
      </c>
      <c r="G347">
        <v>0.648357870894677</v>
      </c>
      <c r="H347">
        <v>0.49358645459209799</v>
      </c>
      <c r="I347">
        <v>0.27396061269146599</v>
      </c>
    </row>
    <row r="348" spans="1:9" x14ac:dyDescent="0.35">
      <c r="A348" s="1" t="s">
        <v>360</v>
      </c>
      <c r="B348" t="str">
        <f>HYPERLINK("https://www.suredividend.com/sure-analysis-research-database/","Crocs Inc")</f>
        <v>Crocs Inc</v>
      </c>
      <c r="C348">
        <v>-5.9779520400045007E-2</v>
      </c>
      <c r="D348">
        <v>-0.33303772976459201</v>
      </c>
      <c r="E348">
        <v>-0.38399106478034201</v>
      </c>
      <c r="F348">
        <v>-0.23701927510836401</v>
      </c>
      <c r="G348">
        <v>6.7346148884015009E-2</v>
      </c>
      <c r="H348">
        <v>-0.39696770901669198</v>
      </c>
      <c r="I348">
        <v>3.1973617453069512</v>
      </c>
    </row>
    <row r="349" spans="1:9" x14ac:dyDescent="0.35">
      <c r="A349" s="1" t="s">
        <v>361</v>
      </c>
      <c r="B349" t="str">
        <f>HYPERLINK("https://www.suredividend.com/sure-analysis-research-database/","Carpenter Technology Corp.")</f>
        <v>Carpenter Technology Corp.</v>
      </c>
      <c r="C349">
        <v>-4.2076991942703E-2</v>
      </c>
      <c r="D349">
        <v>0.133794857304323</v>
      </c>
      <c r="E349">
        <v>0.43673337853896299</v>
      </c>
      <c r="F349">
        <v>0.75776276773711304</v>
      </c>
      <c r="G349">
        <v>0.95074520289877107</v>
      </c>
      <c r="H349">
        <v>0.98575330262942107</v>
      </c>
      <c r="I349">
        <v>0.33320042861770699</v>
      </c>
    </row>
    <row r="350" spans="1:9" x14ac:dyDescent="0.35">
      <c r="A350" s="1" t="s">
        <v>362</v>
      </c>
      <c r="B350" t="str">
        <f>HYPERLINK("https://www.suredividend.com/sure-analysis-research-database/","Corsair Gaming Inc")</f>
        <v>Corsair Gaming Inc</v>
      </c>
      <c r="C350">
        <v>-0.109868421052631</v>
      </c>
      <c r="D350">
        <v>-0.23774647887323899</v>
      </c>
      <c r="E350">
        <v>-0.23125000000000001</v>
      </c>
      <c r="F350">
        <v>-2.9476787030209999E-3</v>
      </c>
      <c r="G350">
        <v>0.181659388646288</v>
      </c>
      <c r="H350">
        <v>-0.45421540943929001</v>
      </c>
      <c r="I350">
        <v>-5.0526315789473003E-2</v>
      </c>
    </row>
    <row r="351" spans="1:9" x14ac:dyDescent="0.35">
      <c r="A351" s="1" t="s">
        <v>363</v>
      </c>
      <c r="B351" t="str">
        <f>HYPERLINK("https://www.suredividend.com/sure-analysis-research-database/","Corvel Corp.")</f>
        <v>Corvel Corp.</v>
      </c>
      <c r="C351">
        <v>1.6742693869365999E-2</v>
      </c>
      <c r="D351">
        <v>5.9016068240420006E-3</v>
      </c>
      <c r="E351">
        <v>2.3360242179615999E-2</v>
      </c>
      <c r="F351">
        <v>0.39565127640542203</v>
      </c>
      <c r="G351">
        <v>0.39536323610346702</v>
      </c>
      <c r="H351">
        <v>0.161151820471719</v>
      </c>
      <c r="I351">
        <v>2.734671331246548</v>
      </c>
    </row>
    <row r="352" spans="1:9" x14ac:dyDescent="0.35">
      <c r="A352" s="1" t="s">
        <v>364</v>
      </c>
      <c r="B352" t="str">
        <f>HYPERLINK("https://www.suredividend.com/sure-analysis-research-database/","CSG Systems International Inc.")</f>
        <v>CSG Systems International Inc.</v>
      </c>
      <c r="C352">
        <v>-3.2637571157495E-2</v>
      </c>
      <c r="D352">
        <v>-1.6690037476878E-2</v>
      </c>
      <c r="E352">
        <v>-3.5147651933963013E-2</v>
      </c>
      <c r="F352">
        <v>-8.4034202285063003E-2</v>
      </c>
      <c r="G352">
        <v>-8.5819624214124007E-2</v>
      </c>
      <c r="H352">
        <v>6.7986181959874006E-2</v>
      </c>
      <c r="I352">
        <v>0.58678776635810703</v>
      </c>
    </row>
    <row r="353" spans="1:9" x14ac:dyDescent="0.35">
      <c r="A353" s="1" t="s">
        <v>365</v>
      </c>
      <c r="B353" t="str">
        <f>HYPERLINK("https://www.suredividend.com/sure-analysis-research-database/","Centerspace")</f>
        <v>Centerspace</v>
      </c>
      <c r="C353">
        <v>-8.4077679036294012E-2</v>
      </c>
      <c r="D353">
        <v>-0.121384872945437</v>
      </c>
      <c r="E353">
        <v>4.8675088999032001E-2</v>
      </c>
      <c r="F353">
        <v>1.16889879107E-4</v>
      </c>
      <c r="G353">
        <v>-7.9070753524629001E-2</v>
      </c>
      <c r="H353">
        <v>-0.38448156714677101</v>
      </c>
      <c r="I353">
        <v>0.151093508256604</v>
      </c>
    </row>
    <row r="354" spans="1:9" x14ac:dyDescent="0.35">
      <c r="A354" s="1" t="s">
        <v>366</v>
      </c>
      <c r="B354" t="str">
        <f>HYPERLINK("https://www.suredividend.com/sure-analysis-research-database/","Caesarstone Ltd")</f>
        <v>Caesarstone Ltd</v>
      </c>
      <c r="C354">
        <v>-0.13015184381778699</v>
      </c>
      <c r="D354">
        <v>-0.27486437613019898</v>
      </c>
      <c r="E354">
        <v>8.3783783783783011E-2</v>
      </c>
      <c r="F354">
        <v>-0.29772329246935197</v>
      </c>
      <c r="G354">
        <v>-0.56648648648648603</v>
      </c>
      <c r="H354">
        <v>-0.66443514644351409</v>
      </c>
      <c r="I354">
        <v>-0.74346179435999704</v>
      </c>
    </row>
    <row r="355" spans="1:9" x14ac:dyDescent="0.35">
      <c r="A355" s="1" t="s">
        <v>367</v>
      </c>
      <c r="B355" t="str">
        <f>HYPERLINK("https://www.suredividend.com/sure-analysis-research-database/","Castle Biosciences Inc")</f>
        <v>Castle Biosciences Inc</v>
      </c>
      <c r="C355">
        <v>-0.284393063583815</v>
      </c>
      <c r="D355">
        <v>-0.22382445141065799</v>
      </c>
      <c r="E355">
        <v>-0.45172719220549101</v>
      </c>
      <c r="F355">
        <v>-0.47408666100254798</v>
      </c>
      <c r="G355">
        <v>-0.43778383287919997</v>
      </c>
      <c r="H355">
        <v>-0.80528468071720605</v>
      </c>
      <c r="I355">
        <v>-0.42149532710280302</v>
      </c>
    </row>
    <row r="356" spans="1:9" x14ac:dyDescent="0.35">
      <c r="A356" s="1" t="s">
        <v>368</v>
      </c>
      <c r="B356" t="str">
        <f>HYPERLINK("https://www.suredividend.com/sure-analysis-research-database/","Constellium SE")</f>
        <v>Constellium SE</v>
      </c>
      <c r="C356">
        <v>-5.0770108385624013E-2</v>
      </c>
      <c r="D356">
        <v>-6.4116985376827001E-2</v>
      </c>
      <c r="E356">
        <v>0.147586206896551</v>
      </c>
      <c r="F356">
        <v>0.40659340659340598</v>
      </c>
      <c r="G356">
        <v>0.51686417502278903</v>
      </c>
      <c r="H356">
        <v>-0.130616509926854</v>
      </c>
      <c r="I356">
        <v>0.63779527559055105</v>
      </c>
    </row>
    <row r="357" spans="1:9" x14ac:dyDescent="0.35">
      <c r="A357" s="1" t="s">
        <v>369</v>
      </c>
      <c r="B357" t="str">
        <f>HYPERLINK("https://www.suredividend.com/sure-analysis-research-database/","CapStar Financial Holdings Inc")</f>
        <v>CapStar Financial Holdings Inc</v>
      </c>
      <c r="C357">
        <v>3.5890218156227012E-2</v>
      </c>
      <c r="D357">
        <v>0.194359248981711</v>
      </c>
      <c r="E357">
        <v>5.0708085883965012E-2</v>
      </c>
      <c r="F357">
        <v>-0.133633501074129</v>
      </c>
      <c r="G357">
        <v>-0.19135097125780001</v>
      </c>
      <c r="H357">
        <v>-0.28397704056814799</v>
      </c>
      <c r="I357">
        <v>6.1359867330016013E-2</v>
      </c>
    </row>
    <row r="358" spans="1:9" x14ac:dyDescent="0.35">
      <c r="A358" s="1" t="s">
        <v>370</v>
      </c>
      <c r="B358" t="str">
        <f>HYPERLINK("https://www.suredividend.com/sure-analysis-research-database/","Carriage Services, Inc.")</f>
        <v>Carriage Services, Inc.</v>
      </c>
      <c r="C358">
        <v>-0.22806461830852001</v>
      </c>
      <c r="D358">
        <v>-0.281078529706767</v>
      </c>
      <c r="E358">
        <v>-0.12842264885124799</v>
      </c>
      <c r="F358">
        <v>-0.105087086006382</v>
      </c>
      <c r="G358">
        <v>-0.19959536376206599</v>
      </c>
      <c r="H358">
        <v>-0.43322813439726099</v>
      </c>
      <c r="I358">
        <v>0.27915094191069501</v>
      </c>
    </row>
    <row r="359" spans="1:9" x14ac:dyDescent="0.35">
      <c r="A359" s="1" t="s">
        <v>371</v>
      </c>
      <c r="B359" t="str">
        <f>HYPERLINK("https://www.suredividend.com/sure-analysis-research-database/","CSW Industrials Inc")</f>
        <v>CSW Industrials Inc</v>
      </c>
      <c r="C359">
        <v>-1.1495541972747001E-2</v>
      </c>
      <c r="D359">
        <v>9.4834070033854009E-2</v>
      </c>
      <c r="E359">
        <v>0.26369939610825299</v>
      </c>
      <c r="F359">
        <v>0.53015918759553704</v>
      </c>
      <c r="G359">
        <v>0.50864595858669204</v>
      </c>
      <c r="H359">
        <v>0.30223954470372311</v>
      </c>
      <c r="I359">
        <v>2.8026373408287362</v>
      </c>
    </row>
    <row r="360" spans="1:9" x14ac:dyDescent="0.35">
      <c r="A360" s="1" t="s">
        <v>372</v>
      </c>
      <c r="B360" t="str">
        <f>HYPERLINK("https://www.suredividend.com/sure-analysis-CTBI/","Community Trust Bancorp, Inc.")</f>
        <v>Community Trust Bancorp, Inc.</v>
      </c>
      <c r="C360">
        <v>-1.8254420992584001E-2</v>
      </c>
      <c r="D360">
        <v>-2.9271333045668001E-2</v>
      </c>
      <c r="E360">
        <v>-6.9100823727979996E-3</v>
      </c>
      <c r="F360">
        <v>-0.204356851268821</v>
      </c>
      <c r="G360">
        <v>-0.13772587097954</v>
      </c>
      <c r="H360">
        <v>-0.10480445881242199</v>
      </c>
      <c r="I360">
        <v>-1.1845225449722E-2</v>
      </c>
    </row>
    <row r="361" spans="1:9" x14ac:dyDescent="0.35">
      <c r="A361" s="1" t="s">
        <v>373</v>
      </c>
      <c r="B361" t="str">
        <f>HYPERLINK("https://www.suredividend.com/sure-analysis-research-database/","CTI BioPharma Corp")</f>
        <v>CTI BioPharma Corp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 s="1" t="s">
        <v>374</v>
      </c>
      <c r="B362" t="str">
        <f>HYPERLINK("https://www.suredividend.com/sure-analysis-research-database/","Cytek BioSciences Inc")</f>
        <v>Cytek BioSciences Inc</v>
      </c>
      <c r="C362">
        <v>-0.28285714285714197</v>
      </c>
      <c r="D362">
        <v>-0.44284128745837897</v>
      </c>
      <c r="E362">
        <v>-0.50687622789783804</v>
      </c>
      <c r="F362">
        <v>-0.50832517140058708</v>
      </c>
      <c r="G362">
        <v>-0.65114662960389103</v>
      </c>
      <c r="H362">
        <v>-0.79144162858329803</v>
      </c>
      <c r="I362">
        <v>-0.73240938166311309</v>
      </c>
    </row>
    <row r="363" spans="1:9" x14ac:dyDescent="0.35">
      <c r="A363" s="1" t="s">
        <v>375</v>
      </c>
      <c r="B363" t="str">
        <f>HYPERLINK("https://www.suredividend.com/sure-analysis-research-database/","Cantaloupe Inc")</f>
        <v>Cantaloupe Inc</v>
      </c>
      <c r="C363">
        <v>2.3668639053254E-2</v>
      </c>
      <c r="D363">
        <v>-0.14462299134734199</v>
      </c>
      <c r="E363">
        <v>0.220458553791887</v>
      </c>
      <c r="F363">
        <v>0.59080459770114901</v>
      </c>
      <c r="G363">
        <v>1.162499999999999</v>
      </c>
      <c r="H363">
        <v>-0.34901222953903999</v>
      </c>
      <c r="I363">
        <v>0.113435237329042</v>
      </c>
    </row>
    <row r="364" spans="1:9" x14ac:dyDescent="0.35">
      <c r="A364" s="1" t="s">
        <v>376</v>
      </c>
      <c r="B364" t="str">
        <f>HYPERLINK("https://www.suredividend.com/sure-analysis-CTO/","CTO Realty Growth Inc")</f>
        <v>CTO Realty Growth Inc</v>
      </c>
      <c r="C364">
        <v>-4.0404040404040012E-2</v>
      </c>
      <c r="D364">
        <v>-5.6195797003202007E-2</v>
      </c>
      <c r="E364">
        <v>3.3203249952018003E-2</v>
      </c>
      <c r="F364">
        <v>-5.5439556904649002E-2</v>
      </c>
      <c r="G364">
        <v>-1.4354417401069E-2</v>
      </c>
      <c r="H364">
        <v>5.9912975566215998E-2</v>
      </c>
      <c r="I364">
        <v>0.28009004224693401</v>
      </c>
    </row>
    <row r="365" spans="1:9" x14ac:dyDescent="0.35">
      <c r="A365" s="1" t="s">
        <v>377</v>
      </c>
      <c r="B365" t="str">
        <f>HYPERLINK("https://www.suredividend.com/sure-analysis-research-database/","Custom Truck One Source Inc")</f>
        <v>Custom Truck One Source Inc</v>
      </c>
      <c r="C365">
        <v>-9.8009188361408012E-2</v>
      </c>
      <c r="D365">
        <v>-0.129985228951255</v>
      </c>
      <c r="E365">
        <v>-9.2449922958397004E-2</v>
      </c>
      <c r="F365">
        <v>-6.8037974683544E-2</v>
      </c>
      <c r="G365">
        <v>-3.4426229508196002E-2</v>
      </c>
      <c r="H365">
        <v>-0.29713603818615703</v>
      </c>
      <c r="I365">
        <v>-0.32685714285714201</v>
      </c>
    </row>
    <row r="366" spans="1:9" x14ac:dyDescent="0.35">
      <c r="A366" s="1" t="s">
        <v>378</v>
      </c>
      <c r="B366" t="str">
        <f>HYPERLINK("https://www.suredividend.com/sure-analysis-CTRE/","CareTrust REIT Inc")</f>
        <v>CareTrust REIT Inc</v>
      </c>
      <c r="C366">
        <v>7.7053852692634012E-2</v>
      </c>
      <c r="D366">
        <v>8.0246139649647011E-2</v>
      </c>
      <c r="E366">
        <v>0.12013645487732499</v>
      </c>
      <c r="F366">
        <v>0.21024154263657299</v>
      </c>
      <c r="G366">
        <v>0.37161632949357098</v>
      </c>
      <c r="H366">
        <v>0.14994688035534001</v>
      </c>
      <c r="I366">
        <v>0.66231922085539208</v>
      </c>
    </row>
    <row r="367" spans="1:9" x14ac:dyDescent="0.35">
      <c r="A367" s="1" t="s">
        <v>379</v>
      </c>
      <c r="B367" t="str">
        <f>HYPERLINK("https://www.suredividend.com/sure-analysis-research-database/","Citi Trends Inc")</f>
        <v>Citi Trends Inc</v>
      </c>
      <c r="C367">
        <v>6.6173068024062004E-2</v>
      </c>
      <c r="D367">
        <v>0.27433628318584002</v>
      </c>
      <c r="E367">
        <v>0.17671092951991799</v>
      </c>
      <c r="F367">
        <v>-0.129909365558912</v>
      </c>
      <c r="G367">
        <v>0.18518518518518501</v>
      </c>
      <c r="H367">
        <v>-0.67010309278350511</v>
      </c>
      <c r="I367">
        <v>-0.117812604099261</v>
      </c>
    </row>
    <row r="368" spans="1:9" x14ac:dyDescent="0.35">
      <c r="A368" s="1" t="s">
        <v>380</v>
      </c>
      <c r="B368" t="str">
        <f>HYPERLINK("https://www.suredividend.com/sure-analysis-research-database/","CTS Corp.")</f>
        <v>CTS Corp.</v>
      </c>
      <c r="C368">
        <v>-5.1850428684645997E-2</v>
      </c>
      <c r="D368">
        <v>-7.579942881221001E-2</v>
      </c>
      <c r="E368">
        <v>-0.140620068306338</v>
      </c>
      <c r="F368">
        <v>4.3884754817779996E-3</v>
      </c>
      <c r="G368">
        <v>-5.2533058148742998E-2</v>
      </c>
      <c r="H368">
        <v>0.317058036622753</v>
      </c>
      <c r="I368">
        <v>0.34666352854496801</v>
      </c>
    </row>
    <row r="369" spans="1:9" x14ac:dyDescent="0.35">
      <c r="A369" s="1" t="s">
        <v>381</v>
      </c>
      <c r="B369" t="str">
        <f>HYPERLINK("https://www.suredividend.com/sure-analysis-research-database/","Innovid Corp")</f>
        <v>Innovid Corp</v>
      </c>
      <c r="C369">
        <v>-0.18699186991869901</v>
      </c>
      <c r="D369">
        <v>-0.13043478260869501</v>
      </c>
      <c r="E369">
        <v>0.19019281123542001</v>
      </c>
      <c r="F369">
        <v>-0.41520467836257302</v>
      </c>
      <c r="G369">
        <v>-0.62406015037593909</v>
      </c>
      <c r="H369">
        <v>-0.89690721649484506</v>
      </c>
      <c r="I369">
        <v>-0.89690721649484506</v>
      </c>
    </row>
    <row r="370" spans="1:9" x14ac:dyDescent="0.35">
      <c r="A370" s="1" t="s">
        <v>382</v>
      </c>
      <c r="B370" t="str">
        <f>HYPERLINK("https://www.suredividend.com/sure-analysis-research-database/","Customers Bancorp Inc")</f>
        <v>Customers Bancorp Inc</v>
      </c>
      <c r="C370">
        <v>-7.0866141732283006E-2</v>
      </c>
      <c r="D370">
        <v>-0.109309477215543</v>
      </c>
      <c r="E370">
        <v>0.8195316961736151</v>
      </c>
      <c r="F370">
        <v>0.124206069160197</v>
      </c>
      <c r="G370">
        <v>-4.3750000000000004E-3</v>
      </c>
      <c r="H370">
        <v>-0.30039525691699598</v>
      </c>
      <c r="I370">
        <v>0.64179412128457702</v>
      </c>
    </row>
    <row r="371" spans="1:9" x14ac:dyDescent="0.35">
      <c r="A371" s="1" t="s">
        <v>383</v>
      </c>
      <c r="B371" t="str">
        <f>HYPERLINK("https://www.suredividend.com/sure-analysis-research-database/","CURO Group Holdings Corp")</f>
        <v>CURO Group Holdings Corp</v>
      </c>
      <c r="C371">
        <v>-0.241935483870967</v>
      </c>
      <c r="D371">
        <v>-0.41249999999999998</v>
      </c>
      <c r="E371">
        <v>-0.47777777777777702</v>
      </c>
      <c r="F371">
        <v>-0.73521126760563305</v>
      </c>
      <c r="G371">
        <v>-0.76847290640394006</v>
      </c>
      <c r="H371">
        <v>-0.94715657394706609</v>
      </c>
      <c r="I371">
        <v>-0.95727913540241605</v>
      </c>
    </row>
    <row r="372" spans="1:9" x14ac:dyDescent="0.35">
      <c r="A372" s="1" t="s">
        <v>384</v>
      </c>
      <c r="B372" t="str">
        <f>HYPERLINK("https://www.suredividend.com/sure-analysis-research-database/","Torrid Holdings Inc")</f>
        <v>Torrid Holdings Inc</v>
      </c>
      <c r="C372">
        <v>0.39436619718309801</v>
      </c>
      <c r="D372">
        <v>-0.29032258064516098</v>
      </c>
      <c r="E372">
        <v>-0.44225352112675997</v>
      </c>
      <c r="F372">
        <v>-0.33108108108108097</v>
      </c>
      <c r="G372">
        <v>-0.56578947368421006</v>
      </c>
      <c r="H372">
        <v>-0.85547445255474408</v>
      </c>
      <c r="I372">
        <v>-0.91801242236024805</v>
      </c>
    </row>
    <row r="373" spans="1:9" x14ac:dyDescent="0.35">
      <c r="A373" s="1" t="s">
        <v>385</v>
      </c>
      <c r="B373" t="str">
        <f>HYPERLINK("https://www.suredividend.com/sure-analysis-research-database/","Cutera Inc")</f>
        <v>Cutera Inc</v>
      </c>
      <c r="C373">
        <v>-0.63354700854700807</v>
      </c>
      <c r="D373">
        <v>-0.78332280480101002</v>
      </c>
      <c r="E373">
        <v>-0.84707980383415005</v>
      </c>
      <c r="F373">
        <v>-0.92243328810492997</v>
      </c>
      <c r="G373">
        <v>-0.9247476963580511</v>
      </c>
      <c r="H373">
        <v>-0.9205650764242701</v>
      </c>
      <c r="I373">
        <v>-0.83964469378214102</v>
      </c>
    </row>
    <row r="374" spans="1:9" x14ac:dyDescent="0.35">
      <c r="A374" s="1" t="s">
        <v>386</v>
      </c>
      <c r="B374" t="str">
        <f>HYPERLINK("https://www.suredividend.com/sure-analysis-research-database/","CVB Financial Corp.")</f>
        <v>CVB Financial Corp.</v>
      </c>
      <c r="C374">
        <v>-8.0454391239747999E-2</v>
      </c>
      <c r="D374">
        <v>0.10155001821902</v>
      </c>
      <c r="E374">
        <v>6.0599927134356003E-2</v>
      </c>
      <c r="F374">
        <v>-0.35589345199316502</v>
      </c>
      <c r="G374">
        <v>-0.38327304683515401</v>
      </c>
      <c r="H374">
        <v>-0.13720238421936501</v>
      </c>
      <c r="I374">
        <v>-0.103205526809704</v>
      </c>
    </row>
    <row r="375" spans="1:9" x14ac:dyDescent="0.35">
      <c r="A375" s="1" t="s">
        <v>387</v>
      </c>
      <c r="B375" t="str">
        <f>HYPERLINK("https://www.suredividend.com/sure-analysis-research-database/","Cavco Industries Inc")</f>
        <v>Cavco Industries Inc</v>
      </c>
      <c r="C375">
        <v>-5.2006803952082001E-2</v>
      </c>
      <c r="D375">
        <v>-0.123154688179961</v>
      </c>
      <c r="E375">
        <v>-9.0928021100853004E-2</v>
      </c>
      <c r="F375">
        <v>0.15774585635359101</v>
      </c>
      <c r="G375">
        <v>0.273469784627351</v>
      </c>
      <c r="H375">
        <v>0.143143929475429</v>
      </c>
      <c r="I375">
        <v>0.25522330841479701</v>
      </c>
    </row>
    <row r="376" spans="1:9" x14ac:dyDescent="0.35">
      <c r="A376" s="1" t="s">
        <v>388</v>
      </c>
      <c r="B376" t="str">
        <f>HYPERLINK("https://www.suredividend.com/sure-analysis-research-database/","Calavo Growers, Inc")</f>
        <v>Calavo Growers, Inc</v>
      </c>
      <c r="C376">
        <v>-0.13080639692585899</v>
      </c>
      <c r="D376">
        <v>-0.19825120376343</v>
      </c>
      <c r="E376">
        <v>-0.15066176597470199</v>
      </c>
      <c r="F376">
        <v>-0.14780892359367601</v>
      </c>
      <c r="G376">
        <v>-0.19708195897646699</v>
      </c>
      <c r="H376">
        <v>-0.32681208182201099</v>
      </c>
      <c r="I376">
        <v>-0.71448923620940008</v>
      </c>
    </row>
    <row r="377" spans="1:9" x14ac:dyDescent="0.35">
      <c r="A377" s="1" t="s">
        <v>389</v>
      </c>
      <c r="B377" t="str">
        <f>HYPERLINK("https://www.suredividend.com/sure-analysis-research-database/","CVR Energy Inc")</f>
        <v>CVR Energy Inc</v>
      </c>
      <c r="C377">
        <v>-9.1751085383502004E-2</v>
      </c>
      <c r="D377">
        <v>3.4629422645129998E-2</v>
      </c>
      <c r="E377">
        <v>0.108571468945514</v>
      </c>
      <c r="F377">
        <v>5.1601530820839001E-2</v>
      </c>
      <c r="G377">
        <v>1.9988887966430001E-3</v>
      </c>
      <c r="H377">
        <v>0.71215312257881402</v>
      </c>
      <c r="I377">
        <v>0.181609368528071</v>
      </c>
    </row>
    <row r="378" spans="1:9" x14ac:dyDescent="0.35">
      <c r="A378" s="1" t="s">
        <v>390</v>
      </c>
      <c r="B378" t="str">
        <f>HYPERLINK("https://www.suredividend.com/sure-analysis-research-database/","Covenant Logistics Group Inc")</f>
        <v>Covenant Logistics Group Inc</v>
      </c>
      <c r="C378">
        <v>-3.6149922377467003E-2</v>
      </c>
      <c r="D378">
        <v>-4.9774025010640007E-3</v>
      </c>
      <c r="E378">
        <v>0.24975916398991199</v>
      </c>
      <c r="F378">
        <v>0.27399737930589602</v>
      </c>
      <c r="G378">
        <v>0.42138554019845698</v>
      </c>
      <c r="H378">
        <v>0.36429416768952111</v>
      </c>
      <c r="I378">
        <v>0.72460317460317403</v>
      </c>
    </row>
    <row r="379" spans="1:9" x14ac:dyDescent="0.35">
      <c r="A379" s="1" t="s">
        <v>391</v>
      </c>
      <c r="B379" t="str">
        <f>HYPERLINK("https://www.suredividend.com/sure-analysis-research-database/","Commvault Systems Inc")</f>
        <v>Commvault Systems Inc</v>
      </c>
      <c r="C379">
        <v>-1.1959249963088E-2</v>
      </c>
      <c r="D379">
        <v>-0.116917392451834</v>
      </c>
      <c r="E379">
        <v>9.4895287958115013E-2</v>
      </c>
      <c r="F379">
        <v>6.4926798217695009E-2</v>
      </c>
      <c r="G379">
        <v>0.231505336768494</v>
      </c>
      <c r="H379">
        <v>-0.113290049026103</v>
      </c>
      <c r="I379">
        <v>0.109600397943956</v>
      </c>
    </row>
    <row r="380" spans="1:9" x14ac:dyDescent="0.35">
      <c r="A380" s="1" t="s">
        <v>392</v>
      </c>
      <c r="B380" t="str">
        <f>HYPERLINK("https://www.suredividend.com/sure-analysis-research-database/","Cvent Holding Corp")</f>
        <v>Cvent Holding Corp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 s="1" t="s">
        <v>393</v>
      </c>
      <c r="B381" t="str">
        <f>HYPERLINK("https://www.suredividend.com/sure-analysis-CWEN/","Clearway Energy Inc")</f>
        <v>Clearway Energy Inc</v>
      </c>
      <c r="C381">
        <v>-0.14905362776025199</v>
      </c>
      <c r="D381">
        <v>-0.19532257944231901</v>
      </c>
      <c r="E381">
        <v>-0.29562064046949899</v>
      </c>
      <c r="F381">
        <v>-0.29476663246165002</v>
      </c>
      <c r="G381">
        <v>-0.27346182981230499</v>
      </c>
      <c r="H381">
        <v>-0.24355815102897799</v>
      </c>
      <c r="I381">
        <v>0.38740661686232603</v>
      </c>
    </row>
    <row r="382" spans="1:9" x14ac:dyDescent="0.35">
      <c r="A382" s="1" t="s">
        <v>394</v>
      </c>
      <c r="B382" t="str">
        <f>HYPERLINK("https://www.suredividend.com/sure-analysis-CWH/","Camping World Holdings Inc")</f>
        <v>Camping World Holdings Inc</v>
      </c>
      <c r="C382">
        <v>-0.193032015065913</v>
      </c>
      <c r="D382">
        <v>-0.45433649673843401</v>
      </c>
      <c r="E382">
        <v>-0.15660397783748101</v>
      </c>
      <c r="F382">
        <v>-0.18758146699845901</v>
      </c>
      <c r="G382">
        <v>-0.31311414968821599</v>
      </c>
      <c r="H382">
        <v>-0.45760351893166201</v>
      </c>
      <c r="I382">
        <v>9.9046070269090004E-3</v>
      </c>
    </row>
    <row r="383" spans="1:9" x14ac:dyDescent="0.35">
      <c r="A383" s="1" t="s">
        <v>395</v>
      </c>
      <c r="B383" t="str">
        <f>HYPERLINK("https://www.suredividend.com/sure-analysis-research-database/","Cushman &amp; Wakefield plc")</f>
        <v>Cushman &amp; Wakefield plc</v>
      </c>
      <c r="C383">
        <v>-0.11124546553808901</v>
      </c>
      <c r="D383">
        <v>-0.21052631578947301</v>
      </c>
      <c r="E383">
        <v>-0.22712933753943201</v>
      </c>
      <c r="F383">
        <v>-0.41011235955056102</v>
      </c>
      <c r="G383">
        <v>-0.35185185185185103</v>
      </c>
      <c r="H383">
        <v>-0.60420032310177707</v>
      </c>
      <c r="I383">
        <v>-0.54601605929586106</v>
      </c>
    </row>
    <row r="384" spans="1:9" x14ac:dyDescent="0.35">
      <c r="A384" s="1" t="s">
        <v>396</v>
      </c>
      <c r="B384" t="str">
        <f>HYPERLINK("https://www.suredividend.com/sure-analysis-research-database/","Casella Waste Systems, Inc.")</f>
        <v>Casella Waste Systems, Inc.</v>
      </c>
      <c r="C384">
        <v>-7.3416506717850008E-2</v>
      </c>
      <c r="D384">
        <v>-0.11146899804440299</v>
      </c>
      <c r="E384">
        <v>-8.5700757575757E-2</v>
      </c>
      <c r="F384">
        <v>-2.6100113478753999E-2</v>
      </c>
      <c r="G384">
        <v>4.3783783783782997E-2</v>
      </c>
      <c r="H384">
        <v>-3.4500000000000003E-2</v>
      </c>
      <c r="I384">
        <v>1.657949070887818</v>
      </c>
    </row>
    <row r="385" spans="1:9" x14ac:dyDescent="0.35">
      <c r="A385" s="1" t="s">
        <v>397</v>
      </c>
      <c r="B385" t="str">
        <f>HYPERLINK("https://www.suredividend.com/sure-analysis-CWT/","California Water Service Group")</f>
        <v>California Water Service Group</v>
      </c>
      <c r="C385">
        <v>-3.8885548206053E-2</v>
      </c>
      <c r="D385">
        <v>-5.9412932434658998E-2</v>
      </c>
      <c r="E385">
        <v>-0.18048757144029001</v>
      </c>
      <c r="F385">
        <v>-0.198309343917767</v>
      </c>
      <c r="G385">
        <v>-0.106961602142547</v>
      </c>
      <c r="H385">
        <v>-0.18616393832157899</v>
      </c>
      <c r="I385">
        <v>0.28836548201527701</v>
      </c>
    </row>
    <row r="386" spans="1:9" x14ac:dyDescent="0.35">
      <c r="A386" s="1" t="s">
        <v>398</v>
      </c>
      <c r="B386" t="str">
        <f>HYPERLINK("https://www.suredividend.com/sure-analysis-research-database/","CoreCivic Inc")</f>
        <v>CoreCivic Inc</v>
      </c>
      <c r="C386">
        <v>6.576402321083101E-2</v>
      </c>
      <c r="D386">
        <v>0.177350427350427</v>
      </c>
      <c r="E386">
        <v>0.17860962566844901</v>
      </c>
      <c r="F386">
        <v>-4.6712802768166001E-2</v>
      </c>
      <c r="G386">
        <v>0.172340425531914</v>
      </c>
      <c r="H386">
        <v>0.17109458023379301</v>
      </c>
      <c r="I386">
        <v>-0.42530833615811803</v>
      </c>
    </row>
    <row r="387" spans="1:9" x14ac:dyDescent="0.35">
      <c r="A387" s="1" t="s">
        <v>399</v>
      </c>
      <c r="B387" t="str">
        <f>HYPERLINK("https://www.suredividend.com/sure-analysis-research-database/","Community Health Systems, Inc.")</f>
        <v>Community Health Systems, Inc.</v>
      </c>
      <c r="C387">
        <v>-0.16025641025640999</v>
      </c>
      <c r="D387">
        <v>-0.40045766590388998</v>
      </c>
      <c r="E387">
        <v>-0.49808429118773911</v>
      </c>
      <c r="F387">
        <v>-0.39351851851851799</v>
      </c>
      <c r="G387">
        <v>0.19634703196347</v>
      </c>
      <c r="H387">
        <v>-0.7468599033816421</v>
      </c>
      <c r="I387">
        <v>-7.5757575757570009E-3</v>
      </c>
    </row>
    <row r="388" spans="1:9" x14ac:dyDescent="0.35">
      <c r="A388" s="1" t="s">
        <v>400</v>
      </c>
      <c r="B388" t="str">
        <f>HYPERLINK("https://www.suredividend.com/sure-analysis-research-database/","CryoPort Inc")</f>
        <v>CryoPort Inc</v>
      </c>
      <c r="C388">
        <v>-0.18232044198895</v>
      </c>
      <c r="D388">
        <v>-0.212504156967076</v>
      </c>
      <c r="E388">
        <v>-0.40442655935613597</v>
      </c>
      <c r="F388">
        <v>-0.317579250720461</v>
      </c>
      <c r="G388">
        <v>-0.50973084886128306</v>
      </c>
      <c r="H388">
        <v>-0.83148306290919405</v>
      </c>
      <c r="I388">
        <v>5.7142857142857002E-2</v>
      </c>
    </row>
    <row r="389" spans="1:9" x14ac:dyDescent="0.35">
      <c r="A389" s="1" t="s">
        <v>401</v>
      </c>
      <c r="B389" t="str">
        <f>HYPERLINK("https://www.suredividend.com/sure-analysis-research-database/","Cytokinetics Inc")</f>
        <v>Cytokinetics Inc</v>
      </c>
      <c r="C389">
        <v>-5.8428279287100007E-4</v>
      </c>
      <c r="D389">
        <v>-2.0612653879186E-2</v>
      </c>
      <c r="E389">
        <v>-1.6388729154686001E-2</v>
      </c>
      <c r="F389">
        <v>-0.25338280226975102</v>
      </c>
      <c r="G389">
        <v>-0.255495103373231</v>
      </c>
      <c r="H389">
        <v>-7.2648414204391012E-2</v>
      </c>
      <c r="I389">
        <v>3.4895013123359568</v>
      </c>
    </row>
    <row r="390" spans="1:9" x14ac:dyDescent="0.35">
      <c r="A390" s="1" t="s">
        <v>402</v>
      </c>
      <c r="B390" t="str">
        <f>HYPERLINK("https://www.suredividend.com/sure-analysis-research-database/","Citizens &amp; Northern Corp")</f>
        <v>Citizens &amp; Northern Corp</v>
      </c>
      <c r="C390">
        <v>-1.9661387220098001E-2</v>
      </c>
      <c r="D390">
        <v>-4.8522692336234012E-2</v>
      </c>
      <c r="E390">
        <v>-7.3400131117753009E-2</v>
      </c>
      <c r="F390">
        <v>-0.15977793796867501</v>
      </c>
      <c r="G390">
        <v>-0.18953941457203599</v>
      </c>
      <c r="H390">
        <v>-0.223128692302698</v>
      </c>
      <c r="I390">
        <v>-0.109839374358414</v>
      </c>
    </row>
    <row r="391" spans="1:9" x14ac:dyDescent="0.35">
      <c r="A391" s="1" t="s">
        <v>403</v>
      </c>
      <c r="B391" t="str">
        <f>HYPERLINK("https://www.suredividend.com/sure-analysis-research-database/","Dana Inc")</f>
        <v>Dana Inc</v>
      </c>
      <c r="C391">
        <v>-0.13901639344262201</v>
      </c>
      <c r="D391">
        <v>-0.25899589146236801</v>
      </c>
      <c r="E391">
        <v>-0.102479971563721</v>
      </c>
      <c r="F391">
        <v>-0.115306610606887</v>
      </c>
      <c r="G391">
        <v>0.11772267197861599</v>
      </c>
      <c r="H391">
        <v>-0.44773457610579198</v>
      </c>
      <c r="I391">
        <v>-0.118016511160819</v>
      </c>
    </row>
    <row r="392" spans="1:9" x14ac:dyDescent="0.35">
      <c r="A392" s="1" t="s">
        <v>404</v>
      </c>
      <c r="B392" t="str">
        <f>HYPERLINK("https://www.suredividend.com/sure-analysis-research-database/","Day One Biopharmaceuticals Inc")</f>
        <v>Day One Biopharmaceuticals Inc</v>
      </c>
      <c r="C392">
        <v>-0.204741379310344</v>
      </c>
      <c r="D392">
        <v>-4.9785407725321001E-2</v>
      </c>
      <c r="E392">
        <v>-0.10291734197730899</v>
      </c>
      <c r="F392">
        <v>-0.48559479553903312</v>
      </c>
      <c r="G392">
        <v>-0.46982758620689602</v>
      </c>
      <c r="H392">
        <v>-0.500225733634311</v>
      </c>
      <c r="I392">
        <v>-0.57242178447276904</v>
      </c>
    </row>
    <row r="393" spans="1:9" x14ac:dyDescent="0.35">
      <c r="A393" s="1" t="s">
        <v>405</v>
      </c>
      <c r="B393" t="str">
        <f>HYPERLINK("https://www.suredividend.com/sure-analysis-research-database/","Designer Brands Inc")</f>
        <v>Designer Brands Inc</v>
      </c>
      <c r="C393">
        <v>-2.1862294207825001E-2</v>
      </c>
      <c r="D393">
        <v>0.22649394066025899</v>
      </c>
      <c r="E393">
        <v>0.33281867308478202</v>
      </c>
      <c r="F393">
        <v>0.21852489984015899</v>
      </c>
      <c r="G393">
        <v>-0.19299403338007601</v>
      </c>
      <c r="H393">
        <v>-7.8753256536614011E-2</v>
      </c>
      <c r="I393">
        <v>-0.57723706053720403</v>
      </c>
    </row>
    <row r="394" spans="1:9" x14ac:dyDescent="0.35">
      <c r="A394" s="1" t="s">
        <v>406</v>
      </c>
      <c r="B394" t="str">
        <f>HYPERLINK("https://www.suredividend.com/sure-analysis-research-database/","DigitalBridge Group Inc")</f>
        <v>DigitalBridge Group Inc</v>
      </c>
      <c r="C394">
        <v>-6.9668862352265007E-2</v>
      </c>
      <c r="D394">
        <v>4.7712369035953002E-2</v>
      </c>
      <c r="E394">
        <v>0.42631151395955302</v>
      </c>
      <c r="F394">
        <v>0.52803224624404499</v>
      </c>
      <c r="G394">
        <v>0.44998087555200011</v>
      </c>
      <c r="H394">
        <v>-0.37796937580643902</v>
      </c>
      <c r="I394">
        <v>1.978571428571428</v>
      </c>
    </row>
    <row r="395" spans="1:9" x14ac:dyDescent="0.35">
      <c r="A395" s="1" t="s">
        <v>407</v>
      </c>
      <c r="B395" t="str">
        <f>HYPERLINK("https://www.suredividend.com/sure-analysis-research-database/","Dakota Gold Corp")</f>
        <v>Dakota Gold Corp</v>
      </c>
      <c r="C395">
        <v>4.0145985401459E-2</v>
      </c>
      <c r="D395">
        <v>-2.0618556701030001E-2</v>
      </c>
      <c r="E395">
        <v>-0.14925373134328301</v>
      </c>
      <c r="F395">
        <v>-6.5573770491803005E-2</v>
      </c>
      <c r="G395">
        <v>-0.11214953271028</v>
      </c>
      <c r="H395">
        <v>-0.58695652173913004</v>
      </c>
      <c r="I395">
        <v>-0.58695652173913004</v>
      </c>
    </row>
    <row r="396" spans="1:9" x14ac:dyDescent="0.35">
      <c r="A396" s="1" t="s">
        <v>408</v>
      </c>
      <c r="B396" t="str">
        <f>HYPERLINK("https://www.suredividend.com/sure-analysis-research-database/","DocGo Inc")</f>
        <v>DocGo Inc</v>
      </c>
      <c r="C396">
        <v>2.8070175438595999E-2</v>
      </c>
      <c r="D396">
        <v>-0.36442516268980402</v>
      </c>
      <c r="E396">
        <v>-0.24387096774193501</v>
      </c>
      <c r="F396">
        <v>-0.171145685997171</v>
      </c>
      <c r="G396">
        <v>-0.44976525821596203</v>
      </c>
      <c r="H396">
        <v>-0.41980198019801901</v>
      </c>
      <c r="I396">
        <v>-0.41980198019801901</v>
      </c>
    </row>
    <row r="397" spans="1:9" x14ac:dyDescent="0.35">
      <c r="A397" s="1" t="s">
        <v>409</v>
      </c>
      <c r="B397" t="str">
        <f>HYPERLINK("https://www.suredividend.com/sure-analysis-research-database/","Ducommun Inc.")</f>
        <v>Ducommun Inc.</v>
      </c>
      <c r="C397">
        <v>2.7087033747778998E-2</v>
      </c>
      <c r="D397">
        <v>-4.3047783039169996E-3</v>
      </c>
      <c r="E397">
        <v>-0.111239193083573</v>
      </c>
      <c r="F397">
        <v>-7.4059247397917999E-2</v>
      </c>
      <c r="G397">
        <v>0.12554744525547401</v>
      </c>
      <c r="H397">
        <v>-6.1472915398661003E-2</v>
      </c>
      <c r="I397">
        <v>0.221870047543581</v>
      </c>
    </row>
    <row r="398" spans="1:9" x14ac:dyDescent="0.35">
      <c r="A398" s="1" t="s">
        <v>410</v>
      </c>
      <c r="B398" t="str">
        <f>HYPERLINK("https://www.suredividend.com/sure-analysis-research-database/","Dime Community Bancshares Inc")</f>
        <v>Dime Community Bancshares Inc</v>
      </c>
      <c r="C398">
        <v>-4.6993976023380013E-2</v>
      </c>
      <c r="D398">
        <v>4.7393002485455013E-2</v>
      </c>
      <c r="E398">
        <v>-2.4660586299334999E-2</v>
      </c>
      <c r="F398">
        <v>-0.353525851750703</v>
      </c>
      <c r="G398">
        <v>-0.34613168008566297</v>
      </c>
      <c r="H398">
        <v>-0.39107610715022911</v>
      </c>
      <c r="I398">
        <v>-0.349009888384331</v>
      </c>
    </row>
    <row r="399" spans="1:9" x14ac:dyDescent="0.35">
      <c r="A399" s="1" t="s">
        <v>411</v>
      </c>
      <c r="B399" t="str">
        <f>HYPERLINK("https://www.suredividend.com/sure-analysis-research-database/","Deciphera Pharmaceuticals Inc")</f>
        <v>Deciphera Pharmaceuticals Inc</v>
      </c>
      <c r="C399">
        <v>-0.18405365126676601</v>
      </c>
      <c r="D399">
        <v>-0.21841541755888599</v>
      </c>
      <c r="E399">
        <v>-0.24690508940852801</v>
      </c>
      <c r="F399">
        <v>-0.33190970103721701</v>
      </c>
      <c r="G399">
        <v>-0.34548714883442899</v>
      </c>
      <c r="H399">
        <v>-0.6856158484065461</v>
      </c>
      <c r="I399">
        <v>-0.60864903502501699</v>
      </c>
    </row>
    <row r="400" spans="1:9" x14ac:dyDescent="0.35">
      <c r="A400" s="1" t="s">
        <v>412</v>
      </c>
      <c r="B400" t="str">
        <f>HYPERLINK("https://www.suredividend.com/sure-analysis-research-database/","3D Systems Corp.")</f>
        <v>3D Systems Corp.</v>
      </c>
      <c r="C400">
        <v>-0.235177865612648</v>
      </c>
      <c r="D400">
        <v>-0.6156901688182721</v>
      </c>
      <c r="E400">
        <v>-0.58697972251867603</v>
      </c>
      <c r="F400">
        <v>-0.47702702702702698</v>
      </c>
      <c r="G400">
        <v>-0.51320754716981098</v>
      </c>
      <c r="H400">
        <v>-0.85172413793103408</v>
      </c>
      <c r="I400">
        <v>-0.77473806752037211</v>
      </c>
    </row>
    <row r="401" spans="1:9" x14ac:dyDescent="0.35">
      <c r="A401" s="1" t="s">
        <v>413</v>
      </c>
      <c r="B401" t="str">
        <f>HYPERLINK("https://www.suredividend.com/sure-analysis-DDS/","Dillard`s Inc.")</f>
        <v>Dillard`s Inc.</v>
      </c>
      <c r="C401">
        <v>-4.7046967756697998E-2</v>
      </c>
      <c r="D401">
        <v>-4.2384975327601E-2</v>
      </c>
      <c r="E401">
        <v>1.2533682099759001E-2</v>
      </c>
      <c r="F401">
        <v>-6.0023383922018003E-2</v>
      </c>
      <c r="G401">
        <v>0.134440370316181</v>
      </c>
      <c r="H401">
        <v>0.62081130916453109</v>
      </c>
      <c r="I401">
        <v>3.8058144695960938</v>
      </c>
    </row>
    <row r="402" spans="1:9" x14ac:dyDescent="0.35">
      <c r="A402" s="1" t="s">
        <v>414</v>
      </c>
      <c r="B402" t="str">
        <f>HYPERLINK("https://www.suredividend.com/sure-analysis-DEA/","Easterly Government Properties Inc")</f>
        <v>Easterly Government Properties Inc</v>
      </c>
      <c r="C402">
        <v>-0.14769230769230701</v>
      </c>
      <c r="D402">
        <v>-0.229597902948804</v>
      </c>
      <c r="E402">
        <v>-0.17507352120016301</v>
      </c>
      <c r="F402">
        <v>-0.17969675432361901</v>
      </c>
      <c r="G402">
        <v>-0.238336163221535</v>
      </c>
      <c r="H402">
        <v>-0.41103303105365502</v>
      </c>
      <c r="I402">
        <v>-0.180842962864388</v>
      </c>
    </row>
    <row r="403" spans="1:9" x14ac:dyDescent="0.35">
      <c r="A403" s="1" t="s">
        <v>415</v>
      </c>
      <c r="B403" t="str">
        <f>HYPERLINK("https://www.suredividend.com/sure-analysis-research-database/","Denbury Inc.")</f>
        <v>Denbury Inc.</v>
      </c>
      <c r="C403">
        <v>-5.3151022925876007E-2</v>
      </c>
      <c r="D403">
        <v>0.111379268734161</v>
      </c>
      <c r="E403">
        <v>-3.0526315789472999E-2</v>
      </c>
      <c r="F403">
        <v>5.8377384509308003E-2</v>
      </c>
      <c r="G403">
        <v>1.9933554817275E-2</v>
      </c>
      <c r="H403">
        <v>0.26043519912412699</v>
      </c>
      <c r="I403">
        <v>4.0883977900552484</v>
      </c>
    </row>
    <row r="404" spans="1:9" x14ac:dyDescent="0.35">
      <c r="A404" s="1" t="s">
        <v>416</v>
      </c>
      <c r="B404" t="str">
        <f>HYPERLINK("https://www.suredividend.com/sure-analysis-research-database/","Denny`s Corp.")</f>
        <v>Denny`s Corp.</v>
      </c>
      <c r="C404">
        <v>-7.1347678369195006E-2</v>
      </c>
      <c r="D404">
        <v>-0.28819444444444398</v>
      </c>
      <c r="E404">
        <v>-0.27689594356260999</v>
      </c>
      <c r="F404">
        <v>-0.109663409337676</v>
      </c>
      <c r="G404">
        <v>-0.15724563206577599</v>
      </c>
      <c r="H404">
        <v>-0.46052631578947312</v>
      </c>
      <c r="I404">
        <v>-0.43252595155709311</v>
      </c>
    </row>
    <row r="405" spans="1:9" x14ac:dyDescent="0.35">
      <c r="A405" s="1" t="s">
        <v>417</v>
      </c>
      <c r="B405" t="str">
        <f>HYPERLINK("https://www.suredividend.com/sure-analysis-research-database/","Dream Finders Homes Inc")</f>
        <v>Dream Finders Homes Inc</v>
      </c>
      <c r="C405">
        <v>-0.129421556387848</v>
      </c>
      <c r="D405">
        <v>-0.19600307455803201</v>
      </c>
      <c r="E405">
        <v>0.50395398993529805</v>
      </c>
      <c r="F405">
        <v>1.415704387990762</v>
      </c>
      <c r="G405">
        <v>1.0610837438423639</v>
      </c>
      <c r="H405">
        <v>0.26634382566585901</v>
      </c>
      <c r="I405">
        <v>-1.4319809069209999E-3</v>
      </c>
    </row>
    <row r="406" spans="1:9" x14ac:dyDescent="0.35">
      <c r="A406" s="1" t="s">
        <v>418</v>
      </c>
      <c r="B406" t="str">
        <f>HYPERLINK("https://www.suredividend.com/sure-analysis-research-database/","Donnelley Financial Solutions Inc")</f>
        <v>Donnelley Financial Solutions Inc</v>
      </c>
      <c r="C406">
        <v>5.0667182363179013E-2</v>
      </c>
      <c r="D406">
        <v>0.14354872658387699</v>
      </c>
      <c r="E406">
        <v>0.24239652412531401</v>
      </c>
      <c r="F406">
        <v>0.40569210866752897</v>
      </c>
      <c r="G406">
        <v>0.47036535859269202</v>
      </c>
      <c r="H406">
        <v>0.43882415254237211</v>
      </c>
      <c r="I406">
        <v>2.3128048780487802</v>
      </c>
    </row>
    <row r="407" spans="1:9" x14ac:dyDescent="0.35">
      <c r="A407" s="1" t="s">
        <v>419</v>
      </c>
      <c r="B407" t="str">
        <f>HYPERLINK("https://www.suredividend.com/sure-analysis-DGICA/","Donegal Group Inc.")</f>
        <v>Donegal Group Inc.</v>
      </c>
      <c r="C407">
        <v>-4.9798115746971003E-2</v>
      </c>
      <c r="D407">
        <v>1.6675786987700999E-2</v>
      </c>
      <c r="E407">
        <v>1.0043205814185999E-2</v>
      </c>
      <c r="F407">
        <v>5.2796397229325998E-2</v>
      </c>
      <c r="G407">
        <v>6.3982096165293004E-2</v>
      </c>
      <c r="H407">
        <v>7.3029865491298002E-2</v>
      </c>
      <c r="I407">
        <v>0.29216465032853101</v>
      </c>
    </row>
    <row r="408" spans="1:9" x14ac:dyDescent="0.35">
      <c r="A408" s="1" t="s">
        <v>420</v>
      </c>
      <c r="B408" t="str">
        <f>HYPERLINK("https://www.suredividend.com/sure-analysis-research-database/","Digi International, Inc.")</f>
        <v>Digi International, Inc.</v>
      </c>
      <c r="C408">
        <v>-0.22656000000000001</v>
      </c>
      <c r="D408">
        <v>-0.41926958193176311</v>
      </c>
      <c r="E408">
        <v>-0.28172362555720598</v>
      </c>
      <c r="F408">
        <v>-0.338714090287277</v>
      </c>
      <c r="G408">
        <v>-0.255620572836464</v>
      </c>
      <c r="H408">
        <v>0.13474178403755799</v>
      </c>
      <c r="I408">
        <v>1.0310924369747889</v>
      </c>
    </row>
    <row r="409" spans="1:9" x14ac:dyDescent="0.35">
      <c r="A409" s="1" t="s">
        <v>421</v>
      </c>
      <c r="B409" t="str">
        <f>HYPERLINK("https://www.suredividend.com/sure-analysis-research-database/","Diversified Healthcare Trust")</f>
        <v>Diversified Healthcare Trust</v>
      </c>
      <c r="C409">
        <v>-0.18614718614718601</v>
      </c>
      <c r="D409">
        <v>-0.26571104948638802</v>
      </c>
      <c r="E409">
        <v>0.79990426041168006</v>
      </c>
      <c r="F409">
        <v>2.0191103259996779</v>
      </c>
      <c r="G409">
        <v>0.95162462368940004</v>
      </c>
      <c r="H409">
        <v>-0.46188854223316211</v>
      </c>
      <c r="I409">
        <v>-0.87307159977044801</v>
      </c>
    </row>
    <row r="410" spans="1:9" x14ac:dyDescent="0.35">
      <c r="A410" s="1" t="s">
        <v>422</v>
      </c>
      <c r="B410" t="str">
        <f>HYPERLINK("https://www.suredividend.com/sure-analysis-research-database/","Diamond Hill Investment Group, Inc.")</f>
        <v>Diamond Hill Investment Group, Inc.</v>
      </c>
      <c r="C410">
        <v>-1.8285225048923E-2</v>
      </c>
      <c r="D410">
        <v>-8.7394238525913007E-2</v>
      </c>
      <c r="E410">
        <v>-1.9249062351271998E-2</v>
      </c>
      <c r="F410">
        <v>-9.289556347781501E-2</v>
      </c>
      <c r="G410">
        <v>3.9807804290980013E-2</v>
      </c>
      <c r="H410">
        <v>-6.8700793225817E-2</v>
      </c>
      <c r="I410">
        <v>0.28854683895452099</v>
      </c>
    </row>
    <row r="411" spans="1:9" x14ac:dyDescent="0.35">
      <c r="A411" s="1" t="s">
        <v>423</v>
      </c>
      <c r="B411" t="str">
        <f>HYPERLINK("https://www.suredividend.com/sure-analysis-research-database/","DHT Holdings Inc")</f>
        <v>DHT Holdings Inc</v>
      </c>
      <c r="C411">
        <v>0.188888888888888</v>
      </c>
      <c r="D411">
        <v>0.28143712574850199</v>
      </c>
      <c r="E411">
        <v>0.132347027324486</v>
      </c>
      <c r="F411">
        <v>0.32844993481904511</v>
      </c>
      <c r="G411">
        <v>0.47655452212071803</v>
      </c>
      <c r="H411">
        <v>0.8057243148373151</v>
      </c>
      <c r="I411">
        <v>2.3365555520908039</v>
      </c>
    </row>
    <row r="412" spans="1:9" x14ac:dyDescent="0.35">
      <c r="A412" s="1" t="s">
        <v>424</v>
      </c>
      <c r="B412" t="str">
        <f>HYPERLINK("https://www.suredividend.com/sure-analysis-research-database/","DHI Group Inc")</f>
        <v>DHI Group Inc</v>
      </c>
      <c r="C412">
        <v>-0.105095541401273</v>
      </c>
      <c r="D412">
        <v>-0.23848238482384801</v>
      </c>
      <c r="E412">
        <v>-0.215083798882681</v>
      </c>
      <c r="F412">
        <v>-0.46880907372400699</v>
      </c>
      <c r="G412">
        <v>-0.49641577060931802</v>
      </c>
      <c r="H412">
        <v>-0.43117408906882498</v>
      </c>
      <c r="I412">
        <v>0.54395604395604402</v>
      </c>
    </row>
    <row r="413" spans="1:9" x14ac:dyDescent="0.35">
      <c r="A413" s="1" t="s">
        <v>425</v>
      </c>
      <c r="B413" t="str">
        <f>HYPERLINK("https://www.suredividend.com/sure-analysis-research-database/","1stdibs.com Inc")</f>
        <v>1stdibs.com Inc</v>
      </c>
      <c r="C413">
        <v>-6.9948186528497006E-2</v>
      </c>
      <c r="D413">
        <v>-0.120098039215686</v>
      </c>
      <c r="E413">
        <v>-6.9948186528497006E-2</v>
      </c>
      <c r="F413">
        <v>-0.29330708661417298</v>
      </c>
      <c r="G413">
        <v>-0.41339869281045699</v>
      </c>
      <c r="H413">
        <v>-0.75726842461122301</v>
      </c>
      <c r="I413">
        <v>-0.87403508771929805</v>
      </c>
    </row>
    <row r="414" spans="1:9" x14ac:dyDescent="0.35">
      <c r="A414" s="1" t="s">
        <v>426</v>
      </c>
      <c r="B414" t="str">
        <f>HYPERLINK("https://www.suredividend.com/sure-analysis-research-database/","DICE Therapeutics Inc")</f>
        <v>DICE Therapeutics Inc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 s="1" t="s">
        <v>427</v>
      </c>
      <c r="B415" t="str">
        <f>HYPERLINK("https://www.suredividend.com/sure-analysis-research-database/","Dine Brands Global Inc")</f>
        <v>Dine Brands Global Inc</v>
      </c>
      <c r="C415">
        <v>-0.131208997188378</v>
      </c>
      <c r="D415">
        <v>-0.211440995881118</v>
      </c>
      <c r="E415">
        <v>-0.30428700300049599</v>
      </c>
      <c r="F415">
        <v>-0.26387208050237698</v>
      </c>
      <c r="G415">
        <v>-0.28459857259279298</v>
      </c>
      <c r="H415">
        <v>-0.38603253828852002</v>
      </c>
      <c r="I415">
        <v>-0.35363401321459298</v>
      </c>
    </row>
    <row r="416" spans="1:9" x14ac:dyDescent="0.35">
      <c r="A416" s="1" t="s">
        <v>428</v>
      </c>
      <c r="B416" t="str">
        <f>HYPERLINK("https://www.suredividend.com/sure-analysis-research-database/","Diodes, Inc.")</f>
        <v>Diodes, Inc.</v>
      </c>
      <c r="C416">
        <v>5.4460580912860006E-3</v>
      </c>
      <c r="D416">
        <v>-0.172111894084988</v>
      </c>
      <c r="E416">
        <v>-8.6367385412984013E-2</v>
      </c>
      <c r="F416">
        <v>1.8387181507747999E-2</v>
      </c>
      <c r="G416">
        <v>0.14823041611135701</v>
      </c>
      <c r="H416">
        <v>-0.114233493260223</v>
      </c>
      <c r="I416">
        <v>1.519987000324992</v>
      </c>
    </row>
    <row r="417" spans="1:9" x14ac:dyDescent="0.35">
      <c r="A417" s="1" t="s">
        <v>429</v>
      </c>
      <c r="B417" t="str">
        <f>HYPERLINK("https://www.suredividend.com/sure-analysis-research-database/","Daily Journal Corporation")</f>
        <v>Daily Journal Corporation</v>
      </c>
      <c r="C417">
        <v>4.3852106620807997E-2</v>
      </c>
      <c r="D417">
        <v>6.1634252133762002E-2</v>
      </c>
      <c r="E417">
        <v>6.7534294759057006E-2</v>
      </c>
      <c r="F417">
        <v>0.21152848189692999</v>
      </c>
      <c r="G417">
        <v>0.19014940590564999</v>
      </c>
      <c r="H417">
        <v>-9.2404306220095003E-2</v>
      </c>
      <c r="I417">
        <v>0.282701491906512</v>
      </c>
    </row>
    <row r="418" spans="1:9" x14ac:dyDescent="0.35">
      <c r="A418" s="1" t="s">
        <v>430</v>
      </c>
      <c r="B418" t="str">
        <f>HYPERLINK("https://www.suredividend.com/sure-analysis-research-database/","Delek US Holdings Inc")</f>
        <v>Delek US Holdings Inc</v>
      </c>
      <c r="C418">
        <v>-0.13004032258064499</v>
      </c>
      <c r="D418">
        <v>0.13082940593237699</v>
      </c>
      <c r="E418">
        <v>0.12321528509885001</v>
      </c>
      <c r="F418">
        <v>-1.3965959164708001E-2</v>
      </c>
      <c r="G418">
        <v>2.0062409380318998E-2</v>
      </c>
      <c r="H418">
        <v>0.27045660868071703</v>
      </c>
      <c r="I418">
        <v>-0.198660410295774</v>
      </c>
    </row>
    <row r="419" spans="1:9" x14ac:dyDescent="0.35">
      <c r="A419" s="1" t="s">
        <v>431</v>
      </c>
      <c r="B419" t="str">
        <f>HYPERLINK("https://www.suredividend.com/sure-analysis-research-database/","Duluth Holdings Inc")</f>
        <v>Duluth Holdings Inc</v>
      </c>
      <c r="C419">
        <v>-9.7643097643097004E-2</v>
      </c>
      <c r="D419">
        <v>-0.143769968051118</v>
      </c>
      <c r="E419">
        <v>-0.16118935837245599</v>
      </c>
      <c r="F419">
        <v>-0.132686084142394</v>
      </c>
      <c r="G419">
        <v>-0.289124668435013</v>
      </c>
      <c r="H419">
        <v>-0.63085399449035806</v>
      </c>
      <c r="I419">
        <v>-0.81549053356282208</v>
      </c>
    </row>
    <row r="420" spans="1:9" x14ac:dyDescent="0.35">
      <c r="A420" s="1" t="s">
        <v>432</v>
      </c>
      <c r="B420" t="str">
        <f>HYPERLINK("https://www.suredividend.com/sure-analysis-research-database/","Deluxe Corp.")</f>
        <v>Deluxe Corp.</v>
      </c>
      <c r="C420">
        <v>-9.4710327455919008E-2</v>
      </c>
      <c r="D420">
        <v>-1.0920059003543999E-2</v>
      </c>
      <c r="E420">
        <v>0.19502836280449201</v>
      </c>
      <c r="F420">
        <v>0.112218309205354</v>
      </c>
      <c r="G420">
        <v>0.21270608242622099</v>
      </c>
      <c r="H420">
        <v>-0.46818270602371098</v>
      </c>
      <c r="I420">
        <v>-0.57112069479879402</v>
      </c>
    </row>
    <row r="421" spans="1:9" x14ac:dyDescent="0.35">
      <c r="A421" s="1" t="s">
        <v>433</v>
      </c>
      <c r="B421" t="str">
        <f>HYPERLINK("https://www.suredividend.com/sure-analysis-research-database/","Desktop Metal Inc")</f>
        <v>Desktop Metal Inc</v>
      </c>
      <c r="C421">
        <v>-0.205298013245033</v>
      </c>
      <c r="D421">
        <v>-0.34426229508196698</v>
      </c>
      <c r="E421">
        <v>-0.45454545454545398</v>
      </c>
      <c r="F421">
        <v>-0.11764705882352899</v>
      </c>
      <c r="G421">
        <v>-0.47598253275109098</v>
      </c>
      <c r="H421">
        <v>-0.82658959537572207</v>
      </c>
      <c r="I421">
        <v>-0.8762886597938141</v>
      </c>
    </row>
    <row r="422" spans="1:9" x14ac:dyDescent="0.35">
      <c r="A422" s="1" t="s">
        <v>434</v>
      </c>
      <c r="B422" t="str">
        <f>HYPERLINK("https://www.suredividend.com/sure-analysis-research-database/","Digimarc Corporation")</f>
        <v>Digimarc Corporation</v>
      </c>
      <c r="C422">
        <v>-0.15721957040572701</v>
      </c>
      <c r="D422">
        <v>-3.4188034188033997E-2</v>
      </c>
      <c r="E422">
        <v>0.59694742792538102</v>
      </c>
      <c r="F422">
        <v>0.52785289345592201</v>
      </c>
      <c r="G422">
        <v>1.1466565349544069</v>
      </c>
      <c r="H422">
        <v>-0.221334068357221</v>
      </c>
      <c r="I422">
        <v>7.9480320978219013E-2</v>
      </c>
    </row>
    <row r="423" spans="1:9" x14ac:dyDescent="0.35">
      <c r="A423" s="1" t="s">
        <v>435</v>
      </c>
      <c r="B423" t="str">
        <f>HYPERLINK("https://www.suredividend.com/sure-analysis-research-database/","Denali Therapeutics Inc")</f>
        <v>Denali Therapeutics Inc</v>
      </c>
      <c r="C423">
        <v>-0.118471337579617</v>
      </c>
      <c r="D423">
        <v>-0.29219229457892898</v>
      </c>
      <c r="E423">
        <v>-0.15985430999595299</v>
      </c>
      <c r="F423">
        <v>-0.25350593311758302</v>
      </c>
      <c r="G423">
        <v>-0.36260362296591903</v>
      </c>
      <c r="H423">
        <v>-0.54433713784021009</v>
      </c>
      <c r="I423">
        <v>0.221176470588235</v>
      </c>
    </row>
    <row r="424" spans="1:9" x14ac:dyDescent="0.35">
      <c r="A424" s="1" t="s">
        <v>436</v>
      </c>
      <c r="B424" t="str">
        <f>HYPERLINK("https://www.suredividend.com/sure-analysis-research-database/","Danimer Scientific Inc")</f>
        <v>Danimer Scientific Inc</v>
      </c>
      <c r="C424">
        <v>-0.15306122448979501</v>
      </c>
      <c r="D424">
        <v>-0.38745387453874502</v>
      </c>
      <c r="E424">
        <v>-0.5941320293398531</v>
      </c>
      <c r="F424">
        <v>-7.2625698324022006E-2</v>
      </c>
      <c r="G424">
        <v>-0.30252100840336099</v>
      </c>
      <c r="H424">
        <v>-0.88488210818307911</v>
      </c>
      <c r="I424">
        <v>-0.82797927461139909</v>
      </c>
    </row>
    <row r="425" spans="1:9" x14ac:dyDescent="0.35">
      <c r="A425" s="1" t="s">
        <v>437</v>
      </c>
      <c r="B425" t="str">
        <f>HYPERLINK("https://www.suredividend.com/sure-analysis-research-database/","NOW Inc")</f>
        <v>NOW Inc</v>
      </c>
      <c r="C425">
        <v>2.3417172593234999E-2</v>
      </c>
      <c r="D425">
        <v>8.9566020313942007E-2</v>
      </c>
      <c r="E425">
        <v>9.2592592592592005E-2</v>
      </c>
      <c r="F425">
        <v>-7.0866141732283006E-2</v>
      </c>
      <c r="G425">
        <v>0.122740247383444</v>
      </c>
      <c r="H425">
        <v>0.28680479825518002</v>
      </c>
      <c r="I425">
        <v>-0.26433915211969999</v>
      </c>
    </row>
    <row r="426" spans="1:9" x14ac:dyDescent="0.35">
      <c r="A426" s="1" t="s">
        <v>438</v>
      </c>
      <c r="B426" t="str">
        <f>HYPERLINK("https://www.suredividend.com/sure-analysis-research-database/","Krispy Kreme Inc")</f>
        <v>Krispy Kreme Inc</v>
      </c>
      <c r="C426">
        <v>-0.10891089108910899</v>
      </c>
      <c r="D426">
        <v>-0.23436334367270001</v>
      </c>
      <c r="E426">
        <v>-0.20836293514665499</v>
      </c>
      <c r="F426">
        <v>0.14478048589571699</v>
      </c>
      <c r="G426">
        <v>-7.7628954567313002E-2</v>
      </c>
      <c r="H426">
        <v>-0.14012317551776299</v>
      </c>
      <c r="I426">
        <v>-0.43043520591957901</v>
      </c>
    </row>
    <row r="427" spans="1:9" x14ac:dyDescent="0.35">
      <c r="A427" s="1" t="s">
        <v>439</v>
      </c>
      <c r="B427" t="str">
        <f>HYPERLINK("https://www.suredividend.com/sure-analysis-research-database/","Diamond Offshore Drilling, Inc.")</f>
        <v>Diamond Offshore Drilling, Inc.</v>
      </c>
      <c r="C427">
        <v>-9.9680511182108009E-2</v>
      </c>
      <c r="D427">
        <v>-6.9966996699669007E-2</v>
      </c>
      <c r="E427">
        <v>0.12810248198558799</v>
      </c>
      <c r="F427">
        <v>0.35480769230769199</v>
      </c>
      <c r="G427">
        <v>0.76125000000000009</v>
      </c>
      <c r="H427">
        <v>14.014919011082689</v>
      </c>
      <c r="I427">
        <v>-0.275578406169665</v>
      </c>
    </row>
    <row r="428" spans="1:9" x14ac:dyDescent="0.35">
      <c r="A428" s="1" t="s">
        <v>440</v>
      </c>
      <c r="B428" t="str">
        <f>HYPERLINK("https://www.suredividend.com/sure-analysis-DOC/","Physicians Realty Trust")</f>
        <v>Physicians Realty Trust</v>
      </c>
      <c r="C428">
        <v>-9.9448499468666005E-2</v>
      </c>
      <c r="D428">
        <v>-0.17767468215461901</v>
      </c>
      <c r="E428">
        <v>-0.165666568453428</v>
      </c>
      <c r="F428">
        <v>-0.14190053141560499</v>
      </c>
      <c r="G428">
        <v>-0.109915131442765</v>
      </c>
      <c r="H428">
        <v>-0.294066142536619</v>
      </c>
      <c r="I428">
        <v>-4.5041784562742E-2</v>
      </c>
    </row>
    <row r="429" spans="1:9" x14ac:dyDescent="0.35">
      <c r="A429" s="1" t="s">
        <v>441</v>
      </c>
      <c r="B429" t="str">
        <f>HYPERLINK("https://www.suredividend.com/sure-analysis-research-database/","DigitalOcean Holdings Inc")</f>
        <v>DigitalOcean Holdings Inc</v>
      </c>
      <c r="C429">
        <v>-5.6743421052631013E-2</v>
      </c>
      <c r="D429">
        <v>-0.50804203302594908</v>
      </c>
      <c r="E429">
        <v>-0.31111111111111101</v>
      </c>
      <c r="F429">
        <v>-9.9332548095798001E-2</v>
      </c>
      <c r="G429">
        <v>-0.31583656427080198</v>
      </c>
      <c r="H429">
        <v>-0.74256536864549405</v>
      </c>
      <c r="I429">
        <v>-0.46023529411764702</v>
      </c>
    </row>
    <row r="430" spans="1:9" x14ac:dyDescent="0.35">
      <c r="A430" s="1" t="s">
        <v>442</v>
      </c>
      <c r="B430" t="str">
        <f>HYPERLINK("https://www.suredividend.com/sure-analysis-research-database/","Doma Holdings Inc")</f>
        <v>Doma Holdings Inc</v>
      </c>
      <c r="C430">
        <v>-0.16078431372549001</v>
      </c>
      <c r="D430">
        <v>-0.37700145560407511</v>
      </c>
      <c r="E430">
        <v>-0.54200107009095699</v>
      </c>
      <c r="F430">
        <v>-0.62199160962684907</v>
      </c>
      <c r="G430">
        <v>-0.60223048327137507</v>
      </c>
      <c r="H430">
        <v>-0.9723870967741931</v>
      </c>
      <c r="I430">
        <v>-0.97497076023391804</v>
      </c>
    </row>
    <row r="431" spans="1:9" x14ac:dyDescent="0.35">
      <c r="A431" s="1" t="s">
        <v>443</v>
      </c>
      <c r="B431" t="str">
        <f>HYPERLINK("https://www.suredividend.com/sure-analysis-research-database/","Domo Inc.")</f>
        <v>Domo Inc.</v>
      </c>
      <c r="C431">
        <v>-0.102538071065989</v>
      </c>
      <c r="D431">
        <v>-0.43837357052096498</v>
      </c>
      <c r="E431">
        <v>-0.43478260869565211</v>
      </c>
      <c r="F431">
        <v>-0.37921348314606701</v>
      </c>
      <c r="G431">
        <v>-0.37658674188998498</v>
      </c>
      <c r="H431">
        <v>-0.89914432401597211</v>
      </c>
      <c r="I431">
        <v>-0.51614668856048107</v>
      </c>
    </row>
    <row r="432" spans="1:9" x14ac:dyDescent="0.35">
      <c r="A432" s="1" t="s">
        <v>444</v>
      </c>
      <c r="B432" t="str">
        <f>HYPERLINK("https://www.suredividend.com/sure-analysis-research-database/","Masonite International Corp")</f>
        <v>Masonite International Corp</v>
      </c>
      <c r="C432">
        <v>-0.116792929292929</v>
      </c>
      <c r="D432">
        <v>-0.179391924919347</v>
      </c>
      <c r="E432">
        <v>-7.950433161530801E-2</v>
      </c>
      <c r="F432">
        <v>4.1310011164867003E-2</v>
      </c>
      <c r="G432">
        <v>0.240248226950354</v>
      </c>
      <c r="H432">
        <v>-0.24262383831092599</v>
      </c>
      <c r="I432">
        <v>0.39597538666223098</v>
      </c>
    </row>
    <row r="433" spans="1:9" x14ac:dyDescent="0.35">
      <c r="A433" s="1" t="s">
        <v>445</v>
      </c>
      <c r="B433" t="str">
        <f>HYPERLINK("https://www.suredividend.com/sure-analysis-research-database/","Dorman Products Inc")</f>
        <v>Dorman Products Inc</v>
      </c>
      <c r="C433">
        <v>-2.6576805696846E-2</v>
      </c>
      <c r="D433">
        <v>-8.7821734985700006E-2</v>
      </c>
      <c r="E433">
        <v>-0.109573106897755</v>
      </c>
      <c r="F433">
        <v>-5.3419067639421003E-2</v>
      </c>
      <c r="G433">
        <v>-0.14916083138823999</v>
      </c>
      <c r="H433">
        <v>-0.23936804451510299</v>
      </c>
      <c r="I433">
        <v>0.113940628637951</v>
      </c>
    </row>
    <row r="434" spans="1:9" x14ac:dyDescent="0.35">
      <c r="A434" s="1" t="s">
        <v>446</v>
      </c>
      <c r="B434" t="str">
        <f>HYPERLINK("https://www.suredividend.com/sure-analysis-research-database/","Douglas Elliman Inc")</f>
        <v>Douglas Elliman Inc</v>
      </c>
      <c r="C434">
        <v>-7.9295154185022004E-2</v>
      </c>
      <c r="D434">
        <v>-0.15384615384615299</v>
      </c>
      <c r="E434">
        <v>-0.29889298892988903</v>
      </c>
      <c r="F434">
        <v>-0.45181765724177703</v>
      </c>
      <c r="G434">
        <v>-0.509999296649708</v>
      </c>
      <c r="H434">
        <v>-0.79810469575633403</v>
      </c>
      <c r="I434">
        <v>-0.79810469575633403</v>
      </c>
    </row>
    <row r="435" spans="1:9" x14ac:dyDescent="0.35">
      <c r="A435" s="1" t="s">
        <v>447</v>
      </c>
      <c r="B435" t="str">
        <f>HYPERLINK("https://www.suredividend.com/sure-analysis-research-database/","Diamondrock Hospitality Co.")</f>
        <v>Diamondrock Hospitality Co.</v>
      </c>
      <c r="C435">
        <v>-3.5162428519284E-2</v>
      </c>
      <c r="D435">
        <v>-1.261018146E-5</v>
      </c>
      <c r="E435">
        <v>-1.4686513754628001E-2</v>
      </c>
      <c r="F435">
        <v>-2.0503952569170002E-2</v>
      </c>
      <c r="G435">
        <v>-1.0790245119440999E-2</v>
      </c>
      <c r="H435">
        <v>-0.129852744310575</v>
      </c>
      <c r="I435">
        <v>-0.18284489509912999</v>
      </c>
    </row>
    <row r="436" spans="1:9" x14ac:dyDescent="0.35">
      <c r="A436" s="1" t="s">
        <v>448</v>
      </c>
      <c r="B436" t="str">
        <f>HYPERLINK("https://www.suredividend.com/sure-analysis-research-database/","Dril-Quip, Inc.")</f>
        <v>Dril-Quip, Inc.</v>
      </c>
      <c r="C436">
        <v>-0.101694915254237</v>
      </c>
      <c r="D436">
        <v>4.2971887550199997E-2</v>
      </c>
      <c r="E436">
        <v>-9.6066829098503004E-2</v>
      </c>
      <c r="F436">
        <v>-4.4166359955833012E-2</v>
      </c>
      <c r="G436">
        <v>0.26930596285434899</v>
      </c>
      <c r="H436">
        <v>2.3246650906224998E-2</v>
      </c>
      <c r="I436">
        <v>-0.44520401623584699</v>
      </c>
    </row>
    <row r="437" spans="1:9" x14ac:dyDescent="0.35">
      <c r="A437" s="1" t="s">
        <v>449</v>
      </c>
      <c r="B437" t="str">
        <f>HYPERLINK("https://www.suredividend.com/sure-analysis-research-database/","Diversey Holdings Ltd")</f>
        <v>Diversey Holdings Ltd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 s="1" t="s">
        <v>450</v>
      </c>
      <c r="B438" t="str">
        <f>HYPERLINK("https://www.suredividend.com/sure-analysis-research-database/","Design Therapeutics Inc")</f>
        <v>Design Therapeutics Inc</v>
      </c>
      <c r="C438">
        <v>-0.167315175097276</v>
      </c>
      <c r="D438">
        <v>-0.691642651296829</v>
      </c>
      <c r="E438">
        <v>-0.58766859344894007</v>
      </c>
      <c r="F438">
        <v>-0.79142300194931703</v>
      </c>
      <c r="G438">
        <v>-0.8643852978453731</v>
      </c>
      <c r="H438">
        <v>-0.84982456140350804</v>
      </c>
      <c r="I438">
        <v>-0.94842130633887611</v>
      </c>
    </row>
    <row r="439" spans="1:9" x14ac:dyDescent="0.35">
      <c r="A439" s="1" t="s">
        <v>451</v>
      </c>
      <c r="B439" t="str">
        <f>HYPERLINK("https://www.suredividend.com/sure-analysis-research-database/","Distribution Solutions Group Inc")</f>
        <v>Distribution Solutions Group Inc</v>
      </c>
      <c r="C439">
        <v>0.25177865612648198</v>
      </c>
      <c r="D439">
        <v>0.213642460241425</v>
      </c>
      <c r="E439">
        <v>0.53364874746369206</v>
      </c>
      <c r="F439">
        <v>0.72878728328747999</v>
      </c>
      <c r="G439">
        <v>1.4490016857668691</v>
      </c>
      <c r="H439">
        <v>-0.38813755795981397</v>
      </c>
      <c r="I439">
        <v>7.574728260869501E-2</v>
      </c>
    </row>
    <row r="440" spans="1:9" x14ac:dyDescent="0.35">
      <c r="A440" s="1" t="s">
        <v>452</v>
      </c>
      <c r="B440" t="str">
        <f>HYPERLINK("https://www.suredividend.com/sure-analysis-research-database/","Daseke Inc")</f>
        <v>Daseke Inc</v>
      </c>
      <c r="C440">
        <v>-0.15356489945155299</v>
      </c>
      <c r="D440">
        <v>-0.36662106703146302</v>
      </c>
      <c r="E440">
        <v>-0.38837516512549503</v>
      </c>
      <c r="F440">
        <v>-0.186291739894551</v>
      </c>
      <c r="G440">
        <v>-0.221848739495798</v>
      </c>
      <c r="H440">
        <v>-0.54607843137254908</v>
      </c>
      <c r="I440">
        <v>-0.37852348993288598</v>
      </c>
    </row>
    <row r="441" spans="1:9" x14ac:dyDescent="0.35">
      <c r="A441" s="1" t="s">
        <v>453</v>
      </c>
      <c r="B441" t="str">
        <f>HYPERLINK("https://www.suredividend.com/sure-analysis-research-database/","Viant Technology Inc")</f>
        <v>Viant Technology Inc</v>
      </c>
      <c r="C441">
        <v>-2.5179856115107001E-2</v>
      </c>
      <c r="D441">
        <v>0.15565031982942401</v>
      </c>
      <c r="E441">
        <v>0.23462414578587701</v>
      </c>
      <c r="F441">
        <v>0.34825870646766099</v>
      </c>
      <c r="G441">
        <v>0.34825870646766099</v>
      </c>
      <c r="H441">
        <v>-0.59278737791134406</v>
      </c>
      <c r="I441">
        <v>-0.88642078792958912</v>
      </c>
    </row>
    <row r="442" spans="1:9" x14ac:dyDescent="0.35">
      <c r="A442" s="1" t="s">
        <v>454</v>
      </c>
      <c r="B442" t="str">
        <f>HYPERLINK("https://www.suredividend.com/sure-analysis-research-database/","Solo Brands Inc")</f>
        <v>Solo Brands Inc</v>
      </c>
      <c r="C442">
        <v>-7.2368421052630999E-2</v>
      </c>
      <c r="D442">
        <v>-0.18809980806141999</v>
      </c>
      <c r="E442">
        <v>-0.49036144578313201</v>
      </c>
      <c r="F442">
        <v>0.13709677419354799</v>
      </c>
      <c r="G442">
        <v>8.4615384615384009E-2</v>
      </c>
      <c r="H442">
        <v>-0.75979557069846604</v>
      </c>
      <c r="I442">
        <v>-0.75979557069846604</v>
      </c>
    </row>
    <row r="443" spans="1:9" x14ac:dyDescent="0.35">
      <c r="A443" s="1" t="s">
        <v>455</v>
      </c>
      <c r="B443" t="str">
        <f>HYPERLINK("https://www.suredividend.com/sure-analysis-research-database/","Duolingo Inc")</f>
        <v>Duolingo Inc</v>
      </c>
      <c r="C443">
        <v>3.572995674794E-3</v>
      </c>
      <c r="D443">
        <v>7.083138251621901E-2</v>
      </c>
      <c r="E443">
        <v>0.18680504077094101</v>
      </c>
      <c r="F443">
        <v>1.250808379024321</v>
      </c>
      <c r="G443">
        <v>1.044438768995019</v>
      </c>
      <c r="H443">
        <v>2.1697511167836001E-2</v>
      </c>
      <c r="I443">
        <v>0.15171570390619299</v>
      </c>
    </row>
    <row r="444" spans="1:9" x14ac:dyDescent="0.35">
      <c r="A444" s="1" t="s">
        <v>456</v>
      </c>
      <c r="B444" t="str">
        <f>HYPERLINK("https://www.suredividend.com/sure-analysis-research-database/","Dynavax Technologies Corp.")</f>
        <v>Dynavax Technologies Corp.</v>
      </c>
      <c r="C444">
        <v>4.3223443223443E-2</v>
      </c>
      <c r="D444">
        <v>2.372393961179E-2</v>
      </c>
      <c r="E444">
        <v>0.28057553956834502</v>
      </c>
      <c r="F444">
        <v>0.33834586466165401</v>
      </c>
      <c r="G444">
        <v>0.32959850606909402</v>
      </c>
      <c r="H444">
        <v>-0.15938606847697701</v>
      </c>
      <c r="I444">
        <v>0.30762167125803402</v>
      </c>
    </row>
    <row r="445" spans="1:9" x14ac:dyDescent="0.35">
      <c r="A445" s="1" t="s">
        <v>457</v>
      </c>
      <c r="B445" t="str">
        <f>HYPERLINK("https://www.suredividend.com/sure-analysis-DX/","Dynex Capital, Inc.")</f>
        <v>Dynex Capital, Inc.</v>
      </c>
      <c r="C445">
        <v>-0.12271325168738299</v>
      </c>
      <c r="D445">
        <v>-5.4951020307449007E-2</v>
      </c>
      <c r="E445">
        <v>2.5105722391734E-2</v>
      </c>
      <c r="F445">
        <v>-8.0118796836680002E-3</v>
      </c>
      <c r="G445">
        <v>0.13242135141528</v>
      </c>
      <c r="H445">
        <v>-0.19646416258138499</v>
      </c>
      <c r="I445">
        <v>0.116856859581251</v>
      </c>
    </row>
    <row r="446" spans="1:9" x14ac:dyDescent="0.35">
      <c r="A446" s="1" t="s">
        <v>458</v>
      </c>
      <c r="B446" t="str">
        <f>HYPERLINK("https://www.suredividend.com/sure-analysis-research-database/","Destination XL Group Inc")</f>
        <v>Destination XL Group Inc</v>
      </c>
      <c r="C446">
        <v>-8.6666666666666003E-2</v>
      </c>
      <c r="D446">
        <v>-0.12923728813559299</v>
      </c>
      <c r="E446">
        <v>-0.16293279022403201</v>
      </c>
      <c r="F446">
        <v>-0.39111111111111102</v>
      </c>
      <c r="G446">
        <v>-0.26607142857142801</v>
      </c>
      <c r="H446">
        <v>-0.32952691680260998</v>
      </c>
      <c r="I446">
        <v>0.63095238095238104</v>
      </c>
    </row>
    <row r="447" spans="1:9" x14ac:dyDescent="0.35">
      <c r="A447" s="1" t="s">
        <v>459</v>
      </c>
      <c r="B447" t="str">
        <f>HYPERLINK("https://www.suredividend.com/sure-analysis-research-database/","DXP Enterprises, Inc.")</f>
        <v>DXP Enterprises, Inc.</v>
      </c>
      <c r="C447">
        <v>-0.115530303030303</v>
      </c>
      <c r="D447">
        <v>-0.124062165058949</v>
      </c>
      <c r="E447">
        <v>0.249617737003058</v>
      </c>
      <c r="F447">
        <v>0.186569872958257</v>
      </c>
      <c r="G447">
        <v>0.32940219601463999</v>
      </c>
      <c r="H447">
        <v>1.395781637717E-2</v>
      </c>
      <c r="I447">
        <v>-0.10658649904345401</v>
      </c>
    </row>
    <row r="448" spans="1:9" x14ac:dyDescent="0.35">
      <c r="A448" s="1" t="s">
        <v>460</v>
      </c>
      <c r="B448" t="str">
        <f>HYPERLINK("https://www.suredividend.com/sure-analysis-research-database/","Dycom Industries, Inc.")</f>
        <v>Dycom Industries, Inc.</v>
      </c>
      <c r="C448">
        <v>-0.139378933250799</v>
      </c>
      <c r="D448">
        <v>-0.22356664184661201</v>
      </c>
      <c r="E448">
        <v>-9.6501678760966006E-2</v>
      </c>
      <c r="F448">
        <v>-0.108760683760683</v>
      </c>
      <c r="G448">
        <v>-0.17683047167949401</v>
      </c>
      <c r="H448">
        <v>0.187304298320523</v>
      </c>
      <c r="I448">
        <v>8.4221471276319002E-2</v>
      </c>
    </row>
    <row r="449" spans="1:9" x14ac:dyDescent="0.35">
      <c r="A449" s="1" t="s">
        <v>461</v>
      </c>
      <c r="B449" t="str">
        <f>HYPERLINK("https://www.suredividend.com/sure-analysis-research-database/","Dyne Therapeutics Inc")</f>
        <v>Dyne Therapeutics Inc</v>
      </c>
      <c r="C449">
        <v>-0.118790496760259</v>
      </c>
      <c r="D449">
        <v>-0.26486486486486399</v>
      </c>
      <c r="E449">
        <v>-0.103296703296703</v>
      </c>
      <c r="F449">
        <v>-0.29594477998274299</v>
      </c>
      <c r="G449">
        <v>-0.38134950720242611</v>
      </c>
      <c r="H449">
        <v>-0.45161290322580611</v>
      </c>
      <c r="I449">
        <v>-0.65857740585774005</v>
      </c>
    </row>
    <row r="450" spans="1:9" x14ac:dyDescent="0.35">
      <c r="A450" s="1" t="s">
        <v>462</v>
      </c>
      <c r="B450" t="str">
        <f>HYPERLINK("https://www.suredividend.com/sure-analysis-research-database/","DZS Inc")</f>
        <v>DZS Inc</v>
      </c>
      <c r="C450">
        <v>-0.31666666666666599</v>
      </c>
      <c r="D450">
        <v>-0.58481012658227804</v>
      </c>
      <c r="E450">
        <v>-0.77379310344827501</v>
      </c>
      <c r="F450">
        <v>-0.87066246056782304</v>
      </c>
      <c r="G450">
        <v>-0.86557377049180306</v>
      </c>
      <c r="H450">
        <v>-0.86148648648648607</v>
      </c>
      <c r="I450">
        <v>-0.88107324147933208</v>
      </c>
    </row>
    <row r="451" spans="1:9" x14ac:dyDescent="0.35">
      <c r="A451" s="1" t="s">
        <v>463</v>
      </c>
      <c r="B451" t="str">
        <f>HYPERLINK("https://www.suredividend.com/sure-analysis-research-database/","GrafTech International Ltd.")</f>
        <v>GrafTech International Ltd.</v>
      </c>
      <c r="C451">
        <v>-0.131979695431472</v>
      </c>
      <c r="D451">
        <v>-0.28451882845188198</v>
      </c>
      <c r="E451">
        <v>-0.32411067193675802</v>
      </c>
      <c r="F451">
        <v>-0.28022729664316498</v>
      </c>
      <c r="G451">
        <v>-0.22332742880501399</v>
      </c>
      <c r="H451">
        <v>-0.68446982627388409</v>
      </c>
      <c r="I451">
        <v>-0.78557052660618309</v>
      </c>
    </row>
    <row r="452" spans="1:9" x14ac:dyDescent="0.35">
      <c r="A452" s="1" t="s">
        <v>464</v>
      </c>
      <c r="B452" t="str">
        <f>HYPERLINK("https://www.suredividend.com/sure-analysis-research-database/","Brinker International, Inc.")</f>
        <v>Brinker International, Inc.</v>
      </c>
      <c r="C452">
        <v>-3.3418204964989998E-2</v>
      </c>
      <c r="D452">
        <v>-0.19994731296101101</v>
      </c>
      <c r="E452">
        <v>-0.185790884718498</v>
      </c>
      <c r="F452">
        <v>-4.8260733312440997E-2</v>
      </c>
      <c r="G452">
        <v>0.15695238095238001</v>
      </c>
      <c r="H452">
        <v>-0.36116954143878799</v>
      </c>
      <c r="I452">
        <v>-0.30298154978162201</v>
      </c>
    </row>
    <row r="453" spans="1:9" x14ac:dyDescent="0.35">
      <c r="A453" s="1" t="s">
        <v>465</v>
      </c>
      <c r="B453" t="str">
        <f>HYPERLINK("https://www.suredividend.com/sure-analysis-research-database/","Eventbrite Inc")</f>
        <v>Eventbrite Inc</v>
      </c>
      <c r="C453">
        <v>-0.12317327766179501</v>
      </c>
      <c r="D453">
        <v>-0.21641791044776101</v>
      </c>
      <c r="E453">
        <v>3.0674846625766E-2</v>
      </c>
      <c r="F453">
        <v>0.43344709897610911</v>
      </c>
      <c r="G453">
        <v>0.41176470588235298</v>
      </c>
      <c r="H453">
        <v>-0.59400676655389006</v>
      </c>
      <c r="I453">
        <v>-0.69849246231155704</v>
      </c>
    </row>
    <row r="454" spans="1:9" x14ac:dyDescent="0.35">
      <c r="A454" s="1" t="s">
        <v>466</v>
      </c>
      <c r="B454" t="str">
        <f>HYPERLINK("https://www.suredividend.com/sure-analysis-research-database/","Eastern Bankshares Inc.")</f>
        <v>Eastern Bankshares Inc.</v>
      </c>
      <c r="C454">
        <v>-0.142231947483588</v>
      </c>
      <c r="D454">
        <v>-8.1206931574917013E-2</v>
      </c>
      <c r="E454">
        <v>4.7185688462257007E-2</v>
      </c>
      <c r="F454">
        <v>-0.29065608280504501</v>
      </c>
      <c r="G454">
        <v>-0.40756861322693699</v>
      </c>
      <c r="H454">
        <v>-0.40438204637311198</v>
      </c>
      <c r="I454">
        <v>4.3422710414707001E-2</v>
      </c>
    </row>
    <row r="455" spans="1:9" x14ac:dyDescent="0.35">
      <c r="A455" s="1" t="s">
        <v>467</v>
      </c>
      <c r="B455" t="str">
        <f>HYPERLINK("https://www.suredividend.com/sure-analysis-EBF/","Ennis Inc.")</f>
        <v>Ennis Inc.</v>
      </c>
      <c r="C455">
        <v>3.2070307982885002E-2</v>
      </c>
      <c r="D455">
        <v>6.5555013879077001E-2</v>
      </c>
      <c r="E455">
        <v>7.6517150395778E-2</v>
      </c>
      <c r="F455">
        <v>1.3221068565076001E-2</v>
      </c>
      <c r="G455">
        <v>8.3635186271930007E-2</v>
      </c>
      <c r="H455">
        <v>0.25317388811532399</v>
      </c>
      <c r="I455">
        <v>0.39670450766492099</v>
      </c>
    </row>
    <row r="456" spans="1:9" x14ac:dyDescent="0.35">
      <c r="A456" s="1" t="s">
        <v>468</v>
      </c>
      <c r="B456" t="str">
        <f>HYPERLINK("https://www.suredividend.com/sure-analysis-research-database/","Ebix Inc.")</f>
        <v>Ebix Inc.</v>
      </c>
      <c r="C456">
        <v>-0.54710397766922503</v>
      </c>
      <c r="D456">
        <v>-0.73777777777777709</v>
      </c>
      <c r="E456">
        <v>-0.63702460850111808</v>
      </c>
      <c r="F456">
        <v>-0.67484969939879702</v>
      </c>
      <c r="G456">
        <v>-0.63944444444444404</v>
      </c>
      <c r="H456">
        <v>-0.7833489117372141</v>
      </c>
      <c r="I456">
        <v>-0.89041456726418011</v>
      </c>
    </row>
    <row r="457" spans="1:9" x14ac:dyDescent="0.35">
      <c r="A457" s="1" t="s">
        <v>469</v>
      </c>
      <c r="B457" t="str">
        <f>HYPERLINK("https://www.suredividend.com/sure-analysis-research-database/","Emergent Biosolutions Inc")</f>
        <v>Emergent Biosolutions Inc</v>
      </c>
      <c r="C457">
        <v>-0.36523929471032701</v>
      </c>
      <c r="D457">
        <v>-0.65048543689320304</v>
      </c>
      <c r="E457">
        <v>-0.78734177215189804</v>
      </c>
      <c r="F457">
        <v>-0.78662150719729007</v>
      </c>
      <c r="G457">
        <v>-0.87030365414307709</v>
      </c>
      <c r="H457">
        <v>-0.95028605247583309</v>
      </c>
      <c r="I457">
        <v>-0.95830575777630711</v>
      </c>
    </row>
    <row r="458" spans="1:9" x14ac:dyDescent="0.35">
      <c r="A458" s="1" t="s">
        <v>470</v>
      </c>
      <c r="B458" t="str">
        <f>HYPERLINK("https://www.suredividend.com/sure-analysis-EBTC/","Enterprise Bancorp, Inc.")</f>
        <v>Enterprise Bancorp, Inc.</v>
      </c>
      <c r="C458">
        <v>-6.0881735479356013E-2</v>
      </c>
      <c r="D458">
        <v>-2.7085024939102E-2</v>
      </c>
      <c r="E458">
        <v>-6.5687332474675009E-2</v>
      </c>
      <c r="F458">
        <v>-0.21016079289968601</v>
      </c>
      <c r="G458">
        <v>-6.4814879338819006E-2</v>
      </c>
      <c r="H458">
        <v>-0.25588719649124703</v>
      </c>
      <c r="I458">
        <v>-3.2604542865999002E-2</v>
      </c>
    </row>
    <row r="459" spans="1:9" x14ac:dyDescent="0.35">
      <c r="A459" s="1" t="s">
        <v>471</v>
      </c>
      <c r="B459" t="str">
        <f>HYPERLINK("https://www.suredividend.com/sure-analysis-research-database/","Encore Capital Group, Inc.")</f>
        <v>Encore Capital Group, Inc.</v>
      </c>
      <c r="C459">
        <v>-4.2256496936400002E-3</v>
      </c>
      <c r="D459">
        <v>-9.0681072737796006E-2</v>
      </c>
      <c r="E459">
        <v>-0.106709628506444</v>
      </c>
      <c r="F459">
        <v>-1.6896120150186999E-2</v>
      </c>
      <c r="G459">
        <v>3.406429635937E-3</v>
      </c>
      <c r="H459">
        <v>-7.8592375366568004E-2</v>
      </c>
      <c r="I459">
        <v>0.56890812250332901</v>
      </c>
    </row>
    <row r="460" spans="1:9" x14ac:dyDescent="0.35">
      <c r="A460" s="1" t="s">
        <v>472</v>
      </c>
      <c r="B460" t="str">
        <f>HYPERLINK("https://www.suredividend.com/sure-analysis-research-database/","Ecovyst Inc")</f>
        <v>Ecovyst Inc</v>
      </c>
      <c r="C460">
        <v>-0.112167300380228</v>
      </c>
      <c r="D460">
        <v>-0.21181434599156099</v>
      </c>
      <c r="E460">
        <v>-0.187826086956521</v>
      </c>
      <c r="F460">
        <v>5.4176072234763013E-2</v>
      </c>
      <c r="G460">
        <v>5.2987598647125003E-2</v>
      </c>
      <c r="H460">
        <v>-0.19965724078834601</v>
      </c>
      <c r="I460">
        <v>-0.31017673951416902</v>
      </c>
    </row>
    <row r="461" spans="1:9" x14ac:dyDescent="0.35">
      <c r="A461" s="1" t="s">
        <v>473</v>
      </c>
      <c r="B461" t="str">
        <f>HYPERLINK("https://www.suredividend.com/sure-analysis-research-database/","Editas Medicine Inc")</f>
        <v>Editas Medicine Inc</v>
      </c>
      <c r="C461">
        <v>-0.159713945172824</v>
      </c>
      <c r="D461">
        <v>-0.18118466898954699</v>
      </c>
      <c r="E461">
        <v>-7.1146245059288002E-2</v>
      </c>
      <c r="F461">
        <v>-0.205186020293122</v>
      </c>
      <c r="G461">
        <v>-0.38049209138840001</v>
      </c>
      <c r="H461">
        <v>-0.81457127827459208</v>
      </c>
      <c r="I461">
        <v>-0.7398523985239851</v>
      </c>
    </row>
    <row r="462" spans="1:9" x14ac:dyDescent="0.35">
      <c r="A462" s="1" t="s">
        <v>474</v>
      </c>
      <c r="B462" t="str">
        <f>HYPERLINK("https://www.suredividend.com/sure-analysis-research-database/","Excelerate Energy Inc")</f>
        <v>Excelerate Energy Inc</v>
      </c>
      <c r="C462">
        <v>-0.157340720221606</v>
      </c>
      <c r="D462">
        <v>-0.22808335278773001</v>
      </c>
      <c r="E462">
        <v>-0.34778134165794711</v>
      </c>
      <c r="F462">
        <v>-0.39060546812397801</v>
      </c>
      <c r="G462">
        <v>-0.33131687930291598</v>
      </c>
      <c r="H462">
        <v>-0.43037121371003911</v>
      </c>
      <c r="I462">
        <v>-0.43037121371003911</v>
      </c>
    </row>
    <row r="463" spans="1:9" x14ac:dyDescent="0.35">
      <c r="A463" s="1" t="s">
        <v>475</v>
      </c>
      <c r="B463" t="str">
        <f>HYPERLINK("https://www.suredividend.com/sure-analysis-EFC/","Ellington Financial Inc")</f>
        <v>Ellington Financial Inc</v>
      </c>
      <c r="C463">
        <v>-5.3328412950648003E-2</v>
      </c>
      <c r="D463">
        <v>-6.0713618531664001E-2</v>
      </c>
      <c r="E463">
        <v>0.109502709763976</v>
      </c>
      <c r="F463">
        <v>0.12743515229792199</v>
      </c>
      <c r="G463">
        <v>0.22980892467542599</v>
      </c>
      <c r="H463">
        <v>-0.114327184589152</v>
      </c>
      <c r="I463">
        <v>0.33083470969381201</v>
      </c>
    </row>
    <row r="464" spans="1:9" x14ac:dyDescent="0.35">
      <c r="A464" s="1" t="s">
        <v>476</v>
      </c>
      <c r="B464" t="str">
        <f>HYPERLINK("https://www.suredividend.com/sure-analysis-research-database/","Enterprise Financial Services Corp.")</f>
        <v>Enterprise Financial Services Corp.</v>
      </c>
      <c r="C464">
        <v>-4.8780487804878002E-2</v>
      </c>
      <c r="D464">
        <v>-0.112537764350453</v>
      </c>
      <c r="E464">
        <v>-0.12859312715266699</v>
      </c>
      <c r="F464">
        <v>-0.22834861130113501</v>
      </c>
      <c r="G464">
        <v>-0.20183582115548701</v>
      </c>
      <c r="H464">
        <v>-0.19297851685037001</v>
      </c>
      <c r="I464">
        <v>-0.17576487939996699</v>
      </c>
    </row>
    <row r="465" spans="1:9" x14ac:dyDescent="0.35">
      <c r="A465" s="1" t="s">
        <v>477</v>
      </c>
      <c r="B465" t="str">
        <f>HYPERLINK("https://www.suredividend.com/sure-analysis-research-database/","eGain Corp")</f>
        <v>eGain Corp</v>
      </c>
      <c r="C465">
        <v>4.8275862068965003E-2</v>
      </c>
      <c r="D465">
        <v>-0.152022315202231</v>
      </c>
      <c r="E465">
        <v>-0.178378378378378</v>
      </c>
      <c r="F465">
        <v>-0.32668881506090802</v>
      </c>
      <c r="G465">
        <v>-0.16826265389876799</v>
      </c>
      <c r="H465">
        <v>-0.39801980198019798</v>
      </c>
      <c r="I465">
        <v>-0.176151761517615</v>
      </c>
    </row>
    <row r="466" spans="1:9" x14ac:dyDescent="0.35">
      <c r="A466" s="1" t="s">
        <v>478</v>
      </c>
      <c r="B466" t="str">
        <f>HYPERLINK("https://www.suredividend.com/sure-analysis-research-database/","Eagle Bancorp Inc (MD)")</f>
        <v>Eagle Bancorp Inc (MD)</v>
      </c>
      <c r="C466">
        <v>-0.16275021758050401</v>
      </c>
      <c r="D466">
        <v>-0.148118466436133</v>
      </c>
      <c r="E466">
        <v>-0.36115602867493002</v>
      </c>
      <c r="F466">
        <v>-0.53626262382800205</v>
      </c>
      <c r="G466">
        <v>-0.56021248777098109</v>
      </c>
      <c r="H466">
        <v>-0.63478709834173608</v>
      </c>
      <c r="I466">
        <v>-0.54681213902786008</v>
      </c>
    </row>
    <row r="467" spans="1:9" x14ac:dyDescent="0.35">
      <c r="A467" s="1" t="s">
        <v>479</v>
      </c>
      <c r="B467" t="str">
        <f>HYPERLINK("https://www.suredividend.com/sure-analysis-research-database/","8X8 Inc.")</f>
        <v>8X8 Inc.</v>
      </c>
      <c r="C467">
        <v>-9.5057034220532008E-2</v>
      </c>
      <c r="D467">
        <v>-0.47228381374722811</v>
      </c>
      <c r="E467">
        <v>-0.37532808398950102</v>
      </c>
      <c r="F467">
        <v>-0.44907407407407401</v>
      </c>
      <c r="G467">
        <v>-0.22977346278317101</v>
      </c>
      <c r="H467">
        <v>-0.90103950103950103</v>
      </c>
      <c r="I467">
        <v>-0.86923076923076903</v>
      </c>
    </row>
    <row r="468" spans="1:9" x14ac:dyDescent="0.35">
      <c r="A468" s="1" t="s">
        <v>480</v>
      </c>
      <c r="B468" t="str">
        <f>HYPERLINK("https://www.suredividend.com/sure-analysis-research-database/","Edgio Inc")</f>
        <v>Edgio Inc</v>
      </c>
      <c r="C468">
        <v>0.116903633491311</v>
      </c>
      <c r="D468">
        <v>5.1952882827030013E-2</v>
      </c>
      <c r="E468">
        <v>0.232781168265039</v>
      </c>
      <c r="F468">
        <v>-0.249203539823008</v>
      </c>
      <c r="G468">
        <v>-0.67369230769230704</v>
      </c>
      <c r="H468">
        <v>-0.70335664335664305</v>
      </c>
      <c r="I468">
        <v>-0.82685714285714207</v>
      </c>
    </row>
    <row r="469" spans="1:9" x14ac:dyDescent="0.35">
      <c r="A469" s="1" t="s">
        <v>481</v>
      </c>
      <c r="B469" t="str">
        <f>HYPERLINK("https://www.suredividend.com/sure-analysis-research-database/","Eagle Bulk Shipping Inc")</f>
        <v>Eagle Bulk Shipping Inc</v>
      </c>
      <c r="C469">
        <v>2.6897214217097998E-2</v>
      </c>
      <c r="D469">
        <v>-2.2668781627269999E-2</v>
      </c>
      <c r="E469">
        <v>-7.8968341152194005E-2</v>
      </c>
      <c r="F469">
        <v>-0.12006321716082501</v>
      </c>
      <c r="G469">
        <v>-8.1922723486117011E-2</v>
      </c>
      <c r="H469">
        <v>0.19622779802885301</v>
      </c>
      <c r="I469">
        <v>0.46429831139967798</v>
      </c>
    </row>
    <row r="470" spans="1:9" x14ac:dyDescent="0.35">
      <c r="A470" s="1" t="s">
        <v>482</v>
      </c>
      <c r="B470" t="str">
        <f>HYPERLINK("https://www.suredividend.com/sure-analysis-research-database/","Eagle Pharmaceuticals Inc")</f>
        <v>Eagle Pharmaceuticals Inc</v>
      </c>
      <c r="C470">
        <v>-0.17149907464528</v>
      </c>
      <c r="D470">
        <v>-0.26891671203048401</v>
      </c>
      <c r="E470">
        <v>-0.54796364860316304</v>
      </c>
      <c r="F470">
        <v>-0.54054054054054002</v>
      </c>
      <c r="G470">
        <v>-0.51340579710144907</v>
      </c>
      <c r="H470">
        <v>-0.75303420375137908</v>
      </c>
      <c r="I470">
        <v>-0.77750165672630811</v>
      </c>
    </row>
    <row r="471" spans="1:9" x14ac:dyDescent="0.35">
      <c r="A471" s="1" t="s">
        <v>483</v>
      </c>
      <c r="B471" t="str">
        <f>HYPERLINK("https://www.suredividend.com/sure-analysis-research-database/","VAALCO Energy, Inc.")</f>
        <v>VAALCO Energy, Inc.</v>
      </c>
      <c r="C471">
        <v>-3.4722222222222002E-2</v>
      </c>
      <c r="D471">
        <v>6.4889297479506003E-2</v>
      </c>
      <c r="E471">
        <v>-3.2819204453206012E-2</v>
      </c>
      <c r="F471">
        <v>-4.3928833455612E-2</v>
      </c>
      <c r="G471">
        <v>-0.18623031438440299</v>
      </c>
      <c r="H471">
        <v>0.37741956794609199</v>
      </c>
      <c r="I471">
        <v>0.82902758892933903</v>
      </c>
    </row>
    <row r="472" spans="1:9" x14ac:dyDescent="0.35">
      <c r="A472" s="1" t="s">
        <v>484</v>
      </c>
      <c r="B472" t="str">
        <f>HYPERLINK("https://www.suredividend.com/sure-analysis-research-database/","eHealth Inc")</f>
        <v>eHealth Inc</v>
      </c>
      <c r="C472">
        <v>0.16170212765957401</v>
      </c>
      <c r="D472">
        <v>4.1984732824427003E-2</v>
      </c>
      <c r="E472">
        <v>-3.0769230769230001E-2</v>
      </c>
      <c r="F472">
        <v>0.69214876033057804</v>
      </c>
      <c r="G472">
        <v>1.6764705882352939</v>
      </c>
      <c r="H472">
        <v>-0.82011860311882201</v>
      </c>
      <c r="I472">
        <v>-0.70864461045891103</v>
      </c>
    </row>
    <row r="473" spans="1:9" x14ac:dyDescent="0.35">
      <c r="A473" s="1" t="s">
        <v>485</v>
      </c>
      <c r="B473" t="str">
        <f>HYPERLINK("https://www.suredividend.com/sure-analysis-research-database/","Employers Holdings Inc")</f>
        <v>Employers Holdings Inc</v>
      </c>
      <c r="C473">
        <v>-3.7453183520590001E-3</v>
      </c>
      <c r="D473">
        <v>0.122738694527844</v>
      </c>
      <c r="E473">
        <v>-3.8776572166437998E-2</v>
      </c>
      <c r="F473">
        <v>-5.5916258115807013E-2</v>
      </c>
      <c r="G473">
        <v>0.18209963411201699</v>
      </c>
      <c r="H473">
        <v>0.102069902719543</v>
      </c>
      <c r="I473">
        <v>0.123684106769703</v>
      </c>
    </row>
    <row r="474" spans="1:9" x14ac:dyDescent="0.35">
      <c r="A474" s="1" t="s">
        <v>486</v>
      </c>
      <c r="B474" t="str">
        <f>HYPERLINK("https://www.suredividend.com/sure-analysis-research-database/","Eiger BioPharmaceuticals Inc")</f>
        <v>Eiger BioPharmaceuticals Inc</v>
      </c>
      <c r="C474">
        <v>-0.37902825979176902</v>
      </c>
      <c r="D474">
        <v>-0.67946257197696702</v>
      </c>
      <c r="E474">
        <v>-0.77018348623853206</v>
      </c>
      <c r="F474">
        <v>-0.78771186440677909</v>
      </c>
      <c r="G474">
        <v>-0.95750636132315503</v>
      </c>
      <c r="H474">
        <v>-0.96175572519083907</v>
      </c>
      <c r="I474">
        <v>-0.97532019704433404</v>
      </c>
    </row>
    <row r="475" spans="1:9" x14ac:dyDescent="0.35">
      <c r="A475" s="1" t="s">
        <v>487</v>
      </c>
      <c r="B475" t="str">
        <f>HYPERLINK("https://www.suredividend.com/sure-analysis-research-database/","e.l.f. Beauty Inc")</f>
        <v>e.l.f. Beauty Inc</v>
      </c>
      <c r="C475">
        <v>-0.19384590919933201</v>
      </c>
      <c r="D475">
        <v>-0.122923875432525</v>
      </c>
      <c r="E475">
        <v>0.124805857554914</v>
      </c>
      <c r="F475">
        <v>0.83345388788426711</v>
      </c>
      <c r="G475">
        <v>1.5746571863890291</v>
      </c>
      <c r="H475">
        <v>2.4817994505494498</v>
      </c>
      <c r="I475">
        <v>7.8318815331010452</v>
      </c>
    </row>
    <row r="476" spans="1:9" x14ac:dyDescent="0.35">
      <c r="A476" s="1" t="s">
        <v>488</v>
      </c>
      <c r="B476" t="str">
        <f>HYPERLINK("https://www.suredividend.com/sure-analysis-research-database/","Elme Communities")</f>
        <v>Elme Communities</v>
      </c>
      <c r="C476">
        <v>-5.0981672721334997E-2</v>
      </c>
      <c r="D476">
        <v>-0.146742022496651</v>
      </c>
      <c r="E476">
        <v>-0.18788168105581199</v>
      </c>
      <c r="F476">
        <v>-0.18918918918918901</v>
      </c>
      <c r="G476">
        <v>-0.186114352392065</v>
      </c>
      <c r="H476">
        <v>-0.43700283718283411</v>
      </c>
      <c r="I476">
        <v>-0.40858756295680698</v>
      </c>
    </row>
    <row r="477" spans="1:9" x14ac:dyDescent="0.35">
      <c r="A477" s="1" t="s">
        <v>489</v>
      </c>
      <c r="B477" t="str">
        <f>HYPERLINK("https://www.suredividend.com/sure-analysis-research-database/","Embecta Corp")</f>
        <v>Embecta Corp</v>
      </c>
      <c r="C477">
        <v>-6.0773480662983007E-2</v>
      </c>
      <c r="D477">
        <v>-0.27068884153927503</v>
      </c>
      <c r="E477">
        <v>-0.44493018092373698</v>
      </c>
      <c r="F477">
        <v>-0.37837980587573211</v>
      </c>
      <c r="G477">
        <v>-0.45037970500118502</v>
      </c>
      <c r="H477">
        <v>-0.47913297769123098</v>
      </c>
      <c r="I477">
        <v>-0.47913297769123098</v>
      </c>
    </row>
    <row r="478" spans="1:9" x14ac:dyDescent="0.35">
      <c r="A478" s="1" t="s">
        <v>490</v>
      </c>
      <c r="B478" t="str">
        <f>HYPERLINK("https://www.suredividend.com/sure-analysis-research-database/","Emcor Group, Inc.")</f>
        <v>Emcor Group, Inc.</v>
      </c>
      <c r="C478">
        <v>-5.0098131135546002E-2</v>
      </c>
      <c r="D478">
        <v>7.8361351939096005E-2</v>
      </c>
      <c r="E478">
        <v>0.298100463029004</v>
      </c>
      <c r="F478">
        <v>0.36939501779359402</v>
      </c>
      <c r="G478">
        <v>0.66519671279848902</v>
      </c>
      <c r="H478">
        <v>0.75318775215850708</v>
      </c>
      <c r="I478">
        <v>1.987957652111922</v>
      </c>
    </row>
    <row r="479" spans="1:9" x14ac:dyDescent="0.35">
      <c r="A479" s="1" t="s">
        <v>491</v>
      </c>
      <c r="B479" t="str">
        <f>HYPERLINK("https://www.suredividend.com/sure-analysis-research-database/","Enfusion Inc")</f>
        <v>Enfusion Inc</v>
      </c>
      <c r="C479">
        <v>-2.2909507445579998E-3</v>
      </c>
      <c r="D479">
        <v>-0.229885057471264</v>
      </c>
      <c r="E479">
        <v>-9.7409326424870005E-2</v>
      </c>
      <c r="F479">
        <v>-9.9276111685625001E-2</v>
      </c>
      <c r="G479">
        <v>-0.208181818181818</v>
      </c>
      <c r="H479">
        <v>-0.56032306915699104</v>
      </c>
      <c r="I479">
        <v>-0.56032306915699104</v>
      </c>
    </row>
    <row r="480" spans="1:9" x14ac:dyDescent="0.35">
      <c r="A480" s="1" t="s">
        <v>492</v>
      </c>
      <c r="B480" t="str">
        <f>HYPERLINK("https://www.suredividend.com/sure-analysis-research-database/","Enochian Biosciences Inc")</f>
        <v>Enochian Biosciences Inc</v>
      </c>
      <c r="C480">
        <v>0.53172866520787709</v>
      </c>
      <c r="D480">
        <v>-0.44000000000000011</v>
      </c>
      <c r="E480">
        <v>-0.36363636363636298</v>
      </c>
      <c r="F480">
        <v>-0.32038834951456302</v>
      </c>
      <c r="G480">
        <v>-0.75524475524475509</v>
      </c>
      <c r="H480">
        <v>-0.87868284228769511</v>
      </c>
      <c r="I480">
        <v>-0.91666666666666607</v>
      </c>
    </row>
    <row r="481" spans="1:9" x14ac:dyDescent="0.35">
      <c r="A481" s="1" t="s">
        <v>493</v>
      </c>
      <c r="B481" t="str">
        <f>HYPERLINK("https://www.suredividend.com/sure-analysis-research-database/","Energizer Holdings Inc")</f>
        <v>Energizer Holdings Inc</v>
      </c>
      <c r="C481">
        <v>-9.632224168126001E-2</v>
      </c>
      <c r="D481">
        <v>-7.4375816573336001E-2</v>
      </c>
      <c r="E481">
        <v>-4.7640172044660003E-3</v>
      </c>
      <c r="F481">
        <v>-5.3167576494334012E-2</v>
      </c>
      <c r="G481">
        <v>0.20155083887342901</v>
      </c>
      <c r="H481">
        <v>-0.12489965742195799</v>
      </c>
      <c r="I481">
        <v>-0.40158070832278298</v>
      </c>
    </row>
    <row r="482" spans="1:9" x14ac:dyDescent="0.35">
      <c r="A482" s="1" t="s">
        <v>494</v>
      </c>
      <c r="B482" t="str">
        <f>HYPERLINK("https://www.suredividend.com/sure-analysis-research-database/","Enersys")</f>
        <v>Enersys</v>
      </c>
      <c r="C482">
        <v>-3.6512205213074002E-2</v>
      </c>
      <c r="D482">
        <v>-0.156391365577326</v>
      </c>
      <c r="E482">
        <v>0.14264895836783301</v>
      </c>
      <c r="F482">
        <v>0.26935545632068097</v>
      </c>
      <c r="G482">
        <v>0.59350895290295702</v>
      </c>
      <c r="H482">
        <v>0.206989264727795</v>
      </c>
      <c r="I482">
        <v>0.212215067644594</v>
      </c>
    </row>
    <row r="483" spans="1:9" x14ac:dyDescent="0.35">
      <c r="A483" s="1" t="s">
        <v>495</v>
      </c>
      <c r="B483" t="str">
        <f>HYPERLINK("https://www.suredividend.com/sure-analysis-ENSG/","Ensign Group Inc")</f>
        <v>Ensign Group Inc</v>
      </c>
      <c r="C483">
        <v>2.9889850028482001E-2</v>
      </c>
      <c r="D483">
        <v>4.9990942675369007E-2</v>
      </c>
      <c r="E483">
        <v>-2.6338936669271999E-2</v>
      </c>
      <c r="F483">
        <v>1.4022863225661E-2</v>
      </c>
      <c r="G483">
        <v>0.15797018626320899</v>
      </c>
      <c r="H483">
        <v>0.32144712553471311</v>
      </c>
      <c r="I483">
        <v>1.755624193250968</v>
      </c>
    </row>
    <row r="484" spans="1:9" x14ac:dyDescent="0.35">
      <c r="A484" s="1" t="s">
        <v>496</v>
      </c>
      <c r="B484" t="str">
        <f>HYPERLINK("https://www.suredividend.com/sure-analysis-research-database/","Enanta Pharmaceuticals Inc")</f>
        <v>Enanta Pharmaceuticals Inc</v>
      </c>
      <c r="C484">
        <v>-0.243519245875883</v>
      </c>
      <c r="D484">
        <v>-0.49895941727367299</v>
      </c>
      <c r="E484">
        <v>-0.73638105666575404</v>
      </c>
      <c r="F484">
        <v>-0.79299226139294909</v>
      </c>
      <c r="G484">
        <v>-0.79488817891373809</v>
      </c>
      <c r="H484">
        <v>-0.86525815027284103</v>
      </c>
      <c r="I484">
        <v>-0.87348922753547009</v>
      </c>
    </row>
    <row r="485" spans="1:9" x14ac:dyDescent="0.35">
      <c r="A485" s="1" t="s">
        <v>497</v>
      </c>
      <c r="B485" t="str">
        <f>HYPERLINK("https://www.suredividend.com/sure-analysis-research-database/","Envestnet Inc.")</f>
        <v>Envestnet Inc.</v>
      </c>
      <c r="C485">
        <v>-0.175276025236593</v>
      </c>
      <c r="D485">
        <v>-0.30213546880213499</v>
      </c>
      <c r="E485">
        <v>-0.34783286560648502</v>
      </c>
      <c r="F485">
        <v>-0.32204213938411602</v>
      </c>
      <c r="G485">
        <v>-4.8236632536973002E-2</v>
      </c>
      <c r="H485">
        <v>-0.49832094027344598</v>
      </c>
      <c r="I485">
        <v>-0.25076123947698298</v>
      </c>
    </row>
    <row r="486" spans="1:9" x14ac:dyDescent="0.35">
      <c r="A486" s="1" t="s">
        <v>498</v>
      </c>
      <c r="B486" t="str">
        <f>HYPERLINK("https://www.suredividend.com/sure-analysis-research-database/","Enova International Inc.")</f>
        <v>Enova International Inc.</v>
      </c>
      <c r="C486">
        <v>-4.2075736325380003E-3</v>
      </c>
      <c r="D486">
        <v>-9.9637681159420011E-2</v>
      </c>
      <c r="E486">
        <v>8.2081428260396008E-2</v>
      </c>
      <c r="F486">
        <v>0.29528277299973898</v>
      </c>
      <c r="G486">
        <v>0.58482142857142805</v>
      </c>
      <c r="H486">
        <v>0.37864077669902901</v>
      </c>
      <c r="I486">
        <v>1.065669160432253</v>
      </c>
    </row>
    <row r="487" spans="1:9" x14ac:dyDescent="0.35">
      <c r="A487" s="1" t="s">
        <v>499</v>
      </c>
      <c r="B487" t="str">
        <f>HYPERLINK("https://www.suredividend.com/sure-analysis-research-database/","Enovix Corporation")</f>
        <v>Enovix Corporation</v>
      </c>
      <c r="C487">
        <v>-0.305593451568894</v>
      </c>
      <c r="D487">
        <v>-0.50462287104622805</v>
      </c>
      <c r="E487">
        <v>-0.25584795321637399</v>
      </c>
      <c r="F487">
        <v>-0.18167202572347199</v>
      </c>
      <c r="G487">
        <v>-0.38077858880778498</v>
      </c>
      <c r="H487">
        <v>-0.51245210727969304</v>
      </c>
      <c r="I487">
        <v>-0.18884462151394399</v>
      </c>
    </row>
    <row r="488" spans="1:9" x14ac:dyDescent="0.35">
      <c r="A488" s="1" t="s">
        <v>500</v>
      </c>
      <c r="B488" t="str">
        <f>HYPERLINK("https://www.suredividend.com/sure-analysis-research-database/","Evolus Inc")</f>
        <v>Evolus Inc</v>
      </c>
      <c r="C488">
        <v>-0.13771186440677899</v>
      </c>
      <c r="D488">
        <v>0.1</v>
      </c>
      <c r="E488">
        <v>-2.979737783075E-2</v>
      </c>
      <c r="F488">
        <v>8.3888149134487E-2</v>
      </c>
      <c r="G488">
        <v>-2.2809123649459001E-2</v>
      </c>
      <c r="H488">
        <v>6.1277705345501997E-2</v>
      </c>
      <c r="I488">
        <v>-0.38098859315589301</v>
      </c>
    </row>
    <row r="489" spans="1:9" x14ac:dyDescent="0.35">
      <c r="A489" s="1" t="s">
        <v>501</v>
      </c>
      <c r="B489" t="str">
        <f>HYPERLINK("https://www.suredividend.com/sure-analysis-research-database/","Empire Petroleum Corporation")</f>
        <v>Empire Petroleum Corporation</v>
      </c>
      <c r="C489">
        <v>5.3872053872053002E-2</v>
      </c>
      <c r="D489">
        <v>0.104705882352941</v>
      </c>
      <c r="E489">
        <v>-0.260047281323877</v>
      </c>
      <c r="F489">
        <v>-0.236585365853658</v>
      </c>
      <c r="G489">
        <v>-0.36209239130434701</v>
      </c>
      <c r="H489">
        <v>36.56</v>
      </c>
      <c r="I489">
        <v>36.56</v>
      </c>
    </row>
    <row r="490" spans="1:9" x14ac:dyDescent="0.35">
      <c r="A490" s="1" t="s">
        <v>502</v>
      </c>
      <c r="B490" t="str">
        <f>HYPERLINK("https://www.suredividend.com/sure-analysis-research-database/","Enerpac Tool Group Corp")</f>
        <v>Enerpac Tool Group Corp</v>
      </c>
      <c r="C490">
        <v>-4.7797618391108007E-2</v>
      </c>
      <c r="D490">
        <v>-3.3246611697342013E-2</v>
      </c>
      <c r="E490">
        <v>7.7604140662705004E-2</v>
      </c>
      <c r="F490">
        <v>1.9171441163508E-2</v>
      </c>
      <c r="G490">
        <v>0.20529585592293501</v>
      </c>
      <c r="H490">
        <v>0.30593722425311898</v>
      </c>
      <c r="I490">
        <v>5.3689336582547001E-2</v>
      </c>
    </row>
    <row r="491" spans="1:9" x14ac:dyDescent="0.35">
      <c r="A491" s="1" t="s">
        <v>503</v>
      </c>
      <c r="B491" t="str">
        <f>HYPERLINK("https://www.suredividend.com/sure-analysis-research-database/","Edgewell Personal Care Co")</f>
        <v>Edgewell Personal Care Co</v>
      </c>
      <c r="C491">
        <v>-0.105534105534105</v>
      </c>
      <c r="D491">
        <v>-9.6186557498140007E-2</v>
      </c>
      <c r="E491">
        <v>-0.17745444044415001</v>
      </c>
      <c r="F491">
        <v>-8.8235216947542008E-2</v>
      </c>
      <c r="G491">
        <v>-8.8251962554048005E-2</v>
      </c>
      <c r="H491">
        <v>2.0749861941744999E-2</v>
      </c>
      <c r="I491">
        <v>-0.21753267223288</v>
      </c>
    </row>
    <row r="492" spans="1:9" x14ac:dyDescent="0.35">
      <c r="A492" s="1" t="s">
        <v>504</v>
      </c>
      <c r="B492" t="str">
        <f>HYPERLINK("https://www.suredividend.com/sure-analysis-EPRT/","Essential Properties Realty Trust Inc")</f>
        <v>Essential Properties Realty Trust Inc</v>
      </c>
      <c r="C492">
        <v>-7.7762383096640006E-2</v>
      </c>
      <c r="D492">
        <v>-0.119525453155033</v>
      </c>
      <c r="E492">
        <v>-9.3354672841503006E-2</v>
      </c>
      <c r="F492">
        <v>-5.8700830376120998E-2</v>
      </c>
      <c r="G492">
        <v>0.16574993842870001</v>
      </c>
      <c r="H492">
        <v>-0.194993083743395</v>
      </c>
      <c r="I492">
        <v>0.94869355192856608</v>
      </c>
    </row>
    <row r="493" spans="1:9" x14ac:dyDescent="0.35">
      <c r="A493" s="1" t="s">
        <v>505</v>
      </c>
      <c r="B493" t="str">
        <f>HYPERLINK("https://www.suredividend.com/sure-analysis-research-database/","Equity Bancshares Inc")</f>
        <v>Equity Bancshares Inc</v>
      </c>
      <c r="C493">
        <v>-1.1980513024458E-2</v>
      </c>
      <c r="D493">
        <v>-8.5880061163300006E-4</v>
      </c>
      <c r="E493">
        <v>-1.2320115954032001E-2</v>
      </c>
      <c r="F493">
        <v>-0.25690054307016902</v>
      </c>
      <c r="G493">
        <v>-0.25229249941217902</v>
      </c>
      <c r="H493">
        <v>-0.28603716199023399</v>
      </c>
      <c r="I493">
        <v>-0.343053026776442</v>
      </c>
    </row>
    <row r="494" spans="1:9" x14ac:dyDescent="0.35">
      <c r="A494" s="1" t="s">
        <v>506</v>
      </c>
      <c r="B494" t="str">
        <f>HYPERLINK("https://www.suredividend.com/sure-analysis-research-database/","Equity Commonwealth")</f>
        <v>Equity Commonwealth</v>
      </c>
      <c r="C494">
        <v>-1.9047619047618002E-2</v>
      </c>
      <c r="D494">
        <v>-9.4284318514899004E-2</v>
      </c>
      <c r="E494">
        <v>-0.103047895500725</v>
      </c>
      <c r="F494">
        <v>-0.111686071582578</v>
      </c>
      <c r="G494">
        <v>-8.1905516490046001E-2</v>
      </c>
      <c r="H494">
        <v>-0.14552367784306899</v>
      </c>
      <c r="I494">
        <v>8.1182336724540012E-3</v>
      </c>
    </row>
    <row r="495" spans="1:9" x14ac:dyDescent="0.35">
      <c r="A495" s="1" t="s">
        <v>507</v>
      </c>
      <c r="B495" t="str">
        <f>HYPERLINK("https://www.suredividend.com/sure-analysis-research-database/","EQRx Inc")</f>
        <v>EQRx Inc</v>
      </c>
      <c r="C495">
        <v>2.2026431718060999E-2</v>
      </c>
      <c r="D495">
        <v>0.154228855721393</v>
      </c>
      <c r="E495">
        <v>0.29608938547486002</v>
      </c>
      <c r="F495">
        <v>-5.6910569105691013E-2</v>
      </c>
      <c r="G495">
        <v>-0.53131313131313107</v>
      </c>
      <c r="H495">
        <v>-0.71603427172582601</v>
      </c>
      <c r="I495">
        <v>-0.71603427172582601</v>
      </c>
    </row>
    <row r="496" spans="1:9" x14ac:dyDescent="0.35">
      <c r="A496" s="1" t="s">
        <v>508</v>
      </c>
      <c r="B496" t="str">
        <f>HYPERLINK("https://www.suredividend.com/sure-analysis-research-database/","Erasca Inc")</f>
        <v>Erasca Inc</v>
      </c>
      <c r="C496">
        <v>-9.3023255813953001E-2</v>
      </c>
      <c r="D496">
        <v>-0.110266159695817</v>
      </c>
      <c r="E496">
        <v>-0.198630136986301</v>
      </c>
      <c r="F496">
        <v>-0.45707656612529002</v>
      </c>
      <c r="G496">
        <v>-0.67272727272727206</v>
      </c>
      <c r="H496">
        <v>-0.86853932584269611</v>
      </c>
      <c r="I496">
        <v>-0.86574870912220303</v>
      </c>
    </row>
    <row r="497" spans="1:9" x14ac:dyDescent="0.35">
      <c r="A497" s="1" t="s">
        <v>509</v>
      </c>
      <c r="B497" t="str">
        <f>HYPERLINK("https://www.suredividend.com/sure-analysis-research-database/","Energy Recovery Inc")</f>
        <v>Energy Recovery Inc</v>
      </c>
      <c r="C497">
        <v>-0.15173913043478199</v>
      </c>
      <c r="D497">
        <v>-0.32886136910904701</v>
      </c>
      <c r="E497">
        <v>-0.20399836801305499</v>
      </c>
      <c r="F497">
        <v>-4.7828208882381013E-2</v>
      </c>
      <c r="G497">
        <v>-4.8756704046806001E-2</v>
      </c>
      <c r="H497">
        <v>-2.1564694082246001E-2</v>
      </c>
      <c r="I497">
        <v>1.4916985951468711</v>
      </c>
    </row>
    <row r="498" spans="1:9" x14ac:dyDescent="0.35">
      <c r="A498" s="1" t="s">
        <v>510</v>
      </c>
      <c r="B498" t="str">
        <f>HYPERLINK("https://www.suredividend.com/sure-analysis-research-database/","Esco Technologies, Inc.")</f>
        <v>Esco Technologies, Inc.</v>
      </c>
      <c r="C498">
        <v>-3.1549738388593998E-2</v>
      </c>
      <c r="D498">
        <v>2.0947456023530001E-2</v>
      </c>
      <c r="E498">
        <v>7.1026934456589003E-2</v>
      </c>
      <c r="F498">
        <v>0.17122940692399499</v>
      </c>
      <c r="G498">
        <v>0.35495462048939502</v>
      </c>
      <c r="H498">
        <v>0.21844345904878101</v>
      </c>
      <c r="I498">
        <v>0.69638959025360303</v>
      </c>
    </row>
    <row r="499" spans="1:9" x14ac:dyDescent="0.35">
      <c r="A499" s="1" t="s">
        <v>511</v>
      </c>
      <c r="B499" t="str">
        <f>HYPERLINK("https://www.suredividend.com/sure-analysis-research-database/","Enstar Group Limited")</f>
        <v>Enstar Group Limited</v>
      </c>
      <c r="C499">
        <v>-4.7619047619047013E-2</v>
      </c>
      <c r="D499">
        <v>-4.9824337272436001E-2</v>
      </c>
      <c r="E499">
        <v>1.3671791813961E-2</v>
      </c>
      <c r="F499">
        <v>3.0124653739612001E-2</v>
      </c>
      <c r="G499">
        <v>0.29333768068688099</v>
      </c>
      <c r="H499">
        <v>-1.1258360682979E-2</v>
      </c>
      <c r="I499">
        <v>0.23520863608054801</v>
      </c>
    </row>
    <row r="500" spans="1:9" x14ac:dyDescent="0.35">
      <c r="A500" s="1" t="s">
        <v>512</v>
      </c>
      <c r="B500" t="str">
        <f>HYPERLINK("https://www.suredividend.com/sure-analysis-research-database/","Engagesmart Inc")</f>
        <v>Engagesmart Inc</v>
      </c>
      <c r="C500">
        <v>0.167607223476298</v>
      </c>
      <c r="D500">
        <v>8.495018353434701E-2</v>
      </c>
      <c r="E500">
        <v>0.20782253356684199</v>
      </c>
      <c r="F500">
        <v>0.17556818181818101</v>
      </c>
      <c r="G500">
        <v>7.7604166666666002E-2</v>
      </c>
      <c r="H500">
        <v>-0.35904584882280011</v>
      </c>
      <c r="I500">
        <v>-0.39361078546307099</v>
      </c>
    </row>
    <row r="501" spans="1:9" x14ac:dyDescent="0.35">
      <c r="A501" s="1" t="s">
        <v>513</v>
      </c>
      <c r="B501" t="str">
        <f>HYPERLINK("https://www.suredividend.com/sure-analysis-research-database/","Essent Group Ltd")</f>
        <v>Essent Group Ltd</v>
      </c>
      <c r="C501">
        <v>-2.9602595296024999E-2</v>
      </c>
      <c r="D501">
        <v>5.1771031325140004E-3</v>
      </c>
      <c r="E501">
        <v>0.16012149036585199</v>
      </c>
      <c r="F501">
        <v>0.25116986735403402</v>
      </c>
      <c r="G501">
        <v>0.37686996547756002</v>
      </c>
      <c r="H501">
        <v>1.6491977019549998E-2</v>
      </c>
      <c r="I501">
        <v>0.31377403964929401</v>
      </c>
    </row>
    <row r="502" spans="1:9" x14ac:dyDescent="0.35">
      <c r="A502" s="1" t="s">
        <v>514</v>
      </c>
      <c r="B502" t="str">
        <f>HYPERLINK("https://www.suredividend.com/sure-analysis-research-database/","Esperion Therapeutics Inc.")</f>
        <v>Esperion Therapeutics Inc.</v>
      </c>
      <c r="C502">
        <v>-0.41549295774647799</v>
      </c>
      <c r="D502">
        <v>-0.42361111111111099</v>
      </c>
      <c r="E502">
        <v>-0.33600000000000002</v>
      </c>
      <c r="F502">
        <v>-0.86677367576243902</v>
      </c>
      <c r="G502">
        <v>-0.89078947368421002</v>
      </c>
      <c r="H502">
        <v>-0.90919037199124708</v>
      </c>
      <c r="I502">
        <v>-0.98153093012906112</v>
      </c>
    </row>
    <row r="503" spans="1:9" x14ac:dyDescent="0.35">
      <c r="A503" s="1" t="s">
        <v>515</v>
      </c>
      <c r="B503" t="str">
        <f>HYPERLINK("https://www.suredividend.com/sure-analysis-research-database/","Esquire Financial Holdings Inc")</f>
        <v>Esquire Financial Holdings Inc</v>
      </c>
      <c r="C503">
        <v>-1.1265164644712999E-2</v>
      </c>
      <c r="D503">
        <v>-8.6708717788309998E-3</v>
      </c>
      <c r="E503">
        <v>0.26761228395181702</v>
      </c>
      <c r="F503">
        <v>6.6033835596280011E-2</v>
      </c>
      <c r="G503">
        <v>0.20308521238513499</v>
      </c>
      <c r="H503">
        <v>0.43232394874514701</v>
      </c>
      <c r="I503">
        <v>0.93221171350431409</v>
      </c>
    </row>
    <row r="504" spans="1:9" x14ac:dyDescent="0.35">
      <c r="A504" s="1" t="s">
        <v>516</v>
      </c>
      <c r="B504" t="str">
        <f>HYPERLINK("https://www.suredividend.com/sure-analysis-ESRT/","Empire State Realty Trust Inc")</f>
        <v>Empire State Realty Trust Inc</v>
      </c>
      <c r="C504">
        <v>-8.7310826542491005E-2</v>
      </c>
      <c r="D504">
        <v>-1.6064257028112001E-2</v>
      </c>
      <c r="E504">
        <v>0.31413533582527298</v>
      </c>
      <c r="F504">
        <v>0.17962143781408901</v>
      </c>
      <c r="G504">
        <v>0.194502849133071</v>
      </c>
      <c r="H504">
        <v>-0.25507857780818199</v>
      </c>
      <c r="I504">
        <v>-0.45039152593464898</v>
      </c>
    </row>
    <row r="505" spans="1:9" x14ac:dyDescent="0.35">
      <c r="A505" s="1" t="s">
        <v>517</v>
      </c>
      <c r="B505" t="str">
        <f>HYPERLINK("https://www.suredividend.com/sure-analysis-research-database/","Earthstone Energy Inc")</f>
        <v>Earthstone Energy Inc</v>
      </c>
      <c r="C505">
        <v>9.1277890466531009E-2</v>
      </c>
      <c r="D505">
        <v>0.45503718728870801</v>
      </c>
      <c r="E505">
        <v>0.45799457994579912</v>
      </c>
      <c r="F505">
        <v>0.51229796205200206</v>
      </c>
      <c r="G505">
        <v>0.573099415204678</v>
      </c>
      <c r="H505">
        <v>1.0712223291626559</v>
      </c>
      <c r="I505">
        <v>1.3139784946236559</v>
      </c>
    </row>
    <row r="506" spans="1:9" x14ac:dyDescent="0.35">
      <c r="A506" s="1" t="s">
        <v>518</v>
      </c>
      <c r="B506" t="str">
        <f>HYPERLINK("https://www.suredividend.com/sure-analysis-ETD/","Ethan Allen Interiors, Inc.")</f>
        <v>Ethan Allen Interiors, Inc.</v>
      </c>
      <c r="C506">
        <v>-6.2338501291989007E-2</v>
      </c>
      <c r="D506">
        <v>-6.6009875816560003E-3</v>
      </c>
      <c r="E506">
        <v>0.110082902505429</v>
      </c>
      <c r="F506">
        <v>0.137565930233469</v>
      </c>
      <c r="G506">
        <v>0.34719979209593199</v>
      </c>
      <c r="H506">
        <v>0.36821665237022411</v>
      </c>
      <c r="I506">
        <v>0.617576588323136</v>
      </c>
    </row>
    <row r="507" spans="1:9" x14ac:dyDescent="0.35">
      <c r="A507" s="1" t="s">
        <v>519</v>
      </c>
      <c r="B507" t="str">
        <f>HYPERLINK("https://www.suredividend.com/sure-analysis-research-database/","Equitrans Midstream Corporation")</f>
        <v>Equitrans Midstream Corporation</v>
      </c>
      <c r="C507">
        <v>-9.3750000000000014E-3</v>
      </c>
      <c r="D507">
        <v>9.3807508281192012E-2</v>
      </c>
      <c r="E507">
        <v>1.0360537809368839</v>
      </c>
      <c r="F507">
        <v>0.51754511944085402</v>
      </c>
      <c r="G507">
        <v>0.31038663984346998</v>
      </c>
      <c r="H507">
        <v>-5.646173149309E-3</v>
      </c>
      <c r="I507">
        <v>-0.51230769230769202</v>
      </c>
    </row>
    <row r="508" spans="1:9" x14ac:dyDescent="0.35">
      <c r="A508" s="1" t="s">
        <v>520</v>
      </c>
      <c r="B508" t="str">
        <f>HYPERLINK("https://www.suredividend.com/sure-analysis-research-database/","E2open Parent Holdings Inc")</f>
        <v>E2open Parent Holdings Inc</v>
      </c>
      <c r="C508">
        <v>-0.50803212851405599</v>
      </c>
      <c r="D508">
        <v>-0.523346303501945</v>
      </c>
      <c r="E508">
        <v>-0.61356466876971605</v>
      </c>
      <c r="F508">
        <v>-0.582623509369676</v>
      </c>
      <c r="G508">
        <v>-0.52611218568665308</v>
      </c>
      <c r="H508">
        <v>-0.7816399286987521</v>
      </c>
      <c r="I508">
        <v>-0.75252525252525204</v>
      </c>
    </row>
    <row r="509" spans="1:9" x14ac:dyDescent="0.35">
      <c r="A509" s="1" t="s">
        <v>521</v>
      </c>
      <c r="B509" t="str">
        <f>HYPERLINK("https://www.suredividend.com/sure-analysis-research-database/","Everbridge Inc")</f>
        <v>Everbridge Inc</v>
      </c>
      <c r="C509">
        <v>-0.136382710868652</v>
      </c>
      <c r="D509">
        <v>-0.31763925729442899</v>
      </c>
      <c r="E509">
        <v>-0.35404896421845511</v>
      </c>
      <c r="F509">
        <v>-0.30425963488843799</v>
      </c>
      <c r="G509">
        <v>-0.28960994131860501</v>
      </c>
      <c r="H509">
        <v>-0.86051240341602209</v>
      </c>
      <c r="I509">
        <v>-0.573824808448954</v>
      </c>
    </row>
    <row r="510" spans="1:9" x14ac:dyDescent="0.35">
      <c r="A510" s="1" t="s">
        <v>522</v>
      </c>
      <c r="B510" t="str">
        <f>HYPERLINK("https://www.suredividend.com/sure-analysis-research-database/","Entravision Communications Corp.")</f>
        <v>Entravision Communications Corp.</v>
      </c>
      <c r="C510">
        <v>0</v>
      </c>
      <c r="D510">
        <v>-0.16627759621156499</v>
      </c>
      <c r="E510">
        <v>-0.38494341479416111</v>
      </c>
      <c r="F510">
        <v>-0.19269768142774099</v>
      </c>
      <c r="G510">
        <v>-4.8247506408466007E-2</v>
      </c>
      <c r="H510">
        <v>-0.47685611450573312</v>
      </c>
      <c r="I510">
        <v>4.0429462636210004E-3</v>
      </c>
    </row>
    <row r="511" spans="1:9" x14ac:dyDescent="0.35">
      <c r="A511" s="1" t="s">
        <v>523</v>
      </c>
      <c r="B511" t="str">
        <f>HYPERLINK("https://www.suredividend.com/sure-analysis-research-database/","EverCommerce Inc")</f>
        <v>EverCommerce Inc</v>
      </c>
      <c r="C511">
        <v>4.3157894736842013E-2</v>
      </c>
      <c r="D511">
        <v>-0.16441821247892</v>
      </c>
      <c r="E511">
        <v>-0.13070175438596399</v>
      </c>
      <c r="F511">
        <v>0.33198924731182811</v>
      </c>
      <c r="G511">
        <v>0.11473565804274399</v>
      </c>
      <c r="H511">
        <v>-0.47924330005254812</v>
      </c>
      <c r="I511">
        <v>-0.43693181818181798</v>
      </c>
    </row>
    <row r="512" spans="1:9" x14ac:dyDescent="0.35">
      <c r="A512" s="1" t="s">
        <v>524</v>
      </c>
      <c r="B512" t="str">
        <f>HYPERLINK("https://www.suredividend.com/sure-analysis-research-database/","EverQuote Inc")</f>
        <v>EverQuote Inc</v>
      </c>
      <c r="C512">
        <v>0.1328125</v>
      </c>
      <c r="D512">
        <v>5.7622173595914997E-2</v>
      </c>
      <c r="E512">
        <v>-0.16281755196304801</v>
      </c>
      <c r="F512">
        <v>-0.50814111261872408</v>
      </c>
      <c r="G512">
        <v>0.21440536013400299</v>
      </c>
      <c r="H512">
        <v>-0.580924855491329</v>
      </c>
      <c r="I512">
        <v>-0.45158850226928798</v>
      </c>
    </row>
    <row r="513" spans="1:9" x14ac:dyDescent="0.35">
      <c r="A513" s="1" t="s">
        <v>525</v>
      </c>
      <c r="B513" t="str">
        <f>HYPERLINK("https://www.suredividend.com/sure-analysis-research-database/","EVgo Inc")</f>
        <v>EVgo Inc</v>
      </c>
      <c r="C513">
        <v>-0.27157360406091302</v>
      </c>
      <c r="D513">
        <v>-0.28784119106699702</v>
      </c>
      <c r="E513">
        <v>-0.53409090909090906</v>
      </c>
      <c r="F513">
        <v>-0.35794183445190098</v>
      </c>
      <c r="G513">
        <v>-0.59232954545454508</v>
      </c>
      <c r="H513">
        <v>-0.63205128205128203</v>
      </c>
      <c r="I513">
        <v>-0.70748313186701106</v>
      </c>
    </row>
    <row r="514" spans="1:9" x14ac:dyDescent="0.35">
      <c r="A514" s="1" t="s">
        <v>526</v>
      </c>
      <c r="B514" t="str">
        <f>HYPERLINK("https://www.suredividend.com/sure-analysis-research-database/","Evolent Health Inc")</f>
        <v>Evolent Health Inc</v>
      </c>
      <c r="C514">
        <v>6.8702290076335007E-2</v>
      </c>
      <c r="D514">
        <v>-7.4380165289256006E-2</v>
      </c>
      <c r="E514">
        <v>-0.14841849148418401</v>
      </c>
      <c r="F514">
        <v>-2.849002849002E-3</v>
      </c>
      <c r="G514">
        <v>-9.9678456591639014E-2</v>
      </c>
      <c r="H514">
        <v>-6.4483795522886009E-2</v>
      </c>
      <c r="I514">
        <v>0.109350237717908</v>
      </c>
    </row>
    <row r="515" spans="1:9" x14ac:dyDescent="0.35">
      <c r="A515" s="1" t="s">
        <v>527</v>
      </c>
      <c r="B515" t="str">
        <f>HYPERLINK("https://www.suredividend.com/sure-analysis-research-database/","Evolv Technologies Holdings Inc")</f>
        <v>Evolv Technologies Holdings Inc</v>
      </c>
      <c r="C515">
        <v>-0.34090909090909011</v>
      </c>
      <c r="D515">
        <v>-0.37061769616026702</v>
      </c>
      <c r="E515">
        <v>0.23202614379084899</v>
      </c>
      <c r="F515">
        <v>0.45559845559845502</v>
      </c>
      <c r="G515">
        <v>0.61802575107296109</v>
      </c>
      <c r="H515">
        <v>-0.32798573975044498</v>
      </c>
      <c r="I515">
        <v>-0.61253854059609403</v>
      </c>
    </row>
    <row r="516" spans="1:9" x14ac:dyDescent="0.35">
      <c r="A516" s="1" t="s">
        <v>528</v>
      </c>
      <c r="B516" t="str">
        <f>HYPERLINK("https://www.suredividend.com/sure-analysis-research-database/","Everi Holdings Inc")</f>
        <v>Everi Holdings Inc</v>
      </c>
      <c r="C516">
        <v>-0.21567314132618801</v>
      </c>
      <c r="D516">
        <v>-0.20556309362279501</v>
      </c>
      <c r="E516">
        <v>-0.28247549019607798</v>
      </c>
      <c r="F516">
        <v>-0.18397212543554001</v>
      </c>
      <c r="G516">
        <v>-0.31759906759906698</v>
      </c>
      <c r="H516">
        <v>-0.51045150501672198</v>
      </c>
      <c r="I516">
        <v>0.503209242618742</v>
      </c>
    </row>
    <row r="517" spans="1:9" x14ac:dyDescent="0.35">
      <c r="A517" s="1" t="s">
        <v>529</v>
      </c>
      <c r="B517" t="str">
        <f>HYPERLINK("https://www.suredividend.com/sure-analysis-research-database/","Evertec Inc")</f>
        <v>Evertec Inc</v>
      </c>
      <c r="C517">
        <v>-3.1813361611876E-2</v>
      </c>
      <c r="D517">
        <v>-6.5289000253385007E-2</v>
      </c>
      <c r="E517">
        <v>0.109005660423195</v>
      </c>
      <c r="F517">
        <v>0.132466308197046</v>
      </c>
      <c r="G517">
        <v>0.13369322608984499</v>
      </c>
      <c r="H517">
        <v>-0.22980721981917701</v>
      </c>
      <c r="I517">
        <v>0.60651756963629</v>
      </c>
    </row>
    <row r="518" spans="1:9" x14ac:dyDescent="0.35">
      <c r="A518" s="1" t="s">
        <v>530</v>
      </c>
      <c r="B518" t="str">
        <f>HYPERLINK("https://www.suredividend.com/sure-analysis-research-database/","European Wax Center Inc")</f>
        <v>European Wax Center Inc</v>
      </c>
      <c r="C518">
        <v>-0.17689331122166899</v>
      </c>
      <c r="D518">
        <v>-0.20374331550802099</v>
      </c>
      <c r="E518">
        <v>-0.20331728196896701</v>
      </c>
      <c r="F518">
        <v>0.19598393574297199</v>
      </c>
      <c r="G518">
        <v>-4.7344849648112003E-2</v>
      </c>
      <c r="H518">
        <v>-0.38090664537883601</v>
      </c>
      <c r="I518">
        <v>-0.22171870018137199</v>
      </c>
    </row>
    <row r="519" spans="1:9" x14ac:dyDescent="0.35">
      <c r="A519" s="1" t="s">
        <v>531</v>
      </c>
      <c r="B519" t="str">
        <f>HYPERLINK("https://www.suredividend.com/sure-analysis-research-database/","Edgewise Therapeutics Inc")</f>
        <v>Edgewise Therapeutics Inc</v>
      </c>
      <c r="C519">
        <v>4.5171339563861997E-2</v>
      </c>
      <c r="D519">
        <v>-7.063711911357301E-2</v>
      </c>
      <c r="E519">
        <v>0.154905335628227</v>
      </c>
      <c r="F519">
        <v>-0.24944071588366801</v>
      </c>
      <c r="G519">
        <v>-0.35604606525911697</v>
      </c>
      <c r="H519">
        <v>-0.62175873731679809</v>
      </c>
      <c r="I519">
        <v>-0.7763333333333331</v>
      </c>
    </row>
    <row r="520" spans="1:9" x14ac:dyDescent="0.35">
      <c r="A520" s="1" t="s">
        <v>532</v>
      </c>
      <c r="B520" t="str">
        <f>HYPERLINK("https://www.suredividend.com/sure-analysis-research-database/","ExlService Holdings Inc")</f>
        <v>ExlService Holdings Inc</v>
      </c>
      <c r="C520">
        <v>1.031282227569E-3</v>
      </c>
      <c r="D520">
        <v>-7.7897403419885006E-2</v>
      </c>
      <c r="E520">
        <v>-0.135032376878749</v>
      </c>
      <c r="F520">
        <v>-0.14064805524405299</v>
      </c>
      <c r="G520">
        <v>-4.3552519214345997E-2</v>
      </c>
      <c r="H520">
        <v>0.17277486910994699</v>
      </c>
      <c r="I520">
        <v>1.436820083682008</v>
      </c>
    </row>
    <row r="521" spans="1:9" x14ac:dyDescent="0.35">
      <c r="A521" s="1" t="s">
        <v>533</v>
      </c>
      <c r="B521" t="str">
        <f>HYPERLINK("https://www.suredividend.com/sure-analysis-research-database/","eXp World Holdings Inc")</f>
        <v>eXp World Holdings Inc</v>
      </c>
      <c r="C521">
        <v>-0.17873563218390701</v>
      </c>
      <c r="D521">
        <v>-0.40395251641320401</v>
      </c>
      <c r="E521">
        <v>0.155251584529815</v>
      </c>
      <c r="F521">
        <v>0.30234677603098598</v>
      </c>
      <c r="G521">
        <v>0.28336386823292697</v>
      </c>
      <c r="H521">
        <v>-0.69831890373016303</v>
      </c>
      <c r="I521">
        <v>1.4247463263990221</v>
      </c>
    </row>
    <row r="522" spans="1:9" x14ac:dyDescent="0.35">
      <c r="A522" s="1" t="s">
        <v>534</v>
      </c>
      <c r="B522" t="str">
        <f>HYPERLINK("https://www.suredividend.com/sure-analysis-EXPO/","Exponent Inc.")</f>
        <v>Exponent Inc.</v>
      </c>
      <c r="C522">
        <v>-4.3227351916376E-2</v>
      </c>
      <c r="D522">
        <v>-7.4539244401894009E-2</v>
      </c>
      <c r="E522">
        <v>-9.8473345097878001E-2</v>
      </c>
      <c r="F522">
        <v>-0.10340119811803</v>
      </c>
      <c r="G522">
        <v>1.4056224899597999E-2</v>
      </c>
      <c r="H522">
        <v>-0.18949507397114199</v>
      </c>
      <c r="I522">
        <v>0.93383966319014211</v>
      </c>
    </row>
    <row r="523" spans="1:9" x14ac:dyDescent="0.35">
      <c r="A523" s="1" t="s">
        <v>535</v>
      </c>
      <c r="B523" t="str">
        <f>HYPERLINK("https://www.suredividend.com/sure-analysis-research-database/","Express Inc.")</f>
        <v>Express Inc.</v>
      </c>
      <c r="C523">
        <v>-0.13757700205338799</v>
      </c>
      <c r="D523">
        <v>-0.38855728635900411</v>
      </c>
      <c r="E523">
        <v>-0.5</v>
      </c>
      <c r="F523">
        <v>-0.58823529411764708</v>
      </c>
      <c r="G523">
        <v>-0.64705882352941102</v>
      </c>
      <c r="H523">
        <v>-0.90366972477064211</v>
      </c>
      <c r="I523">
        <v>-0.95116279069767407</v>
      </c>
    </row>
    <row r="524" spans="1:9" x14ac:dyDescent="0.35">
      <c r="A524" s="1" t="s">
        <v>536</v>
      </c>
      <c r="B524" t="str">
        <f>HYPERLINK("https://www.suredividend.com/sure-analysis-research-database/","Extreme Networks Inc.")</f>
        <v>Extreme Networks Inc.</v>
      </c>
      <c r="C524">
        <v>-3.9396479463537012E-2</v>
      </c>
      <c r="D524">
        <v>-0.14221556886227499</v>
      </c>
      <c r="E524">
        <v>0.19312857886517401</v>
      </c>
      <c r="F524">
        <v>0.251774986346259</v>
      </c>
      <c r="G524">
        <v>0.73242630385487506</v>
      </c>
      <c r="H524">
        <v>1.2536873156342181</v>
      </c>
      <c r="I524">
        <v>3.5296442687747041</v>
      </c>
    </row>
    <row r="525" spans="1:9" x14ac:dyDescent="0.35">
      <c r="A525" s="1" t="s">
        <v>537</v>
      </c>
      <c r="B525" t="str">
        <f>HYPERLINK("https://www.suredividend.com/sure-analysis-research-database/","National Vision Holdings Inc")</f>
        <v>National Vision Holdings Inc</v>
      </c>
      <c r="C525">
        <v>-0.158499697519661</v>
      </c>
      <c r="D525">
        <v>-0.41034336583297998</v>
      </c>
      <c r="E525">
        <v>-0.31880509304603311</v>
      </c>
      <c r="F525">
        <v>-0.6411248710010321</v>
      </c>
      <c r="G525">
        <v>-0.56680161943319807</v>
      </c>
      <c r="H525">
        <v>-0.78104832362663301</v>
      </c>
      <c r="I525">
        <v>-0.67022285443338003</v>
      </c>
    </row>
    <row r="526" spans="1:9" x14ac:dyDescent="0.35">
      <c r="A526" s="1" t="s">
        <v>538</v>
      </c>
      <c r="B526" t="str">
        <f>HYPERLINK("https://www.suredividend.com/sure-analysis-research-database/","EyePoint Pharmaceuticals Inc")</f>
        <v>EyePoint Pharmaceuticals Inc</v>
      </c>
      <c r="C526">
        <v>-0.227099236641221</v>
      </c>
      <c r="D526">
        <v>-0.2616226071103</v>
      </c>
      <c r="E526">
        <v>0.87066974595842905</v>
      </c>
      <c r="F526">
        <v>1.3142857142857141</v>
      </c>
      <c r="G526">
        <v>0.44642857142857101</v>
      </c>
      <c r="H526">
        <v>-0.29195804195804198</v>
      </c>
      <c r="I526">
        <v>-0.76521739130434707</v>
      </c>
    </row>
    <row r="527" spans="1:9" x14ac:dyDescent="0.35">
      <c r="A527" s="1" t="s">
        <v>539</v>
      </c>
      <c r="B527" t="str">
        <f>HYPERLINK("https://www.suredividend.com/sure-analysis-research-database/","EZCorp, Inc.")</f>
        <v>EZCorp, Inc.</v>
      </c>
      <c r="C527">
        <v>1.2562814070351E-2</v>
      </c>
      <c r="D527">
        <v>-8.0957810718357004E-2</v>
      </c>
      <c r="E527">
        <v>-0.111356119073869</v>
      </c>
      <c r="F527">
        <v>-1.1042944785275999E-2</v>
      </c>
      <c r="G527">
        <v>7.5000000000000006E-3</v>
      </c>
      <c r="H527">
        <v>7.5000000000000006E-3</v>
      </c>
      <c r="I527">
        <v>-0.23018147086915</v>
      </c>
    </row>
    <row r="528" spans="1:9" x14ac:dyDescent="0.35">
      <c r="A528" s="1" t="s">
        <v>540</v>
      </c>
      <c r="B528" t="str">
        <f>HYPERLINK("https://www.suredividend.com/sure-analysis-research-database/","First Advantage Corp.")</f>
        <v>First Advantage Corp.</v>
      </c>
      <c r="C528">
        <v>-2.1861777150916001E-2</v>
      </c>
      <c r="D528">
        <v>7.2548492748780004E-3</v>
      </c>
      <c r="E528">
        <v>0.193867977310483</v>
      </c>
      <c r="F528">
        <v>0.18468029860434901</v>
      </c>
      <c r="G528">
        <v>0.196649037590481</v>
      </c>
      <c r="H528">
        <v>-0.25310845812937799</v>
      </c>
      <c r="I528">
        <v>-0.218225987363105</v>
      </c>
    </row>
    <row r="529" spans="1:9" x14ac:dyDescent="0.35">
      <c r="A529" s="1" t="s">
        <v>541</v>
      </c>
      <c r="B529" t="str">
        <f>HYPERLINK("https://www.suredividend.com/sure-analysis-research-database/","Faro Technologies Inc.")</f>
        <v>Faro Technologies Inc.</v>
      </c>
      <c r="C529">
        <v>-0.14178168130489299</v>
      </c>
      <c r="D529">
        <v>-0.123638693145419</v>
      </c>
      <c r="E529">
        <v>-0.43819301848049202</v>
      </c>
      <c r="F529">
        <v>-0.53485209112546706</v>
      </c>
      <c r="G529">
        <v>-0.46915017462165298</v>
      </c>
      <c r="H529">
        <v>-0.80498930862437601</v>
      </c>
      <c r="I529">
        <v>-0.74425126191811508</v>
      </c>
    </row>
    <row r="530" spans="1:9" x14ac:dyDescent="0.35">
      <c r="A530" s="1" t="s">
        <v>542</v>
      </c>
      <c r="B530" t="str">
        <f>HYPERLINK("https://www.suredividend.com/sure-analysis-research-database/","Fate Therapeutics Inc")</f>
        <v>Fate Therapeutics Inc</v>
      </c>
      <c r="C530">
        <v>-0.22727272727272699</v>
      </c>
      <c r="D530">
        <v>-0.640591966173361</v>
      </c>
      <c r="E530">
        <v>-0.71713810316139703</v>
      </c>
      <c r="F530">
        <v>-0.83151635282457803</v>
      </c>
      <c r="G530">
        <v>-0.91650294695481305</v>
      </c>
      <c r="H530">
        <v>-0.97224036577400408</v>
      </c>
      <c r="I530">
        <v>-0.87407407407407411</v>
      </c>
    </row>
    <row r="531" spans="1:9" x14ac:dyDescent="0.35">
      <c r="A531" s="1" t="s">
        <v>543</v>
      </c>
      <c r="B531" t="str">
        <f>HYPERLINK("https://www.suredividend.com/sure-analysis-research-database/","First Business Financial Services Inc")</f>
        <v>First Business Financial Services Inc</v>
      </c>
      <c r="C531">
        <v>-1.0143979057591001E-2</v>
      </c>
      <c r="D531">
        <v>4.5992551841465001E-2</v>
      </c>
      <c r="E531">
        <v>9.1006142094082004E-2</v>
      </c>
      <c r="F531">
        <v>-0.140561518748543</v>
      </c>
      <c r="G531">
        <v>-7.7710160127809E-2</v>
      </c>
      <c r="H531">
        <v>0.126277067881928</v>
      </c>
      <c r="I531">
        <v>0.65764324229538407</v>
      </c>
    </row>
    <row r="532" spans="1:9" x14ac:dyDescent="0.35">
      <c r="A532" s="1" t="s">
        <v>544</v>
      </c>
      <c r="B532" t="str">
        <f>HYPERLINK("https://www.suredividend.com/sure-analysis-research-database/","FB Financial Corp")</f>
        <v>FB Financial Corp</v>
      </c>
      <c r="C532">
        <v>-5.5290102389078007E-2</v>
      </c>
      <c r="D532">
        <v>-3.6651109695785999E-2</v>
      </c>
      <c r="E532">
        <v>-7.1041185630671008E-2</v>
      </c>
      <c r="F532">
        <v>-0.22332276438732801</v>
      </c>
      <c r="G532">
        <v>-0.32463425822004011</v>
      </c>
      <c r="H532">
        <v>-0.36826441603257198</v>
      </c>
      <c r="I532">
        <v>-0.179560139901594</v>
      </c>
    </row>
    <row r="533" spans="1:9" x14ac:dyDescent="0.35">
      <c r="A533" s="1" t="s">
        <v>545</v>
      </c>
      <c r="B533" t="str">
        <f>HYPERLINK("https://www.suredividend.com/sure-analysis-research-database/","First Bancshares Inc Miss")</f>
        <v>First Bancshares Inc Miss</v>
      </c>
      <c r="C533">
        <v>-5.5614973262032012E-2</v>
      </c>
      <c r="D533">
        <v>-1.4072450229082E-2</v>
      </c>
      <c r="E533">
        <v>0.15099348682809799</v>
      </c>
      <c r="F533">
        <v>-0.13926436184039501</v>
      </c>
      <c r="G533">
        <v>-0.12271986647061101</v>
      </c>
      <c r="H533">
        <v>-0.26950335052257102</v>
      </c>
      <c r="I533">
        <v>-0.218025847360062</v>
      </c>
    </row>
    <row r="534" spans="1:9" x14ac:dyDescent="0.35">
      <c r="A534" s="1" t="s">
        <v>546</v>
      </c>
      <c r="B534" t="str">
        <f>HYPERLINK("https://www.suredividend.com/sure-analysis-research-database/","First Bancorp")</f>
        <v>First Bancorp</v>
      </c>
      <c r="C534">
        <v>-3.2367827825272998E-2</v>
      </c>
      <c r="D534">
        <v>-0.12571456021520799</v>
      </c>
      <c r="E534">
        <v>-0.155253826112249</v>
      </c>
      <c r="F534">
        <v>-0.33914786384993501</v>
      </c>
      <c r="G534">
        <v>-0.30337239211203199</v>
      </c>
      <c r="H534">
        <v>-0.36626437221870101</v>
      </c>
      <c r="I534">
        <v>-0.21118556209529901</v>
      </c>
    </row>
    <row r="535" spans="1:9" x14ac:dyDescent="0.35">
      <c r="A535" s="1" t="s">
        <v>547</v>
      </c>
      <c r="B535" t="str">
        <f>HYPERLINK("https://www.suredividend.com/sure-analysis-research-database/","First Bancorp PR")</f>
        <v>First Bancorp PR</v>
      </c>
      <c r="C535">
        <v>-5.1319648093840001E-3</v>
      </c>
      <c r="D535">
        <v>5.5505429202576007E-2</v>
      </c>
      <c r="E535">
        <v>0.24010746988832599</v>
      </c>
      <c r="F535">
        <v>0.10166670725866001</v>
      </c>
      <c r="G535">
        <v>-6.7719175305893012E-2</v>
      </c>
      <c r="H535">
        <v>8.5270077896319005E-2</v>
      </c>
      <c r="I535">
        <v>0.75763541693650704</v>
      </c>
    </row>
    <row r="536" spans="1:9" x14ac:dyDescent="0.35">
      <c r="A536" s="1" t="s">
        <v>548</v>
      </c>
      <c r="B536" t="str">
        <f>HYPERLINK("https://www.suredividend.com/sure-analysis-research-database/","Franklin BSP Realty Trust Inc.")</f>
        <v>Franklin BSP Realty Trust Inc.</v>
      </c>
      <c r="C536">
        <v>-8.8983204031610003E-2</v>
      </c>
      <c r="D536">
        <v>-0.105983524553524</v>
      </c>
      <c r="E536">
        <v>8.2148838407695005E-2</v>
      </c>
      <c r="F536">
        <v>6.0338298409492001E-2</v>
      </c>
      <c r="G536">
        <v>0.18016203812110701</v>
      </c>
      <c r="H536">
        <v>-8.0694586312563002E-2</v>
      </c>
      <c r="I536">
        <v>-8.0694586312563002E-2</v>
      </c>
    </row>
    <row r="537" spans="1:9" x14ac:dyDescent="0.35">
      <c r="A537" s="1" t="s">
        <v>549</v>
      </c>
      <c r="B537" t="str">
        <f>HYPERLINK("https://www.suredividend.com/sure-analysis-research-database/","Franklin Covey Co.")</f>
        <v>Franklin Covey Co.</v>
      </c>
      <c r="C537">
        <v>-5.7647058823529003E-2</v>
      </c>
      <c r="D537">
        <v>-0.11</v>
      </c>
      <c r="E537">
        <v>1.7272034544069E-2</v>
      </c>
      <c r="F537">
        <v>-0.14368184733803699</v>
      </c>
      <c r="G537">
        <v>-0.14877789585547199</v>
      </c>
      <c r="H537">
        <v>-3.7490987743330997E-2</v>
      </c>
      <c r="I537">
        <v>0.85933147632311901</v>
      </c>
    </row>
    <row r="538" spans="1:9" x14ac:dyDescent="0.35">
      <c r="A538" s="1" t="s">
        <v>550</v>
      </c>
      <c r="B538" t="str">
        <f>HYPERLINK("https://www.suredividend.com/sure-analysis-research-database/","First Community Bankshares Inc.")</f>
        <v>First Community Bankshares Inc.</v>
      </c>
      <c r="C538">
        <v>-1.4930217461861999E-2</v>
      </c>
      <c r="D538">
        <v>-9.348747794480001E-4</v>
      </c>
      <c r="E538">
        <v>0.32681075787780201</v>
      </c>
      <c r="F538">
        <v>-6.9657658541370002E-2</v>
      </c>
      <c r="G538">
        <v>-7.0526660725387005E-2</v>
      </c>
      <c r="H538">
        <v>1.2125496891923999E-2</v>
      </c>
      <c r="I538">
        <v>0.127209386107283</v>
      </c>
    </row>
    <row r="539" spans="1:9" x14ac:dyDescent="0.35">
      <c r="A539" s="1" t="s">
        <v>551</v>
      </c>
      <c r="B539" t="str">
        <f>HYPERLINK("https://www.suredividend.com/sure-analysis-research-database/","Fuelcell Energy Inc")</f>
        <v>Fuelcell Energy Inc</v>
      </c>
      <c r="C539">
        <v>4.0322580645160998E-2</v>
      </c>
      <c r="D539">
        <v>-0.41628959276018002</v>
      </c>
      <c r="E539">
        <v>-0.41891891891891803</v>
      </c>
      <c r="F539">
        <v>-0.53597122302158207</v>
      </c>
      <c r="G539">
        <v>-0.555172413793103</v>
      </c>
      <c r="H539">
        <v>-0.82543978349120406</v>
      </c>
      <c r="I539">
        <v>-0.89250000000000007</v>
      </c>
    </row>
    <row r="540" spans="1:9" x14ac:dyDescent="0.35">
      <c r="A540" s="1" t="s">
        <v>552</v>
      </c>
      <c r="B540" t="str">
        <f>HYPERLINK("https://www.suredividend.com/sure-analysis-research-database/","First Commonwealth Financial Corp.")</f>
        <v>First Commonwealth Financial Corp.</v>
      </c>
      <c r="C540">
        <v>-3.0254777070063001E-2</v>
      </c>
      <c r="D540">
        <v>-6.5542453373023002E-2</v>
      </c>
      <c r="E540">
        <v>5.4052650708758997E-2</v>
      </c>
      <c r="F540">
        <v>-0.103917601618539</v>
      </c>
      <c r="G540">
        <v>-8.1821882491293005E-2</v>
      </c>
      <c r="H540">
        <v>-7.5767348332511003E-2</v>
      </c>
      <c r="I540">
        <v>-4.1835145298068997E-2</v>
      </c>
    </row>
    <row r="541" spans="1:9" x14ac:dyDescent="0.35">
      <c r="A541" s="1" t="s">
        <v>553</v>
      </c>
      <c r="B541" t="str">
        <f>HYPERLINK("https://www.suredividend.com/sure-analysis-research-database/","FirstCash Holdings Inc")</f>
        <v>FirstCash Holdings Inc</v>
      </c>
      <c r="C541">
        <v>3.9319983312474001E-2</v>
      </c>
      <c r="D541">
        <v>5.8757030932917002E-2</v>
      </c>
      <c r="E541">
        <v>4.8388963352151003E-2</v>
      </c>
      <c r="F541">
        <v>0.16305126762667499</v>
      </c>
      <c r="G541">
        <v>0.29617080058220302</v>
      </c>
      <c r="H541">
        <v>0.57238658777120299</v>
      </c>
      <c r="I541">
        <v>0.57238658777120299</v>
      </c>
    </row>
    <row r="542" spans="1:9" x14ac:dyDescent="0.35">
      <c r="A542" s="1" t="s">
        <v>554</v>
      </c>
      <c r="B542" t="str">
        <f>HYPERLINK("https://www.suredividend.com/sure-analysis-FCPT/","Four Corners Property Trust Inc")</f>
        <v>Four Corners Property Trust Inc</v>
      </c>
      <c r="C542">
        <v>-9.7469144333739002E-2</v>
      </c>
      <c r="D542">
        <v>-0.157241853989706</v>
      </c>
      <c r="E542">
        <v>-0.139644998762366</v>
      </c>
      <c r="F542">
        <v>-0.13356036330155699</v>
      </c>
      <c r="G542">
        <v>-2.1717419331408E-2</v>
      </c>
      <c r="H542">
        <v>-0.168512273607692</v>
      </c>
      <c r="I542">
        <v>9.8878684813037007E-2</v>
      </c>
    </row>
    <row r="543" spans="1:9" x14ac:dyDescent="0.35">
      <c r="A543" s="1" t="s">
        <v>555</v>
      </c>
      <c r="B543" t="str">
        <f>HYPERLINK("https://www.suredividend.com/sure-analysis-research-database/","Focus Universal Inc")</f>
        <v>Focus Universal Inc</v>
      </c>
      <c r="C543">
        <v>0.12138728323699401</v>
      </c>
      <c r="D543">
        <v>0.13450292397660801</v>
      </c>
      <c r="E543">
        <v>6.5934065934065006E-2</v>
      </c>
      <c r="F543">
        <v>-0.54601829967472404</v>
      </c>
      <c r="G543">
        <v>-0.67376864479459209</v>
      </c>
      <c r="H543">
        <v>-0.65357142857142803</v>
      </c>
      <c r="I543">
        <v>-0.42941176470588199</v>
      </c>
    </row>
    <row r="544" spans="1:9" x14ac:dyDescent="0.35">
      <c r="A544" s="1" t="s">
        <v>556</v>
      </c>
      <c r="B544" t="str">
        <f>HYPERLINK("https://www.suredividend.com/sure-analysis-research-database/","4D Molecular Therapeutics Inc")</f>
        <v>4D Molecular Therapeutics Inc</v>
      </c>
      <c r="C544">
        <v>-0.327763496143958</v>
      </c>
      <c r="D544">
        <v>-0.44714587737843497</v>
      </c>
      <c r="E544">
        <v>-0.35312306740878102</v>
      </c>
      <c r="F544">
        <v>-0.52904097253489402</v>
      </c>
      <c r="G544">
        <v>0.48790896159317199</v>
      </c>
      <c r="H544">
        <v>-0.61713030746705699</v>
      </c>
      <c r="I544">
        <v>-0.74172839506172805</v>
      </c>
    </row>
    <row r="545" spans="1:9" x14ac:dyDescent="0.35">
      <c r="A545" s="1" t="s">
        <v>557</v>
      </c>
      <c r="B545" t="str">
        <f>HYPERLINK("https://www.suredividend.com/sure-analysis-research-database/","Fresh Del Monte Produce Inc")</f>
        <v>Fresh Del Monte Produce Inc</v>
      </c>
      <c r="C545">
        <v>-3.9292730844790007E-3</v>
      </c>
      <c r="D545">
        <v>-8.2431232321490012E-3</v>
      </c>
      <c r="E545">
        <v>-0.13189985514541899</v>
      </c>
      <c r="F545">
        <v>-1.2858155310316E-2</v>
      </c>
      <c r="G545">
        <v>3.5568827540002998E-2</v>
      </c>
      <c r="H545">
        <v>-0.207309637051004</v>
      </c>
      <c r="I545">
        <v>-9.4749547374773008E-2</v>
      </c>
    </row>
    <row r="546" spans="1:9" x14ac:dyDescent="0.35">
      <c r="A546" s="1" t="s">
        <v>558</v>
      </c>
      <c r="B546" t="str">
        <f>HYPERLINK("https://www.suredividend.com/sure-analysis-research-database/","5E Advanced Materials Inc")</f>
        <v>5E Advanced Materials Inc</v>
      </c>
      <c r="C546">
        <v>0.28630705394190797</v>
      </c>
      <c r="D546">
        <v>-0.13407821229050201</v>
      </c>
      <c r="E546">
        <v>-0.42592592592592499</v>
      </c>
      <c r="F546">
        <v>-0.60659898477157304</v>
      </c>
      <c r="G546">
        <v>-0.70192307692307609</v>
      </c>
      <c r="H546">
        <v>-0.90608906392002408</v>
      </c>
      <c r="I546">
        <v>-0.90608906392002408</v>
      </c>
    </row>
    <row r="547" spans="1:9" x14ac:dyDescent="0.35">
      <c r="A547" s="1" t="s">
        <v>559</v>
      </c>
      <c r="B547" t="str">
        <f>HYPERLINK("https://www.suredividend.com/sure-analysis-FELE/","Franklin Electric Co., Inc.")</f>
        <v>Franklin Electric Co., Inc.</v>
      </c>
      <c r="C547">
        <v>-6.1476742925295008E-2</v>
      </c>
      <c r="D547">
        <v>-0.16256300610469801</v>
      </c>
      <c r="E547">
        <v>-1.6497750306775999E-2</v>
      </c>
      <c r="F547">
        <v>9.8216539983531012E-2</v>
      </c>
      <c r="G547">
        <v>5.1032637137538001E-2</v>
      </c>
      <c r="H547">
        <v>5.8493505477116008E-2</v>
      </c>
      <c r="I547">
        <v>1.148210651709932</v>
      </c>
    </row>
    <row r="548" spans="1:9" x14ac:dyDescent="0.35">
      <c r="A548" s="1" t="s">
        <v>560</v>
      </c>
      <c r="B548" t="str">
        <f>HYPERLINK("https://www.suredividend.com/sure-analysis-research-database/","Futurefuel Corp")</f>
        <v>Futurefuel Corp</v>
      </c>
      <c r="C548">
        <v>-6.5843621399176003E-2</v>
      </c>
      <c r="D548">
        <v>-0.26005606623639099</v>
      </c>
      <c r="E548">
        <v>-0.12607155690159599</v>
      </c>
      <c r="F548">
        <v>-0.143773181618155</v>
      </c>
      <c r="G548">
        <v>0.13995882087078701</v>
      </c>
      <c r="H548">
        <v>-7.5130378096479003E-2</v>
      </c>
      <c r="I548">
        <v>-0.267631686490439</v>
      </c>
    </row>
    <row r="549" spans="1:9" x14ac:dyDescent="0.35">
      <c r="A549" s="1" t="s">
        <v>561</v>
      </c>
      <c r="B549" t="str">
        <f>HYPERLINK("https://www.suredividend.com/sure-analysis-research-database/","First Financial Bancorp")</f>
        <v>First Financial Bancorp</v>
      </c>
      <c r="C549">
        <v>-5.1307350764675998E-2</v>
      </c>
      <c r="D549">
        <v>-0.102278615744436</v>
      </c>
      <c r="E549">
        <v>-1.7704810845601E-2</v>
      </c>
      <c r="F549">
        <v>-0.161576393339698</v>
      </c>
      <c r="G549">
        <v>-0.119211091619451</v>
      </c>
      <c r="H549">
        <v>-9.4560299082318014E-2</v>
      </c>
      <c r="I549">
        <v>-0.118726713625135</v>
      </c>
    </row>
    <row r="550" spans="1:9" x14ac:dyDescent="0.35">
      <c r="A550" s="1" t="s">
        <v>562</v>
      </c>
      <c r="B550" t="str">
        <f>HYPERLINK("https://www.suredividend.com/sure-analysis-research-database/","Flushing Financial Corp.")</f>
        <v>Flushing Financial Corp.</v>
      </c>
      <c r="C550">
        <v>-9.198813056379801E-2</v>
      </c>
      <c r="D550">
        <v>7.5649690074990009E-3</v>
      </c>
      <c r="E550">
        <v>-3.9789130161917013E-2</v>
      </c>
      <c r="F550">
        <v>-0.31450461197264701</v>
      </c>
      <c r="G550">
        <v>-0.33696629578670201</v>
      </c>
      <c r="H550">
        <v>-0.39849328464929301</v>
      </c>
      <c r="I550">
        <v>-0.28466649913213199</v>
      </c>
    </row>
    <row r="551" spans="1:9" x14ac:dyDescent="0.35">
      <c r="A551" s="1" t="s">
        <v>563</v>
      </c>
      <c r="B551" t="str">
        <f>HYPERLINK("https://www.suredividend.com/sure-analysis-research-database/","Faraday Future Intelligent Electric Inc")</f>
        <v>Faraday Future Intelligent Electric Inc</v>
      </c>
      <c r="C551">
        <v>-0.7945205479452051</v>
      </c>
      <c r="D551">
        <v>-0.94834710743801609</v>
      </c>
      <c r="E551">
        <v>-0.95098954443614603</v>
      </c>
      <c r="F551">
        <v>-0.95478815018945906</v>
      </c>
      <c r="G551">
        <v>-0.97384937238493707</v>
      </c>
      <c r="H551">
        <v>-0.98041337113863603</v>
      </c>
      <c r="I551">
        <v>-0.98041337113863603</v>
      </c>
    </row>
    <row r="552" spans="1:9" x14ac:dyDescent="0.35">
      <c r="A552" s="1" t="s">
        <v>564</v>
      </c>
      <c r="B552" t="str">
        <f>HYPERLINK("https://www.suredividend.com/sure-analysis-FFIN/","First Financial Bankshares, Inc.")</f>
        <v>First Financial Bankshares, Inc.</v>
      </c>
      <c r="C552">
        <v>-0.128326649653663</v>
      </c>
      <c r="D552">
        <v>-0.16221670941428701</v>
      </c>
      <c r="E552">
        <v>-0.16439505137345301</v>
      </c>
      <c r="F552">
        <v>-0.28464790375806598</v>
      </c>
      <c r="G552">
        <v>-0.43589199136497098</v>
      </c>
      <c r="H552">
        <v>-0.47397947397947399</v>
      </c>
      <c r="I552">
        <v>-6.2264683734939007E-2</v>
      </c>
    </row>
    <row r="553" spans="1:9" x14ac:dyDescent="0.35">
      <c r="A553" s="1" t="s">
        <v>565</v>
      </c>
      <c r="B553" t="str">
        <f>HYPERLINK("https://www.suredividend.com/sure-analysis-research-database/","First Foundation Inc")</f>
        <v>First Foundation Inc</v>
      </c>
      <c r="C553">
        <v>-0.28446115288220503</v>
      </c>
      <c r="D553">
        <v>0.29252778595196499</v>
      </c>
      <c r="E553">
        <v>-0.109412773921859</v>
      </c>
      <c r="F553">
        <v>-0.59581230401143903</v>
      </c>
      <c r="G553">
        <v>-0.68280421076021403</v>
      </c>
      <c r="H553">
        <v>-0.77547971060081711</v>
      </c>
      <c r="I553">
        <v>-0.60043105861277501</v>
      </c>
    </row>
    <row r="554" spans="1:9" x14ac:dyDescent="0.35">
      <c r="A554" s="1" t="s">
        <v>566</v>
      </c>
      <c r="B554" t="str">
        <f>HYPERLINK("https://www.suredividend.com/sure-analysis-research-database/","First Guaranty Bancshares Inc")</f>
        <v>First Guaranty Bancshares Inc</v>
      </c>
      <c r="C554">
        <v>-3.6711095661083E-2</v>
      </c>
      <c r="D554">
        <v>-7.691498500973E-2</v>
      </c>
      <c r="E554">
        <v>-0.21440188603231899</v>
      </c>
      <c r="F554">
        <v>-0.52197637573655509</v>
      </c>
      <c r="G554">
        <v>-0.46085985940371998</v>
      </c>
      <c r="H554">
        <v>-0.37594822681585399</v>
      </c>
      <c r="I554">
        <v>-0.31457807170567798</v>
      </c>
    </row>
    <row r="555" spans="1:9" x14ac:dyDescent="0.35">
      <c r="A555" s="1" t="s">
        <v>567</v>
      </c>
      <c r="B555" t="str">
        <f>HYPERLINK("https://www.suredividend.com/sure-analysis-research-database/","FibroGen Inc")</f>
        <v>FibroGen Inc</v>
      </c>
      <c r="C555">
        <v>-0.31062449310624402</v>
      </c>
      <c r="D555">
        <v>-0.76937984496124001</v>
      </c>
      <c r="E555">
        <v>-0.96968925114620408</v>
      </c>
      <c r="F555">
        <v>-0.96285892634207204</v>
      </c>
      <c r="G555">
        <v>-0.96250787649653402</v>
      </c>
      <c r="H555">
        <v>-0.94610507246376807</v>
      </c>
      <c r="I555">
        <v>-0.98802093819206704</v>
      </c>
    </row>
    <row r="556" spans="1:9" x14ac:dyDescent="0.35">
      <c r="A556" s="1" t="s">
        <v>568</v>
      </c>
      <c r="B556" t="str">
        <f>HYPERLINK("https://www.suredividend.com/sure-analysis-research-database/","Federated Hermes Inc")</f>
        <v>Federated Hermes Inc</v>
      </c>
      <c r="C556">
        <v>-5.1649928263988003E-2</v>
      </c>
      <c r="D556">
        <v>-5.6261653954990998E-2</v>
      </c>
      <c r="E556">
        <v>-0.229973485925173</v>
      </c>
      <c r="F556">
        <v>-6.913470367220001E-2</v>
      </c>
      <c r="G556">
        <v>7.4768786503115012E-2</v>
      </c>
      <c r="H556">
        <v>6.6170303366581001E-2</v>
      </c>
      <c r="I556">
        <v>0.52835196951619801</v>
      </c>
    </row>
    <row r="557" spans="1:9" x14ac:dyDescent="0.35">
      <c r="A557" s="1" t="s">
        <v>569</v>
      </c>
      <c r="B557" t="str">
        <f>HYPERLINK("https://www.suredividend.com/sure-analysis-research-database/","Foghorn Therapeutics Inc")</f>
        <v>Foghorn Therapeutics Inc</v>
      </c>
      <c r="C557">
        <v>-0.46390168970814111</v>
      </c>
      <c r="D557">
        <v>-0.55256410256410204</v>
      </c>
      <c r="E557">
        <v>-0.51256983240223408</v>
      </c>
      <c r="F557">
        <v>-0.45297805642633199</v>
      </c>
      <c r="G557">
        <v>-0.52901484480431804</v>
      </c>
      <c r="H557">
        <v>-0.71809369951534707</v>
      </c>
      <c r="I557">
        <v>-0.80739514348785801</v>
      </c>
    </row>
    <row r="558" spans="1:9" x14ac:dyDescent="0.35">
      <c r="A558" s="1" t="s">
        <v>570</v>
      </c>
      <c r="B558" t="str">
        <f>HYPERLINK("https://www.suredividend.com/sure-analysis-research-database/","First Interstate BancSystem Inc.")</f>
        <v>First Interstate BancSystem Inc.</v>
      </c>
      <c r="C558">
        <v>-0.104093567251461</v>
      </c>
      <c r="D558">
        <v>-4.5121936017352003E-2</v>
      </c>
      <c r="E558">
        <v>-0.13965129295659601</v>
      </c>
      <c r="F558">
        <v>-0.35192209528267998</v>
      </c>
      <c r="G558">
        <v>-0.41201304931874799</v>
      </c>
      <c r="H558">
        <v>-0.34364610586205702</v>
      </c>
      <c r="I558">
        <v>-0.30409186714150699</v>
      </c>
    </row>
    <row r="559" spans="1:9" x14ac:dyDescent="0.35">
      <c r="A559" s="1" t="s">
        <v>571</v>
      </c>
      <c r="B559" t="str">
        <f>HYPERLINK("https://www.suredividend.com/sure-analysis-research-database/","Figs Inc")</f>
        <v>Figs Inc</v>
      </c>
      <c r="C559">
        <v>0.1005291005291</v>
      </c>
      <c r="D559">
        <v>-0.197943444730077</v>
      </c>
      <c r="E559">
        <v>-1.8867924528301001E-2</v>
      </c>
      <c r="F559">
        <v>-7.2808320950965011E-2</v>
      </c>
      <c r="G559">
        <v>-0.18002628120893499</v>
      </c>
      <c r="H559">
        <v>-0.82824112303881003</v>
      </c>
      <c r="I559">
        <v>-0.79213857428381007</v>
      </c>
    </row>
    <row r="560" spans="1:9" x14ac:dyDescent="0.35">
      <c r="A560" s="1" t="s">
        <v>572</v>
      </c>
      <c r="B560" t="str">
        <f>HYPERLINK("https://www.suredividend.com/sure-analysis-FISI/","Financial Institutions Inc.")</f>
        <v>Financial Institutions Inc.</v>
      </c>
      <c r="C560">
        <v>-3.2902467685076001E-2</v>
      </c>
      <c r="D560">
        <v>5.2261467156784001E-2</v>
      </c>
      <c r="E560">
        <v>-1.1589503392781E-2</v>
      </c>
      <c r="F560">
        <v>-0.26535239429956298</v>
      </c>
      <c r="G560">
        <v>-0.285776273539876</v>
      </c>
      <c r="H560">
        <v>-0.40402482385059302</v>
      </c>
      <c r="I560">
        <v>-0.26899351154022</v>
      </c>
    </row>
    <row r="561" spans="1:9" x14ac:dyDescent="0.35">
      <c r="A561" s="1" t="s">
        <v>573</v>
      </c>
      <c r="B561" t="str">
        <f>HYPERLINK("https://www.suredividend.com/sure-analysis-research-database/","Comfort Systems USA, Inc.")</f>
        <v>Comfort Systems USA, Inc.</v>
      </c>
      <c r="C561">
        <v>-0.15366581415174699</v>
      </c>
      <c r="D561">
        <v>-2.8941623398813999E-2</v>
      </c>
      <c r="E561">
        <v>0.21584548872640799</v>
      </c>
      <c r="F561">
        <v>0.38546172317456001</v>
      </c>
      <c r="G561">
        <v>0.57556544389403907</v>
      </c>
      <c r="H561">
        <v>0.99750751706193808</v>
      </c>
      <c r="I561">
        <v>2.1687260859330419</v>
      </c>
    </row>
    <row r="562" spans="1:9" x14ac:dyDescent="0.35">
      <c r="A562" s="1" t="s">
        <v>574</v>
      </c>
      <c r="B562" t="str">
        <f>HYPERLINK("https://www.suredividend.com/sure-analysis-research-database/","National Beverage Corp.")</f>
        <v>National Beverage Corp.</v>
      </c>
      <c r="C562">
        <v>-3.0231560891938E-2</v>
      </c>
      <c r="D562">
        <v>-9.1219610206952004E-2</v>
      </c>
      <c r="E562">
        <v>-7.9381233462243003E-2</v>
      </c>
      <c r="F562">
        <v>-2.7938964109176002E-2</v>
      </c>
      <c r="G562">
        <v>8.1539933046389013E-2</v>
      </c>
      <c r="H562">
        <v>-0.129638288987798</v>
      </c>
      <c r="I562">
        <v>7.7207405890226011E-2</v>
      </c>
    </row>
    <row r="563" spans="1:9" x14ac:dyDescent="0.35">
      <c r="A563" s="1" t="s">
        <v>575</v>
      </c>
      <c r="B563" t="str">
        <f>HYPERLINK("https://www.suredividend.com/sure-analysis-research-database/","Foot Locker Inc")</f>
        <v>Foot Locker Inc</v>
      </c>
      <c r="C563">
        <v>0.16141173326503599</v>
      </c>
      <c r="D563">
        <v>-0.1614576005467</v>
      </c>
      <c r="E563">
        <v>-0.45730504867604199</v>
      </c>
      <c r="F563">
        <v>-0.41685582976439411</v>
      </c>
      <c r="G563">
        <v>-0.30526413950669001</v>
      </c>
      <c r="H563">
        <v>-0.51376424791962805</v>
      </c>
      <c r="I563">
        <v>-0.49932074674654497</v>
      </c>
    </row>
    <row r="564" spans="1:9" x14ac:dyDescent="0.35">
      <c r="A564" s="1" t="s">
        <v>576</v>
      </c>
      <c r="B564" t="str">
        <f>HYPERLINK("https://www.suredividend.com/sure-analysis-research-database/","Fulgent Genetics Inc")</f>
        <v>Fulgent Genetics Inc</v>
      </c>
      <c r="C564">
        <v>-0.16076845298281101</v>
      </c>
      <c r="D564">
        <v>-0.35758513931888503</v>
      </c>
      <c r="E564">
        <v>-0.19234511839117699</v>
      </c>
      <c r="F564">
        <v>-0.16386836803223601</v>
      </c>
      <c r="G564">
        <v>-0.31574608408903498</v>
      </c>
      <c r="H564">
        <v>-0.68085106382978711</v>
      </c>
      <c r="I564">
        <v>5.2249999999999996</v>
      </c>
    </row>
    <row r="565" spans="1:9" x14ac:dyDescent="0.35">
      <c r="A565" s="1" t="s">
        <v>577</v>
      </c>
      <c r="B565" t="str">
        <f>HYPERLINK("https://www.suredividend.com/sure-analysis-FLIC/","First Of Long Island Corp.")</f>
        <v>First Of Long Island Corp.</v>
      </c>
      <c r="C565">
        <v>-0.116163731715899</v>
      </c>
      <c r="D565">
        <v>-0.116888769838612</v>
      </c>
      <c r="E565">
        <v>-8.8348138674777005E-2</v>
      </c>
      <c r="F565">
        <v>-0.37302771158086101</v>
      </c>
      <c r="G565">
        <v>-0.35545359571361301</v>
      </c>
      <c r="H565">
        <v>-0.42455696340618598</v>
      </c>
      <c r="I565">
        <v>-0.37313202255536299</v>
      </c>
    </row>
    <row r="566" spans="1:9" x14ac:dyDescent="0.35">
      <c r="A566" s="1" t="s">
        <v>578</v>
      </c>
      <c r="B566" t="str">
        <f>HYPERLINK("https://www.suredividend.com/sure-analysis-research-database/","Full House Resorts, Inc.")</f>
        <v>Full House Resorts, Inc.</v>
      </c>
      <c r="C566">
        <v>-0.19767441860465099</v>
      </c>
      <c r="D566">
        <v>-0.37931034482758602</v>
      </c>
      <c r="E566">
        <v>-0.39562043795620411</v>
      </c>
      <c r="F566">
        <v>-0.44946808510638298</v>
      </c>
      <c r="G566">
        <v>-0.25135623869800999</v>
      </c>
      <c r="H566">
        <v>-0.6437177280550771</v>
      </c>
      <c r="I566">
        <v>0.4375</v>
      </c>
    </row>
    <row r="567" spans="1:9" x14ac:dyDescent="0.35">
      <c r="A567" s="1" t="s">
        <v>579</v>
      </c>
      <c r="B567" t="str">
        <f>HYPERLINK("https://www.suredividend.com/sure-analysis-research-database/","Fluence Energy Inc")</f>
        <v>Fluence Energy Inc</v>
      </c>
      <c r="C567">
        <v>-0.17987321711568899</v>
      </c>
      <c r="D567">
        <v>-0.25270758122743597</v>
      </c>
      <c r="E567">
        <v>-3.0444964871194E-2</v>
      </c>
      <c r="F567">
        <v>0.206997084548105</v>
      </c>
      <c r="G567">
        <v>0.53674832962138008</v>
      </c>
      <c r="H567">
        <v>-0.40857142857142797</v>
      </c>
      <c r="I567">
        <v>-0.40857142857142797</v>
      </c>
    </row>
    <row r="568" spans="1:9" x14ac:dyDescent="0.35">
      <c r="A568" s="1" t="s">
        <v>580</v>
      </c>
      <c r="B568" t="str">
        <f>HYPERLINK("https://www.suredividend.com/sure-analysis-research-database/","Flex Lng Ltd")</f>
        <v>Flex Lng Ltd</v>
      </c>
      <c r="C568">
        <v>2.6368491321762E-2</v>
      </c>
      <c r="D568">
        <v>3.0264652373628999E-2</v>
      </c>
      <c r="E568">
        <v>-8.1648195102720006E-2</v>
      </c>
      <c r="F568">
        <v>-5.6492059745120006E-3</v>
      </c>
      <c r="G568">
        <v>9.6311402351632006E-2</v>
      </c>
      <c r="H568">
        <v>0.95493788701412607</v>
      </c>
      <c r="I568">
        <v>2.7654290752351098</v>
      </c>
    </row>
    <row r="569" spans="1:9" x14ac:dyDescent="0.35">
      <c r="A569" s="1" t="s">
        <v>581</v>
      </c>
      <c r="B569" t="str">
        <f>HYPERLINK("https://www.suredividend.com/sure-analysis-research-database/","Fluor Corporation")</f>
        <v>Fluor Corporation</v>
      </c>
      <c r="C569">
        <v>1.6591676040494E-2</v>
      </c>
      <c r="D569">
        <v>0.19583195501157699</v>
      </c>
      <c r="E569">
        <v>0.18758212877792299</v>
      </c>
      <c r="F569">
        <v>4.2989036353144001E-2</v>
      </c>
      <c r="G569">
        <v>0.37977099236641199</v>
      </c>
      <c r="H569">
        <v>1.0752009184844999</v>
      </c>
      <c r="I569">
        <v>-0.16311695527363601</v>
      </c>
    </row>
    <row r="570" spans="1:9" x14ac:dyDescent="0.35">
      <c r="A570" s="1" t="s">
        <v>582</v>
      </c>
      <c r="B570" t="str">
        <f>HYPERLINK("https://www.suredividend.com/sure-analysis-research-database/","1-800 Flowers.com Inc.")</f>
        <v>1-800 Flowers.com Inc.</v>
      </c>
      <c r="C570">
        <v>-1.8492176386913001E-2</v>
      </c>
      <c r="D570">
        <v>-0.111969111969111</v>
      </c>
      <c r="E570">
        <v>-0.39367311072056199</v>
      </c>
      <c r="F570">
        <v>-0.27824267782426698</v>
      </c>
      <c r="G570">
        <v>0.11111111111111099</v>
      </c>
      <c r="H570">
        <v>-0.77099236641221303</v>
      </c>
      <c r="I570">
        <v>-0.37613019891500898</v>
      </c>
    </row>
    <row r="571" spans="1:9" x14ac:dyDescent="0.35">
      <c r="A571" s="1" t="s">
        <v>583</v>
      </c>
      <c r="B571" t="str">
        <f>HYPERLINK("https://www.suredividend.com/sure-analysis-research-database/","Flywire Corp")</f>
        <v>Flywire Corp</v>
      </c>
      <c r="C571">
        <v>-0.118827652118509</v>
      </c>
      <c r="D571">
        <v>-0.15490375802016401</v>
      </c>
      <c r="E571">
        <v>-4.4559585492227001E-2</v>
      </c>
      <c r="F571">
        <v>0.13036371066612101</v>
      </c>
      <c r="G571">
        <v>0.40192600101368398</v>
      </c>
      <c r="H571">
        <v>-0.46653809064609397</v>
      </c>
      <c r="I571">
        <v>-0.21196581196581199</v>
      </c>
    </row>
    <row r="572" spans="1:9" x14ac:dyDescent="0.35">
      <c r="A572" s="1" t="s">
        <v>584</v>
      </c>
      <c r="B572" t="str">
        <f>HYPERLINK("https://www.suredividend.com/sure-analysis-FMAO/","Farmers &amp; Merchants Bancorp Inc.")</f>
        <v>Farmers &amp; Merchants Bancorp Inc.</v>
      </c>
      <c r="C572">
        <v>-4.0385183368905002E-2</v>
      </c>
      <c r="D572">
        <v>-0.21295471061688401</v>
      </c>
      <c r="E572">
        <v>-0.19743477409792901</v>
      </c>
      <c r="F572">
        <v>-0.33377181104190001</v>
      </c>
      <c r="G572">
        <v>-0.31826549639535801</v>
      </c>
      <c r="H572">
        <v>-0.21849117058404399</v>
      </c>
      <c r="I572">
        <v>-0.52958017352536202</v>
      </c>
    </row>
    <row r="573" spans="1:9" x14ac:dyDescent="0.35">
      <c r="A573" s="1" t="s">
        <v>585</v>
      </c>
      <c r="B573" t="str">
        <f>HYPERLINK("https://www.suredividend.com/sure-analysis-FMBH/","First Mid Bancshares Inc.")</f>
        <v>First Mid Bancshares Inc.</v>
      </c>
      <c r="C573">
        <v>-7.0162481536180004E-3</v>
      </c>
      <c r="D573">
        <v>3.6003929802931003E-2</v>
      </c>
      <c r="E573">
        <v>8.6385636600166002E-2</v>
      </c>
      <c r="F573">
        <v>-0.125073208824103</v>
      </c>
      <c r="G573">
        <v>-0.18110418462156799</v>
      </c>
      <c r="H573">
        <v>-0.314577900808792</v>
      </c>
      <c r="I573">
        <v>-0.16472006162868699</v>
      </c>
    </row>
    <row r="574" spans="1:9" x14ac:dyDescent="0.35">
      <c r="A574" s="1" t="s">
        <v>586</v>
      </c>
      <c r="B574" t="str">
        <f>HYPERLINK("https://www.suredividend.com/sure-analysis-research-database/","Farmers National Banc Corp.")</f>
        <v>Farmers National Banc Corp.</v>
      </c>
      <c r="C574">
        <v>-8.993399339933901E-2</v>
      </c>
      <c r="D574">
        <v>-0.109090027946949</v>
      </c>
      <c r="E574">
        <v>1.6589861751151E-2</v>
      </c>
      <c r="F574">
        <v>-0.16534241392357099</v>
      </c>
      <c r="G574">
        <v>-0.10709226173611</v>
      </c>
      <c r="H574">
        <v>-0.26253292860676802</v>
      </c>
      <c r="I574">
        <v>-6.2066854309985008E-2</v>
      </c>
    </row>
    <row r="575" spans="1:9" x14ac:dyDescent="0.35">
      <c r="A575" s="1" t="s">
        <v>587</v>
      </c>
      <c r="B575" t="str">
        <f>HYPERLINK("https://www.suredividend.com/sure-analysis-research-database/","Fabrinet")</f>
        <v>Fabrinet</v>
      </c>
      <c r="C575">
        <v>0.14506744247553499</v>
      </c>
      <c r="D575">
        <v>0.32238851557727499</v>
      </c>
      <c r="E575">
        <v>0.76264631043257003</v>
      </c>
      <c r="F575">
        <v>0.35064732491030998</v>
      </c>
      <c r="G575">
        <v>0.77967320933100404</v>
      </c>
      <c r="H575">
        <v>0.76390303524139302</v>
      </c>
      <c r="I575">
        <v>2.9180995475113121</v>
      </c>
    </row>
    <row r="576" spans="1:9" x14ac:dyDescent="0.35">
      <c r="A576" s="1" t="s">
        <v>588</v>
      </c>
      <c r="B576" t="str">
        <f>HYPERLINK("https://www.suredividend.com/sure-analysis-research-database/","Paragon 28 Inc")</f>
        <v>Paragon 28 Inc</v>
      </c>
      <c r="C576">
        <v>-0.31338818249813</v>
      </c>
      <c r="D576">
        <v>-0.48715083798882602</v>
      </c>
      <c r="E576">
        <v>-0.47392550143266399</v>
      </c>
      <c r="F576">
        <v>-0.51962323390894805</v>
      </c>
      <c r="G576">
        <v>-0.46347165400350598</v>
      </c>
      <c r="H576">
        <v>-0.50935328701229299</v>
      </c>
      <c r="I576">
        <v>-0.50935328701229299</v>
      </c>
    </row>
    <row r="577" spans="1:9" x14ac:dyDescent="0.35">
      <c r="A577" s="1" t="s">
        <v>589</v>
      </c>
      <c r="B577" t="str">
        <f>HYPERLINK("https://www.suredividend.com/sure-analysis-research-database/","Funko Inc")</f>
        <v>Funko Inc</v>
      </c>
      <c r="C577">
        <v>-1.0512483574244001E-2</v>
      </c>
      <c r="D577">
        <v>-7.6073619631901013E-2</v>
      </c>
      <c r="E577">
        <v>-0.227692307692307</v>
      </c>
      <c r="F577">
        <v>-0.30980751604033002</v>
      </c>
      <c r="G577">
        <v>-0.63535108958837705</v>
      </c>
      <c r="H577">
        <v>-0.60534591194968501</v>
      </c>
      <c r="I577">
        <v>-0.60389268805891605</v>
      </c>
    </row>
    <row r="578" spans="1:9" x14ac:dyDescent="0.35">
      <c r="A578" s="1" t="s">
        <v>590</v>
      </c>
      <c r="B578" t="str">
        <f>HYPERLINK("https://www.suredividend.com/sure-analysis-research-database/","First Bancorp Inc (ME)")</f>
        <v>First Bancorp Inc (ME)</v>
      </c>
      <c r="C578">
        <v>-7.5999982911750009E-3</v>
      </c>
      <c r="D578">
        <v>-4.0613874961797997E-2</v>
      </c>
      <c r="E578">
        <v>9.9341347303430003E-3</v>
      </c>
      <c r="F578">
        <v>-0.14620385990833501</v>
      </c>
      <c r="G578">
        <v>-0.122462393943743</v>
      </c>
      <c r="H578">
        <v>-9.603156690455901E-2</v>
      </c>
      <c r="I578">
        <v>9.0564248458985003E-2</v>
      </c>
    </row>
    <row r="579" spans="1:9" x14ac:dyDescent="0.35">
      <c r="A579" s="1" t="s">
        <v>591</v>
      </c>
      <c r="B579" t="str">
        <f>HYPERLINK("https://www.suredividend.com/sure-analysis-research-database/","Finance of America Companies Inc")</f>
        <v>Finance of America Companies Inc</v>
      </c>
      <c r="C579">
        <v>-0.29801324503311211</v>
      </c>
      <c r="D579">
        <v>-0.44791666666666602</v>
      </c>
      <c r="E579">
        <v>-0.42076502732240401</v>
      </c>
      <c r="F579">
        <v>-0.16535433070866101</v>
      </c>
      <c r="G579">
        <v>-0.33333333333333298</v>
      </c>
      <c r="H579">
        <v>-0.77731092436974702</v>
      </c>
      <c r="I579">
        <v>-0.89055240061951402</v>
      </c>
    </row>
    <row r="580" spans="1:9" x14ac:dyDescent="0.35">
      <c r="A580" s="1" t="s">
        <v>592</v>
      </c>
      <c r="B580" t="str">
        <f>HYPERLINK("https://www.suredividend.com/sure-analysis-research-database/","Focus Financial Partners Inc")</f>
        <v>Focus Financial Partners Inc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5">
      <c r="A581" s="1" t="s">
        <v>593</v>
      </c>
      <c r="B581" t="str">
        <f>HYPERLINK("https://www.suredividend.com/sure-analysis-research-database/","Amicus Therapeutics Inc")</f>
        <v>Amicus Therapeutics Inc</v>
      </c>
      <c r="C581">
        <v>-0.20244461420932</v>
      </c>
      <c r="D581">
        <v>-0.22089552238805901</v>
      </c>
      <c r="E581">
        <v>-8.4210526315789E-2</v>
      </c>
      <c r="F581">
        <v>-0.144963144963145</v>
      </c>
      <c r="G581">
        <v>-1.5094339622641E-2</v>
      </c>
      <c r="H581">
        <v>-5.7761732851985013E-2</v>
      </c>
      <c r="I581">
        <v>-0.139323990107172</v>
      </c>
    </row>
    <row r="582" spans="1:9" x14ac:dyDescent="0.35">
      <c r="A582" s="1" t="s">
        <v>594</v>
      </c>
      <c r="B582" t="str">
        <f>HYPERLINK("https://www.suredividend.com/sure-analysis-research-database/","Forestar Group Inc")</f>
        <v>Forestar Group Inc</v>
      </c>
      <c r="C582">
        <v>-7.5339948548327013E-2</v>
      </c>
      <c r="D582">
        <v>5.0521920668058003E-2</v>
      </c>
      <c r="E582">
        <v>0.65744400527009206</v>
      </c>
      <c r="F582">
        <v>0.63270603504218004</v>
      </c>
      <c r="G582">
        <v>1.3019213174748401</v>
      </c>
      <c r="H582">
        <v>0.29025641025641002</v>
      </c>
      <c r="I582">
        <v>0.33901011176157497</v>
      </c>
    </row>
    <row r="583" spans="1:9" x14ac:dyDescent="0.35">
      <c r="A583" s="1" t="s">
        <v>595</v>
      </c>
      <c r="B583" t="str">
        <f>HYPERLINK("https://www.suredividend.com/sure-analysis-research-database/","ForgeRock Inc")</f>
        <v>ForgeRock Inc</v>
      </c>
      <c r="C583">
        <v>0.137745098039215</v>
      </c>
      <c r="D583">
        <v>0.16926952141057899</v>
      </c>
      <c r="E583">
        <v>0.13886162904808599</v>
      </c>
      <c r="F583">
        <v>1.9323671497583999E-2</v>
      </c>
      <c r="G583">
        <v>0.24250535331905801</v>
      </c>
      <c r="H583">
        <v>-0.36410958904109503</v>
      </c>
      <c r="I583">
        <v>-0.36410958904109503</v>
      </c>
    </row>
    <row r="584" spans="1:9" x14ac:dyDescent="0.35">
      <c r="A584" s="1" t="s">
        <v>596</v>
      </c>
      <c r="B584" t="str">
        <f>HYPERLINK("https://www.suredividend.com/sure-analysis-research-database/","FormFactor Inc.")</f>
        <v>FormFactor Inc.</v>
      </c>
      <c r="C584">
        <v>7.9006052883083003E-2</v>
      </c>
      <c r="D584">
        <v>-5.0462573591253002E-2</v>
      </c>
      <c r="E584">
        <v>0.133154901304784</v>
      </c>
      <c r="F584">
        <v>0.52361673414304899</v>
      </c>
      <c r="G584">
        <v>0.36078746484531898</v>
      </c>
      <c r="H584">
        <v>-5.8381984987489012E-2</v>
      </c>
      <c r="I584">
        <v>1.7314516129032249</v>
      </c>
    </row>
    <row r="585" spans="1:9" x14ac:dyDescent="0.35">
      <c r="A585" s="1" t="s">
        <v>597</v>
      </c>
      <c r="B585" t="str">
        <f>HYPERLINK("https://www.suredividend.com/sure-analysis-research-database/","Forrester Research Inc.")</f>
        <v>Forrester Research Inc.</v>
      </c>
      <c r="C585">
        <v>-4.4044044044044002E-2</v>
      </c>
      <c r="D585">
        <v>-0.108032378580323</v>
      </c>
      <c r="E585">
        <v>-0.13417951042611001</v>
      </c>
      <c r="F585">
        <v>-0.19882550335570401</v>
      </c>
      <c r="G585">
        <v>-0.24882013633979999</v>
      </c>
      <c r="H585">
        <v>-0.44086651053864101</v>
      </c>
      <c r="I585">
        <v>-0.29147294490058301</v>
      </c>
    </row>
    <row r="586" spans="1:9" x14ac:dyDescent="0.35">
      <c r="A586" s="1" t="s">
        <v>598</v>
      </c>
      <c r="B586" t="str">
        <f>HYPERLINK("https://www.suredividend.com/sure-analysis-research-database/","Fossil Group Inc")</f>
        <v>Fossil Group Inc</v>
      </c>
      <c r="C586">
        <v>-0.23744292237442899</v>
      </c>
      <c r="D586">
        <v>-0.37918215613382911</v>
      </c>
      <c r="E586">
        <v>-0.47484276729559699</v>
      </c>
      <c r="F586">
        <v>-0.61252900232018503</v>
      </c>
      <c r="G586">
        <v>-0.51873198847262203</v>
      </c>
      <c r="H586">
        <v>-0.86597110754414108</v>
      </c>
      <c r="I586">
        <v>-0.92058963385639503</v>
      </c>
    </row>
    <row r="587" spans="1:9" x14ac:dyDescent="0.35">
      <c r="A587" s="1" t="s">
        <v>599</v>
      </c>
      <c r="B587" t="str">
        <f>HYPERLINK("https://www.suredividend.com/sure-analysis-research-database/","Fox Factory Holding Corp")</f>
        <v>Fox Factory Holding Corp</v>
      </c>
      <c r="C587">
        <v>-0.11188271604938201</v>
      </c>
      <c r="D587">
        <v>-0.1725377426312</v>
      </c>
      <c r="E587">
        <v>-0.18078291814946601</v>
      </c>
      <c r="F587">
        <v>9.3171105995830013E-3</v>
      </c>
      <c r="G587">
        <v>0.168231413346866</v>
      </c>
      <c r="H587">
        <v>-0.41424936386768402</v>
      </c>
      <c r="I587">
        <v>0.543412671806905</v>
      </c>
    </row>
    <row r="588" spans="1:9" x14ac:dyDescent="0.35">
      <c r="A588" s="1" t="s">
        <v>600</v>
      </c>
      <c r="B588" t="str">
        <f>HYPERLINK("https://www.suredividend.com/sure-analysis-research-database/","Farmland Partners Inc")</f>
        <v>Farmland Partners Inc</v>
      </c>
      <c r="C588">
        <v>-9.1829526724740013E-3</v>
      </c>
      <c r="D588">
        <v>-0.14799876897160499</v>
      </c>
      <c r="E588">
        <v>-1.1677611491595999E-2</v>
      </c>
      <c r="F588">
        <v>-0.14156085778633601</v>
      </c>
      <c r="G588">
        <v>-0.17763029322326701</v>
      </c>
      <c r="H588">
        <v>-7.2302224887344002E-2</v>
      </c>
      <c r="I588">
        <v>0.89273312822727102</v>
      </c>
    </row>
    <row r="589" spans="1:9" x14ac:dyDescent="0.35">
      <c r="A589" s="1" t="s">
        <v>601</v>
      </c>
      <c r="B589" t="str">
        <f>HYPERLINK("https://www.suredividend.com/sure-analysis-research-database/","First Bank (NJ)")</f>
        <v>First Bank (NJ)</v>
      </c>
      <c r="C589">
        <v>8.888888888880001E-4</v>
      </c>
      <c r="D589">
        <v>-4.9283585366059E-2</v>
      </c>
      <c r="E589">
        <v>0.17006463412099601</v>
      </c>
      <c r="F589">
        <v>-0.16477517171806999</v>
      </c>
      <c r="G589">
        <v>-0.19593253259829399</v>
      </c>
      <c r="H589">
        <v>-0.21893967245409701</v>
      </c>
      <c r="I589">
        <v>5.4828282106690008E-3</v>
      </c>
    </row>
    <row r="590" spans="1:9" x14ac:dyDescent="0.35">
      <c r="A590" s="1" t="s">
        <v>602</v>
      </c>
      <c r="B590" t="str">
        <f>HYPERLINK("https://www.suredividend.com/sure-analysis-research-database/","Republic First Bancorp, Inc.")</f>
        <v>Republic First Bancorp, Inc.</v>
      </c>
      <c r="C590">
        <v>-0.71428571428571408</v>
      </c>
      <c r="D590">
        <v>-0.70588235294117607</v>
      </c>
      <c r="E590">
        <v>-0.70588235294117607</v>
      </c>
      <c r="F590">
        <v>-0.70588235294117607</v>
      </c>
      <c r="G590">
        <v>-0.70588235294117607</v>
      </c>
      <c r="H590">
        <v>-0.70588235294117607</v>
      </c>
      <c r="I590">
        <v>-0.70588235294117607</v>
      </c>
    </row>
    <row r="591" spans="1:9" x14ac:dyDescent="0.35">
      <c r="A591" s="1" t="s">
        <v>603</v>
      </c>
      <c r="B591" t="str">
        <f>HYPERLINK("https://www.suredividend.com/sure-analysis-research-database/","Whole Earth Brands Inc")</f>
        <v>Whole Earth Brands Inc</v>
      </c>
      <c r="C591">
        <v>-8.6111111111111013E-2</v>
      </c>
      <c r="D591">
        <v>-0.19164619164619101</v>
      </c>
      <c r="E591">
        <v>0.265384615384615</v>
      </c>
      <c r="F591">
        <v>-0.19164619164619101</v>
      </c>
      <c r="G591">
        <v>-1.2012012012012E-2</v>
      </c>
      <c r="H591">
        <v>-0.72071307300509302</v>
      </c>
      <c r="I591">
        <v>-0.660824742268041</v>
      </c>
    </row>
    <row r="592" spans="1:9" x14ac:dyDescent="0.35">
      <c r="A592" s="1" t="s">
        <v>604</v>
      </c>
      <c r="B592" t="str">
        <f>HYPERLINK("https://www.suredividend.com/sure-analysis-research-database/","Franchise Group Inc")</f>
        <v>Franchise Group Inc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 s="1" t="s">
        <v>605</v>
      </c>
      <c r="B593" t="str">
        <f>HYPERLINK("https://www.suredividend.com/sure-analysis-research-database/","First Merchants Corp.")</f>
        <v>First Merchants Corp.</v>
      </c>
      <c r="C593">
        <v>-5.7645840524679998E-2</v>
      </c>
      <c r="D593">
        <v>-5.6065556765727997E-2</v>
      </c>
      <c r="E593">
        <v>-4.3628745787412E-2</v>
      </c>
      <c r="F593">
        <v>-0.29726473813458498</v>
      </c>
      <c r="G593">
        <v>-0.30730526524118701</v>
      </c>
      <c r="H593">
        <v>-0.301039479748067</v>
      </c>
      <c r="I593">
        <v>-0.24358711493596799</v>
      </c>
    </row>
    <row r="594" spans="1:9" x14ac:dyDescent="0.35">
      <c r="A594" s="1" t="s">
        <v>606</v>
      </c>
      <c r="B594" t="str">
        <f>HYPERLINK("https://www.suredividend.com/sure-analysis-research-database/","Frontline Plc")</f>
        <v>Frontline Plc</v>
      </c>
      <c r="C594">
        <v>0.261321909424724</v>
      </c>
      <c r="D594">
        <v>0.41850317287706201</v>
      </c>
      <c r="E594">
        <v>0.41409428667485398</v>
      </c>
      <c r="F594">
        <v>0.95022710068130212</v>
      </c>
      <c r="G594">
        <v>0.98621885992386604</v>
      </c>
      <c r="H594">
        <v>1.654798861308979</v>
      </c>
      <c r="I594">
        <v>3.4491937050709138</v>
      </c>
    </row>
    <row r="595" spans="1:9" x14ac:dyDescent="0.35">
      <c r="A595" s="1" t="s">
        <v>607</v>
      </c>
      <c r="B595" t="str">
        <f>HYPERLINK("https://www.suredividend.com/sure-analysis-research-database/","FRP Holdings Inc")</f>
        <v>FRP Holdings Inc</v>
      </c>
      <c r="C595">
        <v>-3.7939436129481002E-2</v>
      </c>
      <c r="D595">
        <v>-3.2382286014353001E-2</v>
      </c>
      <c r="E595">
        <v>-7.0924369747899008E-2</v>
      </c>
      <c r="F595">
        <v>2.6364649090234001E-2</v>
      </c>
      <c r="G595">
        <v>8.207185847163E-3</v>
      </c>
      <c r="H595">
        <v>-1.4265335235377E-2</v>
      </c>
      <c r="I595">
        <v>4.0075258701787013E-2</v>
      </c>
    </row>
    <row r="596" spans="1:9" x14ac:dyDescent="0.35">
      <c r="A596" s="1" t="s">
        <v>608</v>
      </c>
      <c r="B596" t="str">
        <f>HYPERLINK("https://www.suredividend.com/sure-analysis-research-database/","Primis Financial Corp")</f>
        <v>Primis Financial Corp</v>
      </c>
      <c r="C596">
        <v>-2.8220858895705001E-2</v>
      </c>
      <c r="D596">
        <v>-4.4147819160491E-2</v>
      </c>
      <c r="E596">
        <v>-0.15068845708403</v>
      </c>
      <c r="F596">
        <v>-0.30252833478639901</v>
      </c>
      <c r="G596">
        <v>-0.32368964869434502</v>
      </c>
      <c r="H596">
        <v>-0.42535824415019002</v>
      </c>
      <c r="I596">
        <v>-0.46923826979717798</v>
      </c>
    </row>
    <row r="597" spans="1:9" x14ac:dyDescent="0.35">
      <c r="A597" s="1" t="s">
        <v>609</v>
      </c>
      <c r="B597" t="str">
        <f>HYPERLINK("https://www.suredividend.com/sure-analysis-research-database/","Five Star Bancorp")</f>
        <v>Five Star Bancorp</v>
      </c>
      <c r="C597">
        <v>-4.6545810877020997E-2</v>
      </c>
      <c r="D597">
        <v>-0.108120866580198</v>
      </c>
      <c r="E597">
        <v>5.2639463583710007E-3</v>
      </c>
      <c r="F597">
        <v>-0.25542172362601201</v>
      </c>
      <c r="G597">
        <v>-0.30281382334606299</v>
      </c>
      <c r="H597">
        <v>-0.17344489986620501</v>
      </c>
      <c r="I597">
        <v>-0.134241504800377</v>
      </c>
    </row>
    <row r="598" spans="1:9" x14ac:dyDescent="0.35">
      <c r="A598" s="1" t="s">
        <v>610</v>
      </c>
      <c r="B598" t="str">
        <f>HYPERLINK("https://www.suredividend.com/sure-analysis-research-database/","Fastly Inc")</f>
        <v>Fastly Inc</v>
      </c>
      <c r="C598">
        <v>-0.28432327166504301</v>
      </c>
      <c r="D598">
        <v>-0.16</v>
      </c>
      <c r="E598">
        <v>-7.7212806026365002E-2</v>
      </c>
      <c r="F598">
        <v>0.79487179487179405</v>
      </c>
      <c r="G598">
        <v>0.97580645161290303</v>
      </c>
      <c r="H598">
        <v>-0.67253285809757102</v>
      </c>
      <c r="I598">
        <v>-0.38724468528553502</v>
      </c>
    </row>
    <row r="599" spans="1:9" x14ac:dyDescent="0.35">
      <c r="A599" s="1" t="s">
        <v>611</v>
      </c>
      <c r="B599" t="str">
        <f>HYPERLINK("https://www.suredividend.com/sure-analysis-research-database/","Franklin Street Properties Corp.")</f>
        <v>Franklin Street Properties Corp.</v>
      </c>
      <c r="C599">
        <v>-4.3478260869565001E-2</v>
      </c>
      <c r="D599">
        <v>8.6285643747685006E-2</v>
      </c>
      <c r="E599">
        <v>0.49927591788056902</v>
      </c>
      <c r="F599">
        <v>-0.34426229508196698</v>
      </c>
      <c r="G599">
        <v>-0.28391244202131899</v>
      </c>
      <c r="H599">
        <v>-0.614153549348884</v>
      </c>
      <c r="I599">
        <v>-0.6652592339001101</v>
      </c>
    </row>
    <row r="600" spans="1:9" x14ac:dyDescent="0.35">
      <c r="A600" s="1" t="s">
        <v>612</v>
      </c>
      <c r="B600" t="str">
        <f>HYPERLINK("https://www.suredividend.com/sure-analysis-research-database/","Fisker Inc")</f>
        <v>Fisker Inc</v>
      </c>
      <c r="C600">
        <v>-0.11031518624641801</v>
      </c>
      <c r="D600">
        <v>6.4829821717990004E-3</v>
      </c>
      <c r="E600">
        <v>0.23705179282868499</v>
      </c>
      <c r="F600">
        <v>-0.145804676753782</v>
      </c>
      <c r="G600">
        <v>-3.5714285714284998E-2</v>
      </c>
      <c r="H600">
        <v>-0.56113074204947</v>
      </c>
      <c r="I600">
        <v>-0.356476683937823</v>
      </c>
    </row>
    <row r="601" spans="1:9" x14ac:dyDescent="0.35">
      <c r="A601" s="1" t="s">
        <v>613</v>
      </c>
      <c r="B601" t="str">
        <f>HYPERLINK("https://www.suredividend.com/sure-analysis-research-database/","Federal Signal Corp.")</f>
        <v>Federal Signal Corp.</v>
      </c>
      <c r="C601">
        <v>9.220452640402001E-3</v>
      </c>
      <c r="D601">
        <v>-5.3976754857405003E-2</v>
      </c>
      <c r="E601">
        <v>0.176486682444356</v>
      </c>
      <c r="F601">
        <v>0.302331216143715</v>
      </c>
      <c r="G601">
        <v>0.43707314511335399</v>
      </c>
      <c r="H601">
        <v>0.47971172659253303</v>
      </c>
      <c r="I601">
        <v>1.650021129736583</v>
      </c>
    </row>
    <row r="602" spans="1:9" x14ac:dyDescent="0.35">
      <c r="A602" s="1" t="s">
        <v>614</v>
      </c>
      <c r="B602" t="str">
        <f>HYPERLINK("https://www.suredividend.com/sure-analysis-research-database/","FTC Solar Inc")</f>
        <v>FTC Solar Inc</v>
      </c>
      <c r="C602">
        <v>-7.7464788732393999E-2</v>
      </c>
      <c r="D602">
        <v>-0.58146964856229999</v>
      </c>
      <c r="E602">
        <v>-0.54195804195804109</v>
      </c>
      <c r="F602">
        <v>-0.51119402985074602</v>
      </c>
      <c r="G602">
        <v>-0.46311475409836012</v>
      </c>
      <c r="H602">
        <v>-0.80091185410334309</v>
      </c>
      <c r="I602">
        <v>-0.90813464235624108</v>
      </c>
    </row>
    <row r="603" spans="1:9" x14ac:dyDescent="0.35">
      <c r="A603" s="1" t="s">
        <v>615</v>
      </c>
      <c r="B603" t="str">
        <f>HYPERLINK("https://www.suredividend.com/sure-analysis-research-database/","Frontdoor Inc.")</f>
        <v>Frontdoor Inc.</v>
      </c>
      <c r="C603">
        <v>-1.4089016970861E-2</v>
      </c>
      <c r="D603">
        <v>-9.5475910693301011E-2</v>
      </c>
      <c r="E603">
        <v>0.13281824871228801</v>
      </c>
      <c r="F603">
        <v>0.48028846153846111</v>
      </c>
      <c r="G603">
        <v>0.51749630359783105</v>
      </c>
      <c r="H603">
        <v>-0.27892271662763402</v>
      </c>
      <c r="I603">
        <v>-0.225408805031446</v>
      </c>
    </row>
    <row r="604" spans="1:9" x14ac:dyDescent="0.35">
      <c r="A604" s="1" t="s">
        <v>616</v>
      </c>
      <c r="B604" t="str">
        <f>HYPERLINK("https://www.suredividend.com/sure-analysis-research-database/","fuboTV Inc")</f>
        <v>fuboTV Inc</v>
      </c>
      <c r="C604">
        <v>-0.145985401459854</v>
      </c>
      <c r="D604">
        <v>-0.18181818181818099</v>
      </c>
      <c r="E604">
        <v>0.91803278688524503</v>
      </c>
      <c r="F604">
        <v>0.34482758620689602</v>
      </c>
      <c r="G604">
        <v>-0.38582677165354301</v>
      </c>
      <c r="H604">
        <v>-0.91645840771153109</v>
      </c>
      <c r="I604">
        <v>4.441860465116279</v>
      </c>
    </row>
    <row r="605" spans="1:9" x14ac:dyDescent="0.35">
      <c r="A605" s="1" t="s">
        <v>617</v>
      </c>
      <c r="B605" t="str">
        <f>HYPERLINK("https://www.suredividend.com/sure-analysis-FUL/","H.B. Fuller Company")</f>
        <v>H.B. Fuller Company</v>
      </c>
      <c r="C605">
        <v>2.1928550682543999E-2</v>
      </c>
      <c r="D605">
        <v>-1.5833919774799999E-3</v>
      </c>
      <c r="E605">
        <v>6.8588922026568008E-2</v>
      </c>
      <c r="F605">
        <v>-9.1356091626440001E-3</v>
      </c>
      <c r="G605">
        <v>0.10833559084981299</v>
      </c>
      <c r="H605">
        <v>5.0000746057088007E-2</v>
      </c>
      <c r="I605">
        <v>0.61940617937966802</v>
      </c>
    </row>
    <row r="606" spans="1:9" x14ac:dyDescent="0.35">
      <c r="A606" s="1" t="s">
        <v>618</v>
      </c>
      <c r="B606" t="str">
        <f>HYPERLINK("https://www.suredividend.com/sure-analysis-research-database/","Fulcrum Therapeutics Inc")</f>
        <v>Fulcrum Therapeutics Inc</v>
      </c>
      <c r="C606">
        <v>-0.133630289532294</v>
      </c>
      <c r="D606">
        <v>5.7065217391303998E-2</v>
      </c>
      <c r="E606">
        <v>0.61410788381742709</v>
      </c>
      <c r="F606">
        <v>-0.46565934065934012</v>
      </c>
      <c r="G606">
        <v>-0.48133333333333311</v>
      </c>
      <c r="H606">
        <v>-0.85038461538461507</v>
      </c>
      <c r="I606">
        <v>-0.71185185185185107</v>
      </c>
    </row>
    <row r="607" spans="1:9" x14ac:dyDescent="0.35">
      <c r="A607" s="1" t="s">
        <v>619</v>
      </c>
      <c r="B607" t="str">
        <f>HYPERLINK("https://www.suredividend.com/sure-analysis-FULT/","Fulton Financial Corp.")</f>
        <v>Fulton Financial Corp.</v>
      </c>
      <c r="C607">
        <v>-4.7956811285809003E-2</v>
      </c>
      <c r="D607">
        <v>9.3667226497540015E-3</v>
      </c>
      <c r="E607">
        <v>-3.7565231247261001E-2</v>
      </c>
      <c r="F607">
        <v>-0.23514290417758801</v>
      </c>
      <c r="G607">
        <v>-0.24293700333408499</v>
      </c>
      <c r="H607">
        <v>-0.15474824372358501</v>
      </c>
      <c r="I607">
        <v>-4.7235958955429001E-2</v>
      </c>
    </row>
    <row r="608" spans="1:9" x14ac:dyDescent="0.35">
      <c r="A608" s="1" t="s">
        <v>620</v>
      </c>
      <c r="B608" t="str">
        <f>HYPERLINK("https://www.suredividend.com/sure-analysis-research-database/","FVCBankcorp Inc")</f>
        <v>FVCBankcorp Inc</v>
      </c>
      <c r="C608">
        <v>-3.3195020746887002E-2</v>
      </c>
      <c r="D608">
        <v>0.10846812559467101</v>
      </c>
      <c r="E608">
        <v>0.201030927835051</v>
      </c>
      <c r="F608">
        <v>-0.23636601992658601</v>
      </c>
      <c r="G608">
        <v>-0.26078680203045601</v>
      </c>
      <c r="H608">
        <v>-0.28580186365865601</v>
      </c>
      <c r="I608">
        <v>-0.214959568733153</v>
      </c>
    </row>
    <row r="609" spans="1:9" x14ac:dyDescent="0.35">
      <c r="A609" s="1" t="s">
        <v>621</v>
      </c>
      <c r="B609" t="str">
        <f>HYPERLINK("https://www.suredividend.com/sure-analysis-research-database/","Forward Air Corp.")</f>
        <v>Forward Air Corp.</v>
      </c>
      <c r="C609">
        <v>4.1648590021691002E-2</v>
      </c>
      <c r="D609">
        <v>-0.33258960422368911</v>
      </c>
      <c r="E609">
        <v>-0.34158989176406901</v>
      </c>
      <c r="F609">
        <v>-0.30582794208775799</v>
      </c>
      <c r="G609">
        <v>-0.25073491015684302</v>
      </c>
      <c r="H609">
        <v>-0.14326290398549801</v>
      </c>
      <c r="I609">
        <v>0.184797484011895</v>
      </c>
    </row>
    <row r="610" spans="1:9" x14ac:dyDescent="0.35">
      <c r="A610" s="1" t="s">
        <v>622</v>
      </c>
      <c r="B610" t="str">
        <f>HYPERLINK("https://www.suredividend.com/sure-analysis-research-database/","First Watch Restaurant Group Inc")</f>
        <v>First Watch Restaurant Group Inc</v>
      </c>
      <c r="C610">
        <v>-0.133403917416622</v>
      </c>
      <c r="D610">
        <v>-0.10887316276537801</v>
      </c>
      <c r="E610">
        <v>8.4824387011265004E-2</v>
      </c>
      <c r="F610">
        <v>0.20990391722099</v>
      </c>
      <c r="G610">
        <v>7.6265614727153E-2</v>
      </c>
      <c r="H610">
        <v>-0.24177860120426101</v>
      </c>
      <c r="I610">
        <v>-0.26028016267510101</v>
      </c>
    </row>
    <row r="611" spans="1:9" x14ac:dyDescent="0.35">
      <c r="A611" s="1" t="s">
        <v>623</v>
      </c>
      <c r="B611" t="str">
        <f>HYPERLINK("https://www.suredividend.com/sure-analysis-research-database/","F45 Training Holdings Inc")</f>
        <v>F45 Training Holdings Inc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 s="1" t="s">
        <v>624</v>
      </c>
      <c r="B612" t="str">
        <f>HYPERLINK("https://www.suredividend.com/sure-analysis-research-database/","German American Bancorp Inc")</f>
        <v>German American Bancorp Inc</v>
      </c>
      <c r="C612">
        <v>-7.6543209876543006E-2</v>
      </c>
      <c r="D612">
        <v>-2.0664063084496E-2</v>
      </c>
      <c r="E612">
        <v>-0.135162991054321</v>
      </c>
      <c r="F612">
        <v>-0.27481835834166601</v>
      </c>
      <c r="G612">
        <v>-0.27210649821501998</v>
      </c>
      <c r="H612">
        <v>-0.28367781371245299</v>
      </c>
      <c r="I612">
        <v>-0.10023851584033799</v>
      </c>
    </row>
    <row r="613" spans="1:9" x14ac:dyDescent="0.35">
      <c r="A613" s="1" t="s">
        <v>625</v>
      </c>
      <c r="B613" t="str">
        <f>HYPERLINK("https://www.suredividend.com/sure-analysis-research-database/","Gambling.com Group Ltd")</f>
        <v>Gambling.com Group Ltd</v>
      </c>
      <c r="C613">
        <v>3.7735849056600001E-3</v>
      </c>
      <c r="D613">
        <v>0.138698630136986</v>
      </c>
      <c r="E613">
        <v>0.35437881873727001</v>
      </c>
      <c r="F613">
        <v>0.45355191256830601</v>
      </c>
      <c r="G613">
        <v>0.75693527080581202</v>
      </c>
      <c r="H613">
        <v>0.186440677966101</v>
      </c>
      <c r="I613">
        <v>0.66250000000000009</v>
      </c>
    </row>
    <row r="614" spans="1:9" x14ac:dyDescent="0.35">
      <c r="A614" s="1" t="s">
        <v>626</v>
      </c>
      <c r="B614" t="str">
        <f>HYPERLINK("https://www.suredividend.com/sure-analysis-GATX/","GATX Corp.")</f>
        <v>GATX Corp.</v>
      </c>
      <c r="C614">
        <v>-4.6423537702607001E-2</v>
      </c>
      <c r="D614">
        <v>-0.161066673693298</v>
      </c>
      <c r="E614">
        <v>-2.7059869297964001E-2</v>
      </c>
      <c r="F614">
        <v>3.2555300132586E-2</v>
      </c>
      <c r="G614">
        <v>0.20985002330288499</v>
      </c>
      <c r="H614">
        <v>0.17567966774695201</v>
      </c>
      <c r="I614">
        <v>0.45362695031080003</v>
      </c>
    </row>
    <row r="615" spans="1:9" x14ac:dyDescent="0.35">
      <c r="A615" s="1" t="s">
        <v>627</v>
      </c>
      <c r="B615" t="str">
        <f>HYPERLINK("https://www.suredividend.com/sure-analysis-research-database/","Glacier Bancorp, Inc.")</f>
        <v>Glacier Bancorp, Inc.</v>
      </c>
      <c r="C615">
        <v>4.4733125838702002E-2</v>
      </c>
      <c r="D615">
        <v>-5.7121207797930007E-2</v>
      </c>
      <c r="E615">
        <v>-0.192775695328467</v>
      </c>
      <c r="F615">
        <v>-0.37448338090260302</v>
      </c>
      <c r="G615">
        <v>-0.39914943480852111</v>
      </c>
      <c r="H615">
        <v>-0.39527033896581798</v>
      </c>
      <c r="I615">
        <v>-0.138757366462505</v>
      </c>
    </row>
    <row r="616" spans="1:9" x14ac:dyDescent="0.35">
      <c r="A616" s="1" t="s">
        <v>628</v>
      </c>
      <c r="B616" t="str">
        <f>HYPERLINK("https://www.suredividend.com/sure-analysis-research-database/","Generation Bio Co")</f>
        <v>Generation Bio Co</v>
      </c>
      <c r="C616">
        <v>-0.20975609756097499</v>
      </c>
      <c r="D616">
        <v>-0.36220472440944801</v>
      </c>
      <c r="E616">
        <v>-0.27999999999999903</v>
      </c>
      <c r="F616">
        <v>-0.17557251908396901</v>
      </c>
      <c r="G616">
        <v>-0.42245989304812798</v>
      </c>
      <c r="H616">
        <v>-0.85144429160935309</v>
      </c>
      <c r="I616">
        <v>-0.86877278250303702</v>
      </c>
    </row>
    <row r="617" spans="1:9" x14ac:dyDescent="0.35">
      <c r="A617" s="1" t="s">
        <v>629</v>
      </c>
      <c r="B617" t="str">
        <f>HYPERLINK("https://www.suredividend.com/sure-analysis-research-database/","Greenbrier Cos., Inc.")</f>
        <v>Greenbrier Cos., Inc.</v>
      </c>
      <c r="C617">
        <v>3.0357142857142E-2</v>
      </c>
      <c r="D617">
        <v>-6.8281430219146011E-2</v>
      </c>
      <c r="E617">
        <v>0.39625889730462199</v>
      </c>
      <c r="F617">
        <v>0.236185118645001</v>
      </c>
      <c r="G617">
        <v>0.6861202952275991</v>
      </c>
      <c r="H617">
        <v>-8.2124725591880013E-2</v>
      </c>
      <c r="I617">
        <v>-0.202727190180852</v>
      </c>
    </row>
    <row r="618" spans="1:9" x14ac:dyDescent="0.35">
      <c r="A618" s="1" t="s">
        <v>630</v>
      </c>
      <c r="B618" t="str">
        <f>HYPERLINK("https://www.suredividend.com/sure-analysis-research-database/","Greene County Bancorp Inc")</f>
        <v>Greene County Bancorp Inc</v>
      </c>
      <c r="C618">
        <v>-9.4827586206896006E-2</v>
      </c>
      <c r="D618">
        <v>-0.14884468442050899</v>
      </c>
      <c r="E618">
        <v>0.16538868004651799</v>
      </c>
      <c r="F618">
        <v>2.4031819398841638</v>
      </c>
      <c r="G618">
        <v>2.3823529411764701</v>
      </c>
      <c r="H618">
        <v>4.9034907597535931</v>
      </c>
      <c r="I618">
        <v>5.7573239318391671</v>
      </c>
    </row>
    <row r="619" spans="1:9" x14ac:dyDescent="0.35">
      <c r="A619" s="1" t="s">
        <v>631</v>
      </c>
      <c r="B619" t="str">
        <f>HYPERLINK("https://www.suredividend.com/sure-analysis-research-database/","Gannett Co Inc.")</f>
        <v>Gannett Co Inc.</v>
      </c>
      <c r="C619">
        <v>-7.5187969924812012E-2</v>
      </c>
      <c r="D619">
        <v>-4.6511627906976001E-2</v>
      </c>
      <c r="E619">
        <v>0.34426229508196698</v>
      </c>
      <c r="F619">
        <v>0.21182266009852199</v>
      </c>
      <c r="G619">
        <v>0.82222222222222208</v>
      </c>
      <c r="H619">
        <v>-0.59405940594059403</v>
      </c>
      <c r="I619">
        <v>-0.81151736185601708</v>
      </c>
    </row>
    <row r="620" spans="1:9" x14ac:dyDescent="0.35">
      <c r="A620" s="1" t="s">
        <v>632</v>
      </c>
      <c r="B620" t="str">
        <f>HYPERLINK("https://www.suredividend.com/sure-analysis-research-database/","GCM Grosvenor Inc")</f>
        <v>GCM Grosvenor Inc</v>
      </c>
      <c r="C620">
        <v>1.6817593790426001E-2</v>
      </c>
      <c r="D620">
        <v>6.6717333478095012E-2</v>
      </c>
      <c r="E620">
        <v>5.0886434740754001E-2</v>
      </c>
      <c r="F620">
        <v>0.111566800073538</v>
      </c>
      <c r="G620">
        <v>0.18142191492559701</v>
      </c>
      <c r="H620">
        <v>-0.21407859214078501</v>
      </c>
      <c r="I620">
        <v>-0.16325118432958899</v>
      </c>
    </row>
    <row r="621" spans="1:9" x14ac:dyDescent="0.35">
      <c r="A621" s="1" t="s">
        <v>633</v>
      </c>
      <c r="B621" t="str">
        <f>HYPERLINK("https://www.suredividend.com/sure-analysis-research-database/","Genesco Inc.")</f>
        <v>Genesco Inc.</v>
      </c>
      <c r="C621">
        <v>-0.102175346077785</v>
      </c>
      <c r="D621">
        <v>6.8235294117646006E-2</v>
      </c>
      <c r="E621">
        <v>-0.25041276829939402</v>
      </c>
      <c r="F621">
        <v>-0.40808344198174701</v>
      </c>
      <c r="G621">
        <v>-0.32674246169055798</v>
      </c>
      <c r="H621">
        <v>-0.54410041841004109</v>
      </c>
      <c r="I621">
        <v>-0.366511627906976</v>
      </c>
    </row>
    <row r="622" spans="1:9" x14ac:dyDescent="0.35">
      <c r="A622" s="1" t="s">
        <v>634</v>
      </c>
      <c r="B622" t="str">
        <f>HYPERLINK("https://www.suredividend.com/sure-analysis-research-database/","Golden Entertainment Inc")</f>
        <v>Golden Entertainment Inc</v>
      </c>
      <c r="C622">
        <v>-7.8673245614034007E-2</v>
      </c>
      <c r="D622">
        <v>-0.141601305603726</v>
      </c>
      <c r="E622">
        <v>-0.11773430178684401</v>
      </c>
      <c r="F622">
        <v>-7.3335046354950006E-3</v>
      </c>
      <c r="G622">
        <v>-8.826792607401801E-2</v>
      </c>
      <c r="H622">
        <v>-0.26264753630819099</v>
      </c>
      <c r="I622">
        <v>0.74463269797765808</v>
      </c>
    </row>
    <row r="623" spans="1:9" x14ac:dyDescent="0.35">
      <c r="A623" s="1" t="s">
        <v>635</v>
      </c>
      <c r="B623" t="str">
        <f>HYPERLINK("https://www.suredividend.com/sure-analysis-research-database/","Green Dot Corp.")</f>
        <v>Green Dot Corp.</v>
      </c>
      <c r="C623">
        <v>-0.20040622884224699</v>
      </c>
      <c r="D623">
        <v>-0.391550747037609</v>
      </c>
      <c r="E623">
        <v>-0.30854800936768101</v>
      </c>
      <c r="F623">
        <v>-0.25347661188369103</v>
      </c>
      <c r="G623">
        <v>-0.39497950819672101</v>
      </c>
      <c r="H623">
        <v>-0.7388901171788631</v>
      </c>
      <c r="I623">
        <v>-0.84326476443264708</v>
      </c>
    </row>
    <row r="624" spans="1:9" x14ac:dyDescent="0.35">
      <c r="A624" s="1" t="s">
        <v>636</v>
      </c>
      <c r="B624" t="str">
        <f>HYPERLINK("https://www.suredividend.com/sure-analysis-research-database/","Grid Dynamics Holdings Inc")</f>
        <v>Grid Dynamics Holdings Inc</v>
      </c>
      <c r="C624">
        <v>-3.7928221859706013E-2</v>
      </c>
      <c r="D624">
        <v>0.108552631578947</v>
      </c>
      <c r="E624">
        <v>-4.9556809024979012E-2</v>
      </c>
      <c r="F624">
        <v>5.1247771836006997E-2</v>
      </c>
      <c r="G624">
        <v>-0.17169943820224701</v>
      </c>
      <c r="H624">
        <v>-0.60670223407802504</v>
      </c>
      <c r="I624">
        <v>0.241578947368421</v>
      </c>
    </row>
    <row r="625" spans="1:9" x14ac:dyDescent="0.35">
      <c r="A625" s="1" t="s">
        <v>637</v>
      </c>
      <c r="B625" t="str">
        <f>HYPERLINK("https://www.suredividend.com/sure-analysis-GEF/","Greif Inc")</f>
        <v>Greif Inc</v>
      </c>
      <c r="C625">
        <v>-4.2144452717796002E-2</v>
      </c>
      <c r="D625">
        <v>-9.9391753385682013E-2</v>
      </c>
      <c r="E625">
        <v>3.7698864048864002E-2</v>
      </c>
      <c r="F625">
        <v>-1.8195139821712E-2</v>
      </c>
      <c r="G625">
        <v>0.11015223169595</v>
      </c>
      <c r="H625">
        <v>6.1908331159546012E-2</v>
      </c>
      <c r="I625">
        <v>0.63914790812412803</v>
      </c>
    </row>
    <row r="626" spans="1:9" x14ac:dyDescent="0.35">
      <c r="A626" s="1" t="s">
        <v>638</v>
      </c>
      <c r="B626" t="str">
        <f>HYPERLINK("https://www.suredividend.com/sure-analysis-research-database/","Geo Group, Inc.")</f>
        <v>Geo Group, Inc.</v>
      </c>
      <c r="C626">
        <v>0.120211360634082</v>
      </c>
      <c r="D626">
        <v>0.16323731138545899</v>
      </c>
      <c r="E626">
        <v>3.7943696450428013E-2</v>
      </c>
      <c r="F626">
        <v>-0.22557077625570701</v>
      </c>
      <c r="G626">
        <v>-3.525264394829E-3</v>
      </c>
      <c r="H626">
        <v>2.0457280385077999E-2</v>
      </c>
      <c r="I626">
        <v>-0.51035868535926199</v>
      </c>
    </row>
    <row r="627" spans="1:9" x14ac:dyDescent="0.35">
      <c r="A627" s="1" t="s">
        <v>639</v>
      </c>
      <c r="B627" t="str">
        <f>HYPERLINK("https://www.suredividend.com/sure-analysis-research-database/","Geron Corp.")</f>
        <v>Geron Corp.</v>
      </c>
      <c r="C627">
        <v>-0.194570135746606</v>
      </c>
      <c r="D627">
        <v>-0.44720496894409911</v>
      </c>
      <c r="E627">
        <v>-9.6446700507614003E-2</v>
      </c>
      <c r="F627">
        <v>-0.26446280991735499</v>
      </c>
      <c r="G627">
        <v>-0.19090909090909</v>
      </c>
      <c r="H627">
        <v>0.26241134751772999</v>
      </c>
      <c r="I627">
        <v>7.2289156626506007E-2</v>
      </c>
    </row>
    <row r="628" spans="1:9" x14ac:dyDescent="0.35">
      <c r="A628" s="1" t="s">
        <v>640</v>
      </c>
      <c r="B628" t="str">
        <f>HYPERLINK("https://www.suredividend.com/sure-analysis-research-database/","Guess Inc.")</f>
        <v>Guess Inc.</v>
      </c>
      <c r="C628">
        <v>-5.3595355069227003E-2</v>
      </c>
      <c r="D628">
        <v>8.732463747293201E-2</v>
      </c>
      <c r="E628">
        <v>0.12303574740970299</v>
      </c>
      <c r="F628">
        <v>6.6313744829460008E-2</v>
      </c>
      <c r="G628">
        <v>0.45294222514776211</v>
      </c>
      <c r="H628">
        <v>0.159412360134599</v>
      </c>
      <c r="I628">
        <v>0.17804030576789401</v>
      </c>
    </row>
    <row r="629" spans="1:9" x14ac:dyDescent="0.35">
      <c r="A629" s="1" t="s">
        <v>641</v>
      </c>
      <c r="B629" t="str">
        <f>HYPERLINK("https://www.suredividend.com/sure-analysis-research-database/","Gevo Inc")</f>
        <v>Gevo Inc</v>
      </c>
      <c r="C629">
        <v>-0.27142857142857102</v>
      </c>
      <c r="D629">
        <v>-0.36645962732919202</v>
      </c>
      <c r="E629">
        <v>-0.17741935483870899</v>
      </c>
      <c r="F629">
        <v>-0.46315789473684199</v>
      </c>
      <c r="G629">
        <v>-0.49</v>
      </c>
      <c r="H629">
        <v>-0.84210526315789402</v>
      </c>
      <c r="I629">
        <v>-0.72872340425531901</v>
      </c>
    </row>
    <row r="630" spans="1:9" x14ac:dyDescent="0.35">
      <c r="A630" s="1" t="s">
        <v>642</v>
      </c>
      <c r="B630" t="str">
        <f>HYPERLINK("https://www.suredividend.com/sure-analysis-research-database/","Griffon Corp.")</f>
        <v>Griffon Corp.</v>
      </c>
      <c r="C630">
        <v>2.1380731581658E-2</v>
      </c>
      <c r="D630">
        <v>-5.2147429921063998E-2</v>
      </c>
      <c r="E630">
        <v>0.39419256383749302</v>
      </c>
      <c r="F630">
        <v>0.192897371714643</v>
      </c>
      <c r="G630">
        <v>0.47420238772452211</v>
      </c>
      <c r="H630">
        <v>0.79632851292087903</v>
      </c>
      <c r="I630">
        <v>2.1999548051780349</v>
      </c>
    </row>
    <row r="631" spans="1:9" x14ac:dyDescent="0.35">
      <c r="A631" s="1" t="s">
        <v>643</v>
      </c>
      <c r="B631" t="str">
        <f>HYPERLINK("https://www.suredividend.com/sure-analysis-research-database/","Graham Holdings Co.")</f>
        <v>Graham Holdings Co.</v>
      </c>
      <c r="C631">
        <v>3.8749765282249998E-3</v>
      </c>
      <c r="D631">
        <v>5.2611418886470002E-2</v>
      </c>
      <c r="E631">
        <v>-4.6497520764100008E-3</v>
      </c>
      <c r="F631">
        <v>-1.8611798286074999E-2</v>
      </c>
      <c r="G631">
        <v>5.4627850403097998E-2</v>
      </c>
      <c r="H631">
        <v>4.6736850199226E-2</v>
      </c>
      <c r="I631">
        <v>8.953418745145901E-2</v>
      </c>
    </row>
    <row r="632" spans="1:9" x14ac:dyDescent="0.35">
      <c r="A632" s="1" t="s">
        <v>644</v>
      </c>
      <c r="B632" t="str">
        <f>HYPERLINK("https://www.suredividend.com/sure-analysis-research-database/","Global Industrial Co")</f>
        <v>Global Industrial Co</v>
      </c>
      <c r="C632">
        <v>6.5589353612167001E-2</v>
      </c>
      <c r="D632">
        <v>0.231773380069665</v>
      </c>
      <c r="E632">
        <v>0.28867362031835497</v>
      </c>
      <c r="F632">
        <v>0.46083375685783912</v>
      </c>
      <c r="G632">
        <v>0.25519733060621203</v>
      </c>
      <c r="H632">
        <v>-7.9895595646535006E-2</v>
      </c>
      <c r="I632">
        <v>0.40464162425523198</v>
      </c>
    </row>
    <row r="633" spans="1:9" x14ac:dyDescent="0.35">
      <c r="A633" s="1" t="s">
        <v>645</v>
      </c>
      <c r="B633" t="str">
        <f>HYPERLINK("https://www.suredividend.com/sure-analysis-research-database/","G-III Apparel Group Ltd.")</f>
        <v>G-III Apparel Group Ltd.</v>
      </c>
      <c r="C633">
        <v>-7.2900158478605009E-2</v>
      </c>
      <c r="D633">
        <v>0.15784265215239901</v>
      </c>
      <c r="E633">
        <v>0.44177449168207011</v>
      </c>
      <c r="F633">
        <v>0.706783369803063</v>
      </c>
      <c r="G633">
        <v>0.46984924623115498</v>
      </c>
      <c r="H633">
        <v>-0.16932907348242801</v>
      </c>
      <c r="I633">
        <v>-0.39378238341968902</v>
      </c>
    </row>
    <row r="634" spans="1:9" x14ac:dyDescent="0.35">
      <c r="A634" s="1" t="s">
        <v>646</v>
      </c>
      <c r="B634" t="str">
        <f>HYPERLINK("https://www.suredividend.com/sure-analysis-research-database/","Glaukos Corporation")</f>
        <v>Glaukos Corporation</v>
      </c>
      <c r="C634">
        <v>-0.12686368477103299</v>
      </c>
      <c r="D634">
        <v>-0.17069161714502401</v>
      </c>
      <c r="E634">
        <v>0.34792437320180802</v>
      </c>
      <c r="F634">
        <v>0.50160256410256399</v>
      </c>
      <c r="G634">
        <v>0.219598363703979</v>
      </c>
      <c r="H634">
        <v>0.46340919232485511</v>
      </c>
      <c r="I634">
        <v>9.6639357966895004E-2</v>
      </c>
    </row>
    <row r="635" spans="1:9" x14ac:dyDescent="0.35">
      <c r="A635" s="1" t="s">
        <v>647</v>
      </c>
      <c r="B635" t="str">
        <f>HYPERLINK("https://www.suredividend.com/sure-analysis-research-database/","Great Lakes Dredge &amp; Dock Corporation")</f>
        <v>Great Lakes Dredge &amp; Dock Corporation</v>
      </c>
      <c r="C635">
        <v>6.2005277044854007E-2</v>
      </c>
      <c r="D635">
        <v>1.1306532663316E-2</v>
      </c>
      <c r="E635">
        <v>0.41476274165202098</v>
      </c>
      <c r="F635">
        <v>0.35294117647058798</v>
      </c>
      <c r="G635">
        <v>8.6369770580297003E-2</v>
      </c>
      <c r="H635">
        <v>-0.44482758620689611</v>
      </c>
      <c r="I635">
        <v>0.43750000000000011</v>
      </c>
    </row>
    <row r="636" spans="1:9" x14ac:dyDescent="0.35">
      <c r="A636" s="1" t="s">
        <v>648</v>
      </c>
      <c r="B636" t="str">
        <f>HYPERLINK("https://www.suredividend.com/sure-analysis-research-database/","Golar Lng")</f>
        <v>Golar Lng</v>
      </c>
      <c r="C636">
        <v>1.3462347496843999E-2</v>
      </c>
      <c r="D636">
        <v>3.8993526237929003E-2</v>
      </c>
      <c r="E636">
        <v>0.13695895337477099</v>
      </c>
      <c r="F636">
        <v>9.3553526925748004E-2</v>
      </c>
      <c r="G636">
        <v>3.3253698310507999E-2</v>
      </c>
      <c r="H636">
        <v>0.84063142291735105</v>
      </c>
      <c r="I636">
        <v>-2.4135332863426999E-2</v>
      </c>
    </row>
    <row r="637" spans="1:9" x14ac:dyDescent="0.35">
      <c r="A637" s="1" t="s">
        <v>649</v>
      </c>
      <c r="B637" t="str">
        <f>HYPERLINK("https://www.suredividend.com/sure-analysis-research-database/","Greenlight Capital Re Ltd")</f>
        <v>Greenlight Capital Re Ltd</v>
      </c>
      <c r="C637">
        <v>-1.418439716312E-2</v>
      </c>
      <c r="D637">
        <v>9.9901088031651014E-2</v>
      </c>
      <c r="E637">
        <v>0.120967741935483</v>
      </c>
      <c r="F637">
        <v>0.36441717791410999</v>
      </c>
      <c r="G637">
        <v>0.47872340425531912</v>
      </c>
      <c r="H637">
        <v>0.50881953867028407</v>
      </c>
      <c r="I637">
        <v>-8.099173553719001E-2</v>
      </c>
    </row>
    <row r="638" spans="1:9" x14ac:dyDescent="0.35">
      <c r="A638" s="1" t="s">
        <v>650</v>
      </c>
      <c r="B638" t="str">
        <f>HYPERLINK("https://www.suredividend.com/sure-analysis-research-database/","Glatfelter Corporation")</f>
        <v>Glatfelter Corporation</v>
      </c>
      <c r="C638">
        <v>-0.32824427480916002</v>
      </c>
      <c r="D638">
        <v>-0.46827794561933511</v>
      </c>
      <c r="E638">
        <v>-0.51246537396121805</v>
      </c>
      <c r="F638">
        <v>-0.36690647482014299</v>
      </c>
      <c r="G638">
        <v>-0.15384615384615299</v>
      </c>
      <c r="H638">
        <v>-0.88613204800569312</v>
      </c>
      <c r="I638">
        <v>-0.8860184831391541</v>
      </c>
    </row>
    <row r="639" spans="1:9" x14ac:dyDescent="0.35">
      <c r="A639" s="1" t="s">
        <v>651</v>
      </c>
      <c r="B639" t="str">
        <f>HYPERLINK("https://www.suredividend.com/sure-analysis-research-database/","Monte Rosa Therapeutics Inc")</f>
        <v>Monte Rosa Therapeutics Inc</v>
      </c>
      <c r="C639">
        <v>-0.19633943427620601</v>
      </c>
      <c r="D639">
        <v>-0.30703012912481997</v>
      </c>
      <c r="E639">
        <v>-0.294890510948905</v>
      </c>
      <c r="F639">
        <v>-0.36530880420499301</v>
      </c>
      <c r="G639">
        <v>-0.37837837837837801</v>
      </c>
      <c r="H639">
        <v>-0.77216981132075402</v>
      </c>
      <c r="I639">
        <v>-0.77195467422096309</v>
      </c>
    </row>
    <row r="640" spans="1:9" x14ac:dyDescent="0.35">
      <c r="A640" s="1" t="s">
        <v>652</v>
      </c>
      <c r="B640" t="str">
        <f>HYPERLINK("https://www.suredividend.com/sure-analysis-GMRE/","Global Medical REIT Inc")</f>
        <v>Global Medical REIT Inc</v>
      </c>
      <c r="C640">
        <v>-4.8784380486247003E-2</v>
      </c>
      <c r="D640">
        <v>-6.9118473937399005E-2</v>
      </c>
      <c r="E640">
        <v>1.0820528475967E-2</v>
      </c>
      <c r="F640">
        <v>1.1369421347361E-2</v>
      </c>
      <c r="G640">
        <v>0.32491552552018399</v>
      </c>
      <c r="H640">
        <v>-0.33960731011863399</v>
      </c>
      <c r="I640">
        <v>0.43106401370235697</v>
      </c>
    </row>
    <row r="641" spans="1:9" x14ac:dyDescent="0.35">
      <c r="A641" s="1" t="s">
        <v>653</v>
      </c>
      <c r="B641" t="str">
        <f>HYPERLINK("https://www.suredividend.com/sure-analysis-research-database/","GMS Inc")</f>
        <v>GMS Inc</v>
      </c>
      <c r="C641">
        <v>-6.7842389577375012E-2</v>
      </c>
      <c r="D641">
        <v>-0.17062482329657799</v>
      </c>
      <c r="E641">
        <v>4.9177396280400007E-2</v>
      </c>
      <c r="F641">
        <v>0.17811244979919599</v>
      </c>
      <c r="G641">
        <v>0.43834273106153399</v>
      </c>
      <c r="H641">
        <v>0.26471222246173698</v>
      </c>
      <c r="I641">
        <v>2.0605112154407919</v>
      </c>
    </row>
    <row r="642" spans="1:9" x14ac:dyDescent="0.35">
      <c r="A642" s="1" t="s">
        <v>654</v>
      </c>
      <c r="B642" t="str">
        <f>HYPERLINK("https://www.suredividend.com/sure-analysis-research-database/","Genco Shipping &amp; Trading Limited")</f>
        <v>Genco Shipping &amp; Trading Limited</v>
      </c>
      <c r="C642">
        <v>5.1787016776075001E-2</v>
      </c>
      <c r="D642">
        <v>7.6456799892503008E-2</v>
      </c>
      <c r="E642">
        <v>-9.6117442049970012E-2</v>
      </c>
      <c r="F642">
        <v>-1.566606368818E-2</v>
      </c>
      <c r="G642">
        <v>0.133647798742138</v>
      </c>
      <c r="H642">
        <v>3.2270996191621E-2</v>
      </c>
      <c r="I642">
        <v>0.47697476237299202</v>
      </c>
    </row>
    <row r="643" spans="1:9" x14ac:dyDescent="0.35">
      <c r="A643" s="1" t="s">
        <v>655</v>
      </c>
      <c r="B643" t="str">
        <f>HYPERLINK("https://www.suredividend.com/sure-analysis-GNL/","Global Net Lease Inc")</f>
        <v>Global Net Lease Inc</v>
      </c>
      <c r="C643">
        <v>-0.24719790330675201</v>
      </c>
      <c r="D643">
        <v>-0.21864449289062901</v>
      </c>
      <c r="E643">
        <v>-0.23822063387567</v>
      </c>
      <c r="F643">
        <v>-0.25880512065005501</v>
      </c>
      <c r="G643">
        <v>-0.110984283080165</v>
      </c>
      <c r="H643">
        <v>-0.35940020878807999</v>
      </c>
      <c r="I643">
        <v>-0.24389515346127999</v>
      </c>
    </row>
    <row r="644" spans="1:9" x14ac:dyDescent="0.35">
      <c r="A644" s="1" t="s">
        <v>656</v>
      </c>
      <c r="B644" t="str">
        <f>HYPERLINK("https://www.suredividend.com/sure-analysis-research-database/","Guaranty Bancshares, Inc. (TX)")</f>
        <v>Guaranty Bancshares, Inc. (TX)</v>
      </c>
      <c r="C644">
        <v>-2.5962710661569998E-3</v>
      </c>
      <c r="D644">
        <v>7.3321588168132001E-2</v>
      </c>
      <c r="E644">
        <v>9.5614454855590003E-2</v>
      </c>
      <c r="F644">
        <v>-0.15972107120024601</v>
      </c>
      <c r="G644">
        <v>-0.17948925445948599</v>
      </c>
      <c r="H644">
        <v>-0.16867494575450201</v>
      </c>
      <c r="I644">
        <v>0.174164250648292</v>
      </c>
    </row>
    <row r="645" spans="1:9" x14ac:dyDescent="0.35">
      <c r="A645" s="1" t="s">
        <v>657</v>
      </c>
      <c r="B645" t="str">
        <f>HYPERLINK("https://www.suredividend.com/sure-analysis-research-database/","Genworth Financial Inc")</f>
        <v>Genworth Financial Inc</v>
      </c>
      <c r="C645">
        <v>3.7996545768566002E-2</v>
      </c>
      <c r="D645">
        <v>8.8768115942029005E-2</v>
      </c>
      <c r="E645">
        <v>-2.1172638436482E-2</v>
      </c>
      <c r="F645">
        <v>0.13610586011342099</v>
      </c>
      <c r="G645">
        <v>0.42755344418052199</v>
      </c>
      <c r="H645">
        <v>0.38479262672810999</v>
      </c>
      <c r="I645">
        <v>0.51767676767676707</v>
      </c>
    </row>
    <row r="646" spans="1:9" x14ac:dyDescent="0.35">
      <c r="A646" s="1" t="s">
        <v>658</v>
      </c>
      <c r="B646" t="str">
        <f>HYPERLINK("https://www.suredividend.com/sure-analysis-research-database/","Canoo Inc")</f>
        <v>Canoo Inc</v>
      </c>
      <c r="C646">
        <v>-0.30734135213604302</v>
      </c>
      <c r="D646">
        <v>-0.52744765138653005</v>
      </c>
      <c r="E646">
        <v>-0.50715655894938705</v>
      </c>
      <c r="F646">
        <v>-0.72845528455284503</v>
      </c>
      <c r="G646">
        <v>-0.74108527131782909</v>
      </c>
      <c r="H646">
        <v>-0.95412087912087906</v>
      </c>
      <c r="I646">
        <v>-0.96605691056910503</v>
      </c>
    </row>
    <row r="647" spans="1:9" x14ac:dyDescent="0.35">
      <c r="A647" s="1" t="s">
        <v>659</v>
      </c>
      <c r="B647" t="str">
        <f>HYPERLINK("https://www.suredividend.com/sure-analysis-research-database/","Golden Ocean Group Limited")</f>
        <v>Golden Ocean Group Limited</v>
      </c>
      <c r="C647">
        <v>4.3137254901960007E-2</v>
      </c>
      <c r="D647">
        <v>7.7213822894168005E-2</v>
      </c>
      <c r="E647">
        <v>-0.123076923076922</v>
      </c>
      <c r="F647">
        <v>-2.5522041763341E-2</v>
      </c>
      <c r="G647">
        <v>9.4748959532450008E-3</v>
      </c>
      <c r="H647">
        <v>0.18815419204025999</v>
      </c>
      <c r="I647">
        <v>0.515007688948797</v>
      </c>
    </row>
    <row r="648" spans="1:9" x14ac:dyDescent="0.35">
      <c r="A648" s="1" t="s">
        <v>660</v>
      </c>
      <c r="B648" t="str">
        <f>HYPERLINK("https://www.suredividend.com/sure-analysis-research-database/","Gogo Inc")</f>
        <v>Gogo Inc</v>
      </c>
      <c r="C648">
        <v>-8.0684596577017001E-2</v>
      </c>
      <c r="D648">
        <v>-0.33996489174956102</v>
      </c>
      <c r="E648">
        <v>-0.20619282195636801</v>
      </c>
      <c r="F648">
        <v>-0.23577235772357699</v>
      </c>
      <c r="G648">
        <v>-4.5685279187817E-2</v>
      </c>
      <c r="H648">
        <v>-0.30370370370370298</v>
      </c>
      <c r="I648">
        <v>1.003552397868561</v>
      </c>
    </row>
    <row r="649" spans="1:9" x14ac:dyDescent="0.35">
      <c r="A649" s="1" t="s">
        <v>661</v>
      </c>
      <c r="B649" t="str">
        <f>HYPERLINK("https://www.suredividend.com/sure-analysis-research-database/","Acushnet Holdings Corp")</f>
        <v>Acushnet Holdings Corp</v>
      </c>
      <c r="C649">
        <v>-8.3215547703180001E-2</v>
      </c>
      <c r="D649">
        <v>-7.2597941092364005E-2</v>
      </c>
      <c r="E649">
        <v>6.2849230668392E-2</v>
      </c>
      <c r="F649">
        <v>0.23631806420562501</v>
      </c>
      <c r="G649">
        <v>0.16238956291105899</v>
      </c>
      <c r="H649">
        <v>0.12394596222034</v>
      </c>
      <c r="I649">
        <v>1.3204024594745669</v>
      </c>
    </row>
    <row r="650" spans="1:9" x14ac:dyDescent="0.35">
      <c r="A650" s="1" t="s">
        <v>662</v>
      </c>
      <c r="B650" t="str">
        <f>HYPERLINK("https://www.suredividend.com/sure-analysis-GOOD/","Gladstone Commercial Corp")</f>
        <v>Gladstone Commercial Corp</v>
      </c>
      <c r="C650">
        <v>-8.9442579836237004E-2</v>
      </c>
      <c r="D650">
        <v>-7.2798187635752007E-2</v>
      </c>
      <c r="E650">
        <v>4.5516393802396013E-2</v>
      </c>
      <c r="F650">
        <v>-0.28892550733463401</v>
      </c>
      <c r="G650">
        <v>-0.13981756332199399</v>
      </c>
      <c r="H650">
        <v>-0.33619440419128299</v>
      </c>
      <c r="I650">
        <v>-3.1470755632919999E-3</v>
      </c>
    </row>
    <row r="651" spans="1:9" x14ac:dyDescent="0.35">
      <c r="A651" s="1" t="s">
        <v>663</v>
      </c>
      <c r="B651" t="str">
        <f>HYPERLINK("https://www.suredividend.com/sure-analysis-research-database/","Gossamer Bio Inc")</f>
        <v>Gossamer Bio Inc</v>
      </c>
      <c r="C651">
        <v>-0.298022598870056</v>
      </c>
      <c r="D651">
        <v>-0.56637583892617405</v>
      </c>
      <c r="E651">
        <v>-0.38172248803827702</v>
      </c>
      <c r="F651">
        <v>-0.70225806451612904</v>
      </c>
      <c r="G651">
        <v>-0.94691043549712406</v>
      </c>
      <c r="H651">
        <v>-0.95407960199004904</v>
      </c>
      <c r="I651">
        <v>-0.96398550724637611</v>
      </c>
    </row>
    <row r="652" spans="1:9" x14ac:dyDescent="0.35">
      <c r="A652" s="1" t="s">
        <v>664</v>
      </c>
      <c r="B652" t="str">
        <f>HYPERLINK("https://www.suredividend.com/sure-analysis-research-database/","Group 1 Automotive, Inc.")</f>
        <v>Group 1 Automotive, Inc.</v>
      </c>
      <c r="C652">
        <v>-6.9551659885158004E-2</v>
      </c>
      <c r="D652">
        <v>-5.6170361481196002E-2</v>
      </c>
      <c r="E652">
        <v>7.735675091607E-2</v>
      </c>
      <c r="F652">
        <v>0.36422559790805298</v>
      </c>
      <c r="G652">
        <v>0.51818056594852702</v>
      </c>
      <c r="H652">
        <v>0.36687163037484999</v>
      </c>
      <c r="I652">
        <v>3.6186865397792589</v>
      </c>
    </row>
    <row r="653" spans="1:9" x14ac:dyDescent="0.35">
      <c r="A653" s="1" t="s">
        <v>665</v>
      </c>
      <c r="B653" t="str">
        <f>HYPERLINK("https://www.suredividend.com/sure-analysis-research-database/","Granite Point Mortgage Trust Inc")</f>
        <v>Granite Point Mortgage Trust Inc</v>
      </c>
      <c r="C653">
        <v>-0.14772727272727201</v>
      </c>
      <c r="D653">
        <v>-0.17526929982046599</v>
      </c>
      <c r="E653">
        <v>3.6330309724115002E-2</v>
      </c>
      <c r="F653">
        <v>-7.3860175987567001E-2</v>
      </c>
      <c r="G653">
        <v>-0.21372153975074401</v>
      </c>
      <c r="H653">
        <v>-0.57084051032026306</v>
      </c>
      <c r="I653">
        <v>-0.60990712074303399</v>
      </c>
    </row>
    <row r="654" spans="1:9" x14ac:dyDescent="0.35">
      <c r="A654" s="1" t="s">
        <v>666</v>
      </c>
      <c r="B654" t="str">
        <f>HYPERLINK("https://www.suredividend.com/sure-analysis-research-database/","Gulfport Energy Corp.")</f>
        <v>Gulfport Energy Corp.</v>
      </c>
      <c r="C654">
        <v>5.5651423641069002E-2</v>
      </c>
      <c r="D654">
        <v>0.17632919911546899</v>
      </c>
      <c r="E654">
        <v>0.50159548355424599</v>
      </c>
      <c r="F654">
        <v>0.66146116241173203</v>
      </c>
      <c r="G654">
        <v>0.33642818132168201</v>
      </c>
      <c r="H654">
        <v>0.44930111348021712</v>
      </c>
      <c r="I654">
        <v>0.67717614804660708</v>
      </c>
    </row>
    <row r="655" spans="1:9" x14ac:dyDescent="0.35">
      <c r="A655" s="1" t="s">
        <v>667</v>
      </c>
      <c r="B655" t="str">
        <f>HYPERLINK("https://www.suredividend.com/sure-analysis-research-database/","Green Plains Inc")</f>
        <v>Green Plains Inc</v>
      </c>
      <c r="C655">
        <v>-0.234615384615384</v>
      </c>
      <c r="D655">
        <v>-0.20080321285140501</v>
      </c>
      <c r="E655">
        <v>-0.20030911901081899</v>
      </c>
      <c r="F655">
        <v>-0.151803278688524</v>
      </c>
      <c r="G655">
        <v>-6.5052403324900004E-2</v>
      </c>
      <c r="H655">
        <v>-0.25317551963048501</v>
      </c>
      <c r="I655">
        <v>0.43086283185840701</v>
      </c>
    </row>
    <row r="656" spans="1:9" x14ac:dyDescent="0.35">
      <c r="A656" s="1" t="s">
        <v>668</v>
      </c>
      <c r="B656" t="str">
        <f>HYPERLINK("https://www.suredividend.com/sure-analysis-research-database/","GoPro Inc.")</f>
        <v>GoPro Inc.</v>
      </c>
      <c r="C656">
        <v>-0.22316384180790899</v>
      </c>
      <c r="D656">
        <v>-0.35446009389671301</v>
      </c>
      <c r="E656">
        <v>-0.40987124463519298</v>
      </c>
      <c r="F656">
        <v>-0.44779116465863411</v>
      </c>
      <c r="G656">
        <v>-0.46393762183235798</v>
      </c>
      <c r="H656">
        <v>-0.68856172140430305</v>
      </c>
      <c r="I656">
        <v>-0.59198813056379807</v>
      </c>
    </row>
    <row r="657" spans="1:9" x14ac:dyDescent="0.35">
      <c r="A657" s="1" t="s">
        <v>669</v>
      </c>
      <c r="B657" t="str">
        <f>HYPERLINK("https://www.suredividend.com/sure-analysis-research-database/","Green Brick Partners Inc")</f>
        <v>Green Brick Partners Inc</v>
      </c>
      <c r="C657">
        <v>-6.4215914378780006E-2</v>
      </c>
      <c r="D657">
        <v>-0.27778775363620001</v>
      </c>
      <c r="E657">
        <v>0.14717626925270899</v>
      </c>
      <c r="F657">
        <v>0.65992571192736205</v>
      </c>
      <c r="G657">
        <v>0.92256214149139504</v>
      </c>
      <c r="H657">
        <v>0.88472352389878106</v>
      </c>
      <c r="I657">
        <v>2.9821782178217822</v>
      </c>
    </row>
    <row r="658" spans="1:9" x14ac:dyDescent="0.35">
      <c r="A658" s="1" t="s">
        <v>670</v>
      </c>
      <c r="B658" t="str">
        <f>HYPERLINK("https://www.suredividend.com/sure-analysis-GRC/","Gorman-Rupp Co.")</f>
        <v>Gorman-Rupp Co.</v>
      </c>
      <c r="C658">
        <v>-6.3151247237130002E-3</v>
      </c>
      <c r="D658">
        <v>0.124402426736982</v>
      </c>
      <c r="E658">
        <v>0.32339768794391799</v>
      </c>
      <c r="F658">
        <v>0.25160577003384499</v>
      </c>
      <c r="G658">
        <v>0.34836948837368698</v>
      </c>
      <c r="H658">
        <v>-0.16071271412226801</v>
      </c>
      <c r="I658">
        <v>0.13534691757099901</v>
      </c>
    </row>
    <row r="659" spans="1:9" x14ac:dyDescent="0.35">
      <c r="A659" s="1" t="s">
        <v>671</v>
      </c>
      <c r="B659" t="str">
        <f>HYPERLINK("https://www.suredividend.com/sure-analysis-research-database/","Greenidge Generation Holdings Inc")</f>
        <v>Greenidge Generation Holdings Inc</v>
      </c>
      <c r="C659">
        <v>-0.138568129330254</v>
      </c>
      <c r="D659">
        <v>-0.52179487179487105</v>
      </c>
      <c r="E659">
        <v>-0.45515629564709298</v>
      </c>
      <c r="F659">
        <v>0.29021099965409802</v>
      </c>
      <c r="G659">
        <v>-0.65779816513761402</v>
      </c>
      <c r="H659">
        <v>-0.98461855670103005</v>
      </c>
      <c r="I659">
        <v>-0.99140552995391706</v>
      </c>
    </row>
    <row r="660" spans="1:9" x14ac:dyDescent="0.35">
      <c r="A660" s="1" t="s">
        <v>672</v>
      </c>
      <c r="B660" t="str">
        <f>HYPERLINK("https://www.suredividend.com/sure-analysis-research-database/","GreenLight Biosciences Holdings PBC")</f>
        <v>GreenLight Biosciences Holdings PBC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5">
      <c r="A661" s="1" t="s">
        <v>673</v>
      </c>
      <c r="B661" t="str">
        <f>HYPERLINK("https://www.suredividend.com/sure-analysis-research-database/","Groupon Inc")</f>
        <v>Groupon Inc</v>
      </c>
      <c r="C661">
        <v>7.5296108291032005E-2</v>
      </c>
      <c r="D661">
        <v>1.0384923817161189</v>
      </c>
      <c r="E661">
        <v>2.3893333333333331</v>
      </c>
      <c r="F661">
        <v>0.48135198135198098</v>
      </c>
      <c r="G661">
        <v>0.7603878116343491</v>
      </c>
      <c r="H661">
        <v>-0.45660538691748598</v>
      </c>
      <c r="I661">
        <v>-0.81894586894586907</v>
      </c>
    </row>
    <row r="662" spans="1:9" x14ac:dyDescent="0.35">
      <c r="A662" s="1" t="s">
        <v>674</v>
      </c>
      <c r="B662" t="str">
        <f>HYPERLINK("https://www.suredividend.com/sure-analysis-research-database/","GrowGeneration Corp")</f>
        <v>GrowGeneration Corp</v>
      </c>
      <c r="C662">
        <v>-0.29085872576177202</v>
      </c>
      <c r="D662">
        <v>-0.27683615819209001</v>
      </c>
      <c r="E662">
        <v>-0.20743034055727499</v>
      </c>
      <c r="F662">
        <v>-0.34693877551020402</v>
      </c>
      <c r="G662">
        <v>-0.235820895522388</v>
      </c>
      <c r="H662">
        <v>-0.88315837517115403</v>
      </c>
      <c r="I662">
        <v>-0.41111520058888401</v>
      </c>
    </row>
    <row r="663" spans="1:9" x14ac:dyDescent="0.35">
      <c r="A663" s="1" t="s">
        <v>675</v>
      </c>
      <c r="B663" t="str">
        <f>HYPERLINK("https://www.suredividend.com/sure-analysis-research-database/","Globalstar Inc.")</f>
        <v>Globalstar Inc.</v>
      </c>
      <c r="C663">
        <v>-6.5693430656934004E-2</v>
      </c>
      <c r="D663">
        <v>0.23076923076923</v>
      </c>
      <c r="E663">
        <v>0.242718446601941</v>
      </c>
      <c r="F663">
        <v>-3.7593984962406013E-2</v>
      </c>
      <c r="G663">
        <v>-0.238095238095238</v>
      </c>
      <c r="H663">
        <v>-0.16339869281045699</v>
      </c>
      <c r="I663">
        <v>2.2454361054766738</v>
      </c>
    </row>
    <row r="664" spans="1:9" x14ac:dyDescent="0.35">
      <c r="A664" s="1" t="s">
        <v>676</v>
      </c>
      <c r="B664" t="str">
        <f>HYPERLINK("https://www.suredividend.com/sure-analysis-research-database/","Great Southern Bancorp, Inc.")</f>
        <v>Great Southern Bancorp, Inc.</v>
      </c>
      <c r="C664">
        <v>-4.1706307580969E-2</v>
      </c>
      <c r="D664">
        <v>-0.106889117082024</v>
      </c>
      <c r="E664">
        <v>-2.7848811311104001E-2</v>
      </c>
      <c r="F664">
        <v>-0.17555126483098199</v>
      </c>
      <c r="G664">
        <v>-0.19739980692647</v>
      </c>
      <c r="H664">
        <v>-0.110060619332866</v>
      </c>
      <c r="I664">
        <v>8.9985039874399E-2</v>
      </c>
    </row>
    <row r="665" spans="1:9" x14ac:dyDescent="0.35">
      <c r="A665" s="1" t="s">
        <v>677</v>
      </c>
      <c r="B665" t="str">
        <f>HYPERLINK("https://www.suredividend.com/sure-analysis-research-database/","Goosehead Insurance Inc")</f>
        <v>Goosehead Insurance Inc</v>
      </c>
      <c r="C665">
        <v>-4.0802213001383002E-2</v>
      </c>
      <c r="D665">
        <v>9.3503626616209007E-2</v>
      </c>
      <c r="E665">
        <v>0.32322075939706102</v>
      </c>
      <c r="F665">
        <v>1.0195107746068719</v>
      </c>
      <c r="G665">
        <v>1.357239972807613</v>
      </c>
      <c r="H665">
        <v>-0.57453987730061307</v>
      </c>
      <c r="I665">
        <v>1.742646070126316</v>
      </c>
    </row>
    <row r="666" spans="1:9" x14ac:dyDescent="0.35">
      <c r="A666" s="1" t="s">
        <v>678</v>
      </c>
      <c r="B666" t="str">
        <f>HYPERLINK("https://www.suredividend.com/sure-analysis-research-database/","Goodyear Tire &amp; Rubber Co.")</f>
        <v>Goodyear Tire &amp; Rubber Co.</v>
      </c>
      <c r="C666">
        <v>-6.25E-2</v>
      </c>
      <c r="D666">
        <v>-0.205298013245033</v>
      </c>
      <c r="E666">
        <v>0.11317254174397</v>
      </c>
      <c r="F666">
        <v>0.182266009852216</v>
      </c>
      <c r="G666">
        <v>9.1901728844403008E-2</v>
      </c>
      <c r="H666">
        <v>-0.36305732484076397</v>
      </c>
      <c r="I666">
        <v>-0.39555734649675101</v>
      </c>
    </row>
    <row r="667" spans="1:9" x14ac:dyDescent="0.35">
      <c r="A667" s="1" t="s">
        <v>679</v>
      </c>
      <c r="B667" t="str">
        <f>HYPERLINK("https://www.suredividend.com/sure-analysis-research-database/","Chart Industries Inc")</f>
        <v>Chart Industries Inc</v>
      </c>
      <c r="C667">
        <v>-8.2220537640678007E-2</v>
      </c>
      <c r="D667">
        <v>-2.0719263315082E-2</v>
      </c>
      <c r="E667">
        <v>0.231533646322378</v>
      </c>
      <c r="F667">
        <v>0.36587694176863611</v>
      </c>
      <c r="G667">
        <v>-0.14079047930996799</v>
      </c>
      <c r="H667">
        <v>-0.13345812916368399</v>
      </c>
      <c r="I667">
        <v>1.362149182050127</v>
      </c>
    </row>
    <row r="668" spans="1:9" x14ac:dyDescent="0.35">
      <c r="A668" s="1" t="s">
        <v>680</v>
      </c>
      <c r="B668" t="str">
        <f>HYPERLINK("https://www.suredividend.com/sure-analysis-research-database/","Gray Television, Inc.")</f>
        <v>Gray Television, Inc.</v>
      </c>
      <c r="C668">
        <v>-0.19788918205804701</v>
      </c>
      <c r="D668">
        <v>-0.30316783569431011</v>
      </c>
      <c r="E668">
        <v>-0.264082887506354</v>
      </c>
      <c r="F668">
        <v>-0.44019372243552501</v>
      </c>
      <c r="G668">
        <v>-0.56015654954387906</v>
      </c>
      <c r="H668">
        <v>-0.72146122905232601</v>
      </c>
      <c r="I668">
        <v>-0.61466552587381507</v>
      </c>
    </row>
    <row r="669" spans="1:9" x14ac:dyDescent="0.35">
      <c r="A669" s="1" t="s">
        <v>681</v>
      </c>
      <c r="B669" t="str">
        <f>HYPERLINK("https://www.suredividend.com/sure-analysis-research-database/","Getty Realty Corp.")</f>
        <v>Getty Realty Corp.</v>
      </c>
      <c r="C669">
        <v>-7.4397365592501999E-2</v>
      </c>
      <c r="D669">
        <v>-0.168555149331062</v>
      </c>
      <c r="E669">
        <v>-0.17308868501529001</v>
      </c>
      <c r="F669">
        <v>-0.16833778280821299</v>
      </c>
      <c r="G669">
        <v>5.2316146281283997E-2</v>
      </c>
      <c r="H669">
        <v>-4.6739383341911002E-2</v>
      </c>
      <c r="I669">
        <v>0.29624214416858802</v>
      </c>
    </row>
    <row r="670" spans="1:9" x14ac:dyDescent="0.35">
      <c r="A670" s="1" t="s">
        <v>682</v>
      </c>
      <c r="B670" t="str">
        <f>HYPERLINK("https://www.suredividend.com/sure-analysis-research-database/","Granite Construction Inc.")</f>
        <v>Granite Construction Inc.</v>
      </c>
      <c r="C670">
        <v>-6.5552445291713002E-2</v>
      </c>
      <c r="D670">
        <v>-9.984503098144501E-2</v>
      </c>
      <c r="E670">
        <v>-5.0098067854608998E-2</v>
      </c>
      <c r="F670">
        <v>4.8887608899129013E-2</v>
      </c>
      <c r="G670">
        <v>0.40600389141109999</v>
      </c>
      <c r="H670">
        <v>-4.2956586177265013E-2</v>
      </c>
      <c r="I670">
        <v>-7.3666647166696006E-2</v>
      </c>
    </row>
    <row r="671" spans="1:9" x14ac:dyDescent="0.35">
      <c r="A671" s="1" t="s">
        <v>683</v>
      </c>
      <c r="B671" t="str">
        <f>HYPERLINK("https://www.suredividend.com/sure-analysis-research-database/","ESS Tech Inc")</f>
        <v>ESS Tech Inc</v>
      </c>
      <c r="C671">
        <v>0.25</v>
      </c>
      <c r="D671">
        <v>6.7415730337078011E-2</v>
      </c>
      <c r="E671">
        <v>0.50793650793650702</v>
      </c>
      <c r="F671">
        <v>-0.218106995884773</v>
      </c>
      <c r="G671">
        <v>-0.52853598014888303</v>
      </c>
      <c r="H671">
        <v>-0.8908673176335441</v>
      </c>
      <c r="I671">
        <v>-0.81765834932821502</v>
      </c>
    </row>
    <row r="672" spans="1:9" x14ac:dyDescent="0.35">
      <c r="A672" s="1" t="s">
        <v>684</v>
      </c>
      <c r="B672" t="str">
        <f>HYPERLINK("https://www.suredividend.com/sure-analysis-GWRS/","Global Water Resources Inc")</f>
        <v>Global Water Resources Inc</v>
      </c>
      <c r="C672">
        <v>-6.7094009199563001E-2</v>
      </c>
      <c r="D672">
        <v>-0.22117438408451201</v>
      </c>
      <c r="E672">
        <v>-0.150651294600435</v>
      </c>
      <c r="F672">
        <v>-0.21355768556945801</v>
      </c>
      <c r="G672">
        <v>-0.100132750064593</v>
      </c>
      <c r="H672">
        <v>-0.38805952063591997</v>
      </c>
      <c r="I672">
        <v>9.101711026615901E-2</v>
      </c>
    </row>
    <row r="673" spans="1:9" x14ac:dyDescent="0.35">
      <c r="A673" s="1" t="s">
        <v>685</v>
      </c>
      <c r="B673" t="str">
        <f>HYPERLINK("https://www.suredividend.com/sure-analysis-research-database/","Hawaiian Holdings, Inc.")</f>
        <v>Hawaiian Holdings, Inc.</v>
      </c>
      <c r="C673">
        <v>-0.38161209068009999</v>
      </c>
      <c r="D673">
        <v>-0.54912764003673109</v>
      </c>
      <c r="E673">
        <v>-0.40194884287454302</v>
      </c>
      <c r="F673">
        <v>-0.52144249512670504</v>
      </c>
      <c r="G673">
        <v>-0.64186725018234803</v>
      </c>
      <c r="H673">
        <v>-0.76828692779613006</v>
      </c>
      <c r="I673">
        <v>-0.8485979118229301</v>
      </c>
    </row>
    <row r="674" spans="1:9" x14ac:dyDescent="0.35">
      <c r="A674" s="1" t="s">
        <v>686</v>
      </c>
      <c r="B674" t="str">
        <f>HYPERLINK("https://www.suredividend.com/sure-analysis-research-database/","Haemonetics Corp.")</f>
        <v>Haemonetics Corp.</v>
      </c>
      <c r="C674">
        <v>-8.3231605815110004E-3</v>
      </c>
      <c r="D674">
        <v>6.3809523809523011E-2</v>
      </c>
      <c r="E674">
        <v>5.4022175041283003E-2</v>
      </c>
      <c r="F674">
        <v>0.13617291799109901</v>
      </c>
      <c r="G674">
        <v>0.16749412072119099</v>
      </c>
      <c r="H674">
        <v>0.27821484766127802</v>
      </c>
      <c r="I674">
        <v>-0.16501588488133001</v>
      </c>
    </row>
    <row r="675" spans="1:9" x14ac:dyDescent="0.35">
      <c r="A675" s="1" t="s">
        <v>687</v>
      </c>
      <c r="B675" t="str">
        <f>HYPERLINK("https://www.suredividend.com/sure-analysis-research-database/","Hanmi Financial Corp.")</f>
        <v>Hanmi Financial Corp.</v>
      </c>
      <c r="C675">
        <v>-7.5829383886255E-2</v>
      </c>
      <c r="D675">
        <v>-1.4846764466280001E-2</v>
      </c>
      <c r="E675">
        <v>-6.6823791207805003E-2</v>
      </c>
      <c r="F675">
        <v>-0.32221652575142701</v>
      </c>
      <c r="G675">
        <v>-0.32318985826033703</v>
      </c>
      <c r="H675">
        <v>-0.11789652247667499</v>
      </c>
      <c r="I675">
        <v>-0.14468995010691299</v>
      </c>
    </row>
    <row r="676" spans="1:9" x14ac:dyDescent="0.35">
      <c r="A676" s="1" t="s">
        <v>688</v>
      </c>
      <c r="B676" t="str">
        <f>HYPERLINK("https://www.suredividend.com/sure-analysis-research-database/","Hain Celestial Group Inc")</f>
        <v>Hain Celestial Group Inc</v>
      </c>
      <c r="C676">
        <v>3.1031031031031001E-2</v>
      </c>
      <c r="D676">
        <v>-0.195940671350507</v>
      </c>
      <c r="E676">
        <v>-0.42841287458379501</v>
      </c>
      <c r="F676">
        <v>-0.36341161928306498</v>
      </c>
      <c r="G676">
        <v>-0.36771025168815202</v>
      </c>
      <c r="H676">
        <v>-0.77187153931339902</v>
      </c>
      <c r="I676">
        <v>-0.595602669807616</v>
      </c>
    </row>
    <row r="677" spans="1:9" x14ac:dyDescent="0.35">
      <c r="A677" s="1" t="s">
        <v>689</v>
      </c>
      <c r="B677" t="str">
        <f>HYPERLINK("https://www.suredividend.com/sure-analysis-research-database/","Halozyme Therapeutics Inc.")</f>
        <v>Halozyme Therapeutics Inc.</v>
      </c>
      <c r="C677">
        <v>-6.8077511473737001E-2</v>
      </c>
      <c r="D677">
        <v>-4.3694400837258E-2</v>
      </c>
      <c r="E677">
        <v>2.5245441795231E-2</v>
      </c>
      <c r="F677">
        <v>-0.35764499121265297</v>
      </c>
      <c r="G677">
        <v>-0.17251528186551901</v>
      </c>
      <c r="H677">
        <v>-3.2044491525423012E-2</v>
      </c>
      <c r="I677">
        <v>1.1237652527600219</v>
      </c>
    </row>
    <row r="678" spans="1:9" x14ac:dyDescent="0.35">
      <c r="A678" s="1" t="s">
        <v>690</v>
      </c>
      <c r="B678" t="str">
        <f>HYPERLINK("https://www.suredividend.com/sure-analysis-HASI/","Hannon Armstrong Sustainable Infrastructure capital Inc")</f>
        <v>Hannon Armstrong Sustainable Infrastructure capital Inc</v>
      </c>
      <c r="C678">
        <v>-0.32964233941309901</v>
      </c>
      <c r="D678">
        <v>-0.36239244997877201</v>
      </c>
      <c r="E678">
        <v>-0.39119633453333702</v>
      </c>
      <c r="F678">
        <v>-0.40600166914619501</v>
      </c>
      <c r="G678">
        <v>-0.23918499377219199</v>
      </c>
      <c r="H678">
        <v>-0.690464530109273</v>
      </c>
      <c r="I678">
        <v>9.9576767888650015E-3</v>
      </c>
    </row>
    <row r="679" spans="1:9" x14ac:dyDescent="0.35">
      <c r="A679" s="1" t="s">
        <v>691</v>
      </c>
      <c r="B679" t="str">
        <f>HYPERLINK("https://www.suredividend.com/sure-analysis-research-database/","Haynes International Inc.")</f>
        <v>Haynes International Inc.</v>
      </c>
      <c r="C679">
        <v>-9.7705858254813011E-2</v>
      </c>
      <c r="D679">
        <v>-0.11065438070856901</v>
      </c>
      <c r="E679">
        <v>-7.2285883371277004E-2</v>
      </c>
      <c r="F679">
        <v>-1.337818860267E-2</v>
      </c>
      <c r="G679">
        <v>0.113681469402201</v>
      </c>
      <c r="H679">
        <v>0.16967294298209501</v>
      </c>
      <c r="I679">
        <v>0.596471453785685</v>
      </c>
    </row>
    <row r="680" spans="1:9" x14ac:dyDescent="0.35">
      <c r="A680" s="1" t="s">
        <v>692</v>
      </c>
      <c r="B680" t="str">
        <f>HYPERLINK("https://www.suredividend.com/sure-analysis-research-database/","Home Bancorp Inc")</f>
        <v>Home Bancorp Inc</v>
      </c>
      <c r="C680">
        <v>-1.838456901748E-2</v>
      </c>
      <c r="D680">
        <v>-4.1139445468301013E-2</v>
      </c>
      <c r="E680">
        <v>5.7316487255067002E-2</v>
      </c>
      <c r="F680">
        <v>-0.15656941016829701</v>
      </c>
      <c r="G680">
        <v>-0.170974696528886</v>
      </c>
      <c r="H680">
        <v>-0.119879588070139</v>
      </c>
      <c r="I680">
        <v>-8.2460257316794003E-2</v>
      </c>
    </row>
    <row r="681" spans="1:9" x14ac:dyDescent="0.35">
      <c r="A681" s="1" t="s">
        <v>693</v>
      </c>
      <c r="B681" t="str">
        <f>HYPERLINK("https://www.suredividend.com/sure-analysis-research-database/","Horizon Bancorp Inc (IN)")</f>
        <v>Horizon Bancorp Inc (IN)</v>
      </c>
      <c r="C681">
        <v>-4.0237655437700998E-2</v>
      </c>
      <c r="D681">
        <v>-5.3678560151560004E-3</v>
      </c>
      <c r="E681">
        <v>-3.1645569620249998E-3</v>
      </c>
      <c r="F681">
        <v>-0.25128685072531498</v>
      </c>
      <c r="G681">
        <v>-0.41071929660461998</v>
      </c>
      <c r="H681">
        <v>-0.35718385307059403</v>
      </c>
      <c r="I681">
        <v>-0.30025754409835198</v>
      </c>
    </row>
    <row r="682" spans="1:9" x14ac:dyDescent="0.35">
      <c r="A682" s="1" t="s">
        <v>694</v>
      </c>
      <c r="B682" t="str">
        <f>HYPERLINK("https://www.suredividend.com/sure-analysis-research-database/","HBT Financial Inc")</f>
        <v>HBT Financial Inc</v>
      </c>
      <c r="C682">
        <v>-6.1320754716981007E-2</v>
      </c>
      <c r="D682">
        <v>-2.5788589052496001E-2</v>
      </c>
      <c r="E682">
        <v>4.2221063432520004E-3</v>
      </c>
      <c r="F682">
        <v>-4.3519591559900997E-2</v>
      </c>
      <c r="G682">
        <v>2.7209513252040001E-3</v>
      </c>
      <c r="H682">
        <v>0.14369276746829401</v>
      </c>
      <c r="I682">
        <v>0.34940666792239511</v>
      </c>
    </row>
    <row r="683" spans="1:9" x14ac:dyDescent="0.35">
      <c r="A683" s="1" t="s">
        <v>695</v>
      </c>
      <c r="B683" t="str">
        <f>HYPERLINK("https://www.suredividend.com/sure-analysis-research-database/","Health Catalyst Inc")</f>
        <v>Health Catalyst Inc</v>
      </c>
      <c r="C683">
        <v>-0.19788664745437001</v>
      </c>
      <c r="D683">
        <v>-0.32113821138211301</v>
      </c>
      <c r="E683">
        <v>-0.35221101629169899</v>
      </c>
      <c r="F683">
        <v>-0.21448730009407299</v>
      </c>
      <c r="G683">
        <v>-3.2444959443799999E-2</v>
      </c>
      <c r="H683">
        <v>-0.82751497624457704</v>
      </c>
      <c r="I683">
        <v>-0.78682665305080401</v>
      </c>
    </row>
    <row r="684" spans="1:9" x14ac:dyDescent="0.35">
      <c r="A684" s="1" t="s">
        <v>696</v>
      </c>
      <c r="B684" t="str">
        <f>HYPERLINK("https://www.suredividend.com/sure-analysis-research-database/","Warrior Met Coal Inc")</f>
        <v>Warrior Met Coal Inc</v>
      </c>
      <c r="C684">
        <v>2.0956816257408001E-2</v>
      </c>
      <c r="D684">
        <v>0.26886659668563501</v>
      </c>
      <c r="E684">
        <v>0.27992144790616202</v>
      </c>
      <c r="F684">
        <v>0.43441769719897411</v>
      </c>
      <c r="G684">
        <v>0.49908774154645602</v>
      </c>
      <c r="H684">
        <v>0.97195191757298205</v>
      </c>
      <c r="I684">
        <v>1.1302721253693631</v>
      </c>
    </row>
    <row r="685" spans="1:9" x14ac:dyDescent="0.35">
      <c r="A685" s="1" t="s">
        <v>697</v>
      </c>
      <c r="B685" t="str">
        <f>HYPERLINK("https://www.suredividend.com/sure-analysis-research-database/","Heritage-Crystal Clean Inc")</f>
        <v>Heritage-Crystal Clean Inc</v>
      </c>
      <c r="C685">
        <v>4.8618784530380004E-3</v>
      </c>
      <c r="D685">
        <v>0.10043562439496601</v>
      </c>
      <c r="E685">
        <v>0.29433532593225098</v>
      </c>
      <c r="F685">
        <v>0.39993842364532001</v>
      </c>
      <c r="G685">
        <v>0.55134766291368109</v>
      </c>
      <c r="H685">
        <v>0.47486214725916298</v>
      </c>
      <c r="I685">
        <v>1.1693702290076331</v>
      </c>
    </row>
    <row r="686" spans="1:9" x14ac:dyDescent="0.35">
      <c r="A686" s="1" t="s">
        <v>698</v>
      </c>
      <c r="B686" t="str">
        <f>HYPERLINK("https://www.suredividend.com/sure-analysis-research-database/","HCI Group Inc")</f>
        <v>HCI Group Inc</v>
      </c>
      <c r="C686">
        <v>0.12573936271703801</v>
      </c>
      <c r="D686">
        <v>8.9902743598460014E-3</v>
      </c>
      <c r="E686">
        <v>0.206474884873667</v>
      </c>
      <c r="F686">
        <v>0.52308375411748909</v>
      </c>
      <c r="G686">
        <v>0.6463339769848081</v>
      </c>
      <c r="H686">
        <v>-0.49546517255946199</v>
      </c>
      <c r="I686">
        <v>0.60485700452080005</v>
      </c>
    </row>
    <row r="687" spans="1:9" x14ac:dyDescent="0.35">
      <c r="A687" s="1" t="s">
        <v>699</v>
      </c>
      <c r="B687" t="str">
        <f>HYPERLINK("https://www.suredividend.com/sure-analysis-research-database/","Hackett Group Inc (The)")</f>
        <v>Hackett Group Inc (The)</v>
      </c>
      <c r="C687">
        <v>-4.8376977460008012E-2</v>
      </c>
      <c r="D687">
        <v>1.8196890444717E-2</v>
      </c>
      <c r="E687">
        <v>0.20613098796003701</v>
      </c>
      <c r="F687">
        <v>0.127350725794383</v>
      </c>
      <c r="G687">
        <v>0.18539965277231399</v>
      </c>
      <c r="H687">
        <v>0.14464574227237501</v>
      </c>
      <c r="I687">
        <v>0.290956450212493</v>
      </c>
    </row>
    <row r="688" spans="1:9" x14ac:dyDescent="0.35">
      <c r="A688" s="1" t="s">
        <v>700</v>
      </c>
      <c r="B688" t="str">
        <f>HYPERLINK("https://www.suredividend.com/sure-analysis-research-database/","Healthcare Services Group, Inc.")</f>
        <v>Healthcare Services Group, Inc.</v>
      </c>
      <c r="C688">
        <v>-5.1886792452829997E-2</v>
      </c>
      <c r="D688">
        <v>-0.320945945945945</v>
      </c>
      <c r="E688">
        <v>-0.32002706359945798</v>
      </c>
      <c r="F688">
        <v>-0.16249999999999901</v>
      </c>
      <c r="G688">
        <v>-0.19174534750928801</v>
      </c>
      <c r="H688">
        <v>-0.52702543708967609</v>
      </c>
      <c r="I688">
        <v>-0.7036351143732541</v>
      </c>
    </row>
    <row r="689" spans="1:9" x14ac:dyDescent="0.35">
      <c r="A689" s="1" t="s">
        <v>701</v>
      </c>
      <c r="B689" t="str">
        <f>HYPERLINK("https://www.suredividend.com/sure-analysis-research-database/","Hudson Technologies, Inc.")</f>
        <v>Hudson Technologies, Inc.</v>
      </c>
      <c r="C689">
        <v>8.9068825910931002E-2</v>
      </c>
      <c r="D689">
        <v>0.44779332615715811</v>
      </c>
      <c r="E689">
        <v>0.61077844311377205</v>
      </c>
      <c r="F689">
        <v>0.32905138339920897</v>
      </c>
      <c r="G689">
        <v>0.74902470741222305</v>
      </c>
      <c r="H689">
        <v>2.9792899408284019</v>
      </c>
      <c r="I689">
        <v>9.9349593495934965</v>
      </c>
    </row>
    <row r="690" spans="1:9" x14ac:dyDescent="0.35">
      <c r="A690" s="1" t="s">
        <v>702</v>
      </c>
      <c r="B690" t="str">
        <f>HYPERLINK("https://www.suredividend.com/sure-analysis-research-database/","Turtle Beach Corp")</f>
        <v>Turtle Beach Corp</v>
      </c>
      <c r="C690">
        <v>-0.148475909537856</v>
      </c>
      <c r="D690">
        <v>-0.23022222222222199</v>
      </c>
      <c r="E690">
        <v>-0.266723116003386</v>
      </c>
      <c r="F690">
        <v>0.20781032078103201</v>
      </c>
      <c r="G690">
        <v>0.35736677115987397</v>
      </c>
      <c r="H690">
        <v>-0.71390815989428402</v>
      </c>
      <c r="I690">
        <v>-0.54942767950052007</v>
      </c>
    </row>
    <row r="691" spans="1:9" x14ac:dyDescent="0.35">
      <c r="A691" s="1" t="s">
        <v>703</v>
      </c>
      <c r="B691" t="str">
        <f>HYPERLINK("https://www.suredividend.com/sure-analysis-research-database/","H&amp;E Equipment Services Inc")</f>
        <v>H&amp;E Equipment Services Inc</v>
      </c>
      <c r="C691">
        <v>-9.356458238247E-3</v>
      </c>
      <c r="D691">
        <v>-4.4274674709935007E-2</v>
      </c>
      <c r="E691">
        <v>6.2059921611610003E-2</v>
      </c>
      <c r="F691">
        <v>-1.2443979343448999E-2</v>
      </c>
      <c r="G691">
        <v>0.56310763513805406</v>
      </c>
      <c r="H691">
        <v>0.163613554851472</v>
      </c>
      <c r="I691">
        <v>0.706334388081995</v>
      </c>
    </row>
    <row r="692" spans="1:9" x14ac:dyDescent="0.35">
      <c r="A692" s="1" t="s">
        <v>704</v>
      </c>
      <c r="B692" t="str">
        <f>HYPERLINK("https://www.suredividend.com/sure-analysis-research-database/","Helen of Troy Ltd")</f>
        <v>Helen of Troy Ltd</v>
      </c>
      <c r="C692">
        <v>-4.3611846035674001E-2</v>
      </c>
      <c r="D692">
        <v>-0.127122604767097</v>
      </c>
      <c r="E692">
        <v>0.26108485257708702</v>
      </c>
      <c r="F692">
        <v>1.0368767469119E-2</v>
      </c>
      <c r="G692">
        <v>0.17796699253652901</v>
      </c>
      <c r="H692">
        <v>-0.50343421810608402</v>
      </c>
      <c r="I692">
        <v>-6.6866516779082008E-2</v>
      </c>
    </row>
    <row r="693" spans="1:9" x14ac:dyDescent="0.35">
      <c r="A693" s="1" t="s">
        <v>705</v>
      </c>
      <c r="B693" t="str">
        <f>HYPERLINK("https://www.suredividend.com/sure-analysis-research-database/","HF Foods Group Inc.")</f>
        <v>HF Foods Group Inc.</v>
      </c>
      <c r="C693">
        <v>-5.5961070559610013E-2</v>
      </c>
      <c r="D693">
        <v>-0.189979123173277</v>
      </c>
      <c r="E693">
        <v>5.1813471502590008E-3</v>
      </c>
      <c r="F693">
        <v>-4.4334975369457998E-2</v>
      </c>
      <c r="G693">
        <v>7.7777777777777002E-2</v>
      </c>
      <c r="H693">
        <v>-0.43604651162790697</v>
      </c>
      <c r="I693">
        <v>-0.72867132867132811</v>
      </c>
    </row>
    <row r="694" spans="1:9" x14ac:dyDescent="0.35">
      <c r="A694" s="1" t="s">
        <v>706</v>
      </c>
      <c r="B694" t="str">
        <f>HYPERLINK("https://www.suredividend.com/sure-analysis-research-database/","Heritage Financial Corp.")</f>
        <v>Heritage Financial Corp.</v>
      </c>
      <c r="C694">
        <v>-6.9753979739507005E-2</v>
      </c>
      <c r="D694">
        <v>-4.1689774645031007E-2</v>
      </c>
      <c r="E694">
        <v>-0.117503308676145</v>
      </c>
      <c r="F694">
        <v>-0.44426961396276898</v>
      </c>
      <c r="G694">
        <v>-0.43131752440875698</v>
      </c>
      <c r="H694">
        <v>-0.28580634552395601</v>
      </c>
      <c r="I694">
        <v>-0.40657969077152001</v>
      </c>
    </row>
    <row r="695" spans="1:9" x14ac:dyDescent="0.35">
      <c r="A695" s="1" t="s">
        <v>707</v>
      </c>
      <c r="B695" t="str">
        <f>HYPERLINK("https://www.suredividend.com/sure-analysis-research-database/","Hilton Grand Vacations Inc")</f>
        <v>Hilton Grand Vacations Inc</v>
      </c>
      <c r="C695">
        <v>-0.122681883024251</v>
      </c>
      <c r="D695">
        <v>-0.19973975276512601</v>
      </c>
      <c r="E695">
        <v>-0.21153846153846101</v>
      </c>
      <c r="F695">
        <v>-4.2553191489361E-2</v>
      </c>
      <c r="G695">
        <v>1.8211920529801001E-2</v>
      </c>
      <c r="H695">
        <v>-0.24493554327808401</v>
      </c>
      <c r="I695">
        <v>0.258955987717502</v>
      </c>
    </row>
    <row r="696" spans="1:9" x14ac:dyDescent="0.35">
      <c r="A696" s="1" t="s">
        <v>708</v>
      </c>
      <c r="B696" t="str">
        <f>HYPERLINK("https://www.suredividend.com/sure-analysis-HI/","Hillenbrand Inc")</f>
        <v>Hillenbrand Inc</v>
      </c>
      <c r="C696">
        <v>-9.7776769509981001E-2</v>
      </c>
      <c r="D696">
        <v>-0.22200986327953001</v>
      </c>
      <c r="E696">
        <v>-0.126962523269291</v>
      </c>
      <c r="F696">
        <v>-5.4497733124436003E-2</v>
      </c>
      <c r="G696">
        <v>7.4147798631724007E-2</v>
      </c>
      <c r="H696">
        <v>-9.1492652215528006E-2</v>
      </c>
      <c r="I696">
        <v>-0.106408602923663</v>
      </c>
    </row>
    <row r="697" spans="1:9" x14ac:dyDescent="0.35">
      <c r="A697" s="1" t="s">
        <v>709</v>
      </c>
      <c r="B697" t="str">
        <f>HYPERLINK("https://www.suredividend.com/sure-analysis-research-database/","Hibbett Inc")</f>
        <v>Hibbett Inc</v>
      </c>
      <c r="C697">
        <v>4.5252883762200012E-2</v>
      </c>
      <c r="D697">
        <v>0.26459300609216002</v>
      </c>
      <c r="E697">
        <v>-0.223702766465014</v>
      </c>
      <c r="F697">
        <v>-0.29797377830750899</v>
      </c>
      <c r="G697">
        <v>-0.16114342275558599</v>
      </c>
      <c r="H697">
        <v>-0.34828731788143502</v>
      </c>
      <c r="I697">
        <v>1.6464030372978831</v>
      </c>
    </row>
    <row r="698" spans="1:9" x14ac:dyDescent="0.35">
      <c r="A698" s="1" t="s">
        <v>710</v>
      </c>
      <c r="B698" t="str">
        <f>HYPERLINK("https://www.suredividend.com/sure-analysis-HIFS/","Hingham Institution For Savings")</f>
        <v>Hingham Institution For Savings</v>
      </c>
      <c r="C698">
        <v>-9.6802251215144006E-2</v>
      </c>
      <c r="D698">
        <v>-0.14778844027856999</v>
      </c>
      <c r="E698">
        <v>-0.165641817258873</v>
      </c>
      <c r="F698">
        <v>-0.35237171434944398</v>
      </c>
      <c r="G698">
        <v>-0.27192114163160902</v>
      </c>
      <c r="H698">
        <v>-0.49507084110620397</v>
      </c>
      <c r="I698">
        <v>-0.124940268114375</v>
      </c>
    </row>
    <row r="699" spans="1:9" x14ac:dyDescent="0.35">
      <c r="A699" s="1" t="s">
        <v>711</v>
      </c>
      <c r="B699" t="str">
        <f>HYPERLINK("https://www.suredividend.com/sure-analysis-research-database/","Hims &amp; Hers Health Inc")</f>
        <v>Hims &amp; Hers Health Inc</v>
      </c>
      <c r="C699">
        <v>-9.5087163232960015E-3</v>
      </c>
      <c r="D699">
        <v>-0.29458239277652298</v>
      </c>
      <c r="E699">
        <v>-0.35963114754098302</v>
      </c>
      <c r="F699">
        <v>-2.4960998439937002E-2</v>
      </c>
      <c r="G699">
        <v>0.31027253668763111</v>
      </c>
      <c r="H699">
        <v>-0.252392344497607</v>
      </c>
      <c r="I699">
        <v>-0.36224489795918302</v>
      </c>
    </row>
    <row r="700" spans="1:9" x14ac:dyDescent="0.35">
      <c r="A700" s="1" t="s">
        <v>712</v>
      </c>
      <c r="B700" t="str">
        <f>HYPERLINK("https://www.suredividend.com/sure-analysis-research-database/","Hippo Holdings Inc")</f>
        <v>Hippo Holdings Inc</v>
      </c>
      <c r="C700">
        <v>-0.151965993623804</v>
      </c>
      <c r="D700">
        <v>-0.52640949554896099</v>
      </c>
      <c r="E700">
        <v>-0.53169014084507005</v>
      </c>
      <c r="F700">
        <v>-0.41323529411764698</v>
      </c>
      <c r="G700">
        <v>-0.52415026833631406</v>
      </c>
      <c r="H700">
        <v>-0.92678899082568811</v>
      </c>
      <c r="I700">
        <v>-0.96779011099899004</v>
      </c>
    </row>
    <row r="701" spans="1:9" x14ac:dyDescent="0.35">
      <c r="A701" s="1" t="s">
        <v>713</v>
      </c>
      <c r="B701" t="str">
        <f>HYPERLINK("https://www.suredividend.com/sure-analysis-research-database/","Hecla Mining Co.")</f>
        <v>Hecla Mining Co.</v>
      </c>
      <c r="C701">
        <v>-1.8957345971563001E-2</v>
      </c>
      <c r="D701">
        <v>-0.299599045830584</v>
      </c>
      <c r="E701">
        <v>-0.37197554648746201</v>
      </c>
      <c r="F701">
        <v>-0.25246469972193097</v>
      </c>
      <c r="G701">
        <v>-2.5538476364859999E-3</v>
      </c>
      <c r="H701">
        <v>-0.25109893091658902</v>
      </c>
      <c r="I701">
        <v>0.45252964704231202</v>
      </c>
    </row>
    <row r="702" spans="1:9" x14ac:dyDescent="0.35">
      <c r="A702" s="1" t="s">
        <v>714</v>
      </c>
      <c r="B702" t="str">
        <f>HYPERLINK("https://www.suredividend.com/sure-analysis-research-database/","Herbalife Ltd")</f>
        <v>Herbalife Ltd</v>
      </c>
      <c r="C702">
        <v>-6.3056888279643009E-2</v>
      </c>
      <c r="D702">
        <v>3.1698113207547E-2</v>
      </c>
      <c r="E702">
        <v>-6.8166325835037012E-2</v>
      </c>
      <c r="F702">
        <v>-8.1317204301075002E-2</v>
      </c>
      <c r="G702">
        <v>-0.33511673151750898</v>
      </c>
      <c r="H702">
        <v>-0.68567486778569708</v>
      </c>
      <c r="I702">
        <v>-0.74202679750896305</v>
      </c>
    </row>
    <row r="703" spans="1:9" x14ac:dyDescent="0.35">
      <c r="A703" s="1" t="s">
        <v>715</v>
      </c>
      <c r="B703" t="str">
        <f>HYPERLINK("https://www.suredividend.com/sure-analysis-research-database/","Heliogen Inc")</f>
        <v>Heliogen Inc</v>
      </c>
      <c r="C703">
        <v>-0.35588972431077698</v>
      </c>
      <c r="D703">
        <v>-0.72804232804232805</v>
      </c>
      <c r="E703">
        <v>-0.78654485049833811</v>
      </c>
      <c r="F703">
        <v>-0.89483160780783211</v>
      </c>
      <c r="G703">
        <v>-0.96310122038765211</v>
      </c>
      <c r="H703">
        <v>-0.74144869215291709</v>
      </c>
      <c r="I703">
        <v>-0.7325702393340271</v>
      </c>
    </row>
    <row r="704" spans="1:9" x14ac:dyDescent="0.35">
      <c r="A704" s="1" t="s">
        <v>716</v>
      </c>
      <c r="B704" t="str">
        <f>HYPERLINK("https://www.suredividend.com/sure-analysis-HLI/","Houlihan Lokey Inc")</f>
        <v>Houlihan Lokey Inc</v>
      </c>
      <c r="C704">
        <v>-1.7455675379272E-2</v>
      </c>
      <c r="D704">
        <v>6.2420017095959013E-2</v>
      </c>
      <c r="E704">
        <v>0.203435572933165</v>
      </c>
      <c r="F704">
        <v>0.25470470499676101</v>
      </c>
      <c r="G704">
        <v>0.38131378345841099</v>
      </c>
      <c r="H704">
        <v>0.10858251778465</v>
      </c>
      <c r="I704">
        <v>1.814117967322622</v>
      </c>
    </row>
    <row r="705" spans="1:9" x14ac:dyDescent="0.35">
      <c r="A705" s="1" t="s">
        <v>717</v>
      </c>
      <c r="B705" t="str">
        <f>HYPERLINK("https://www.suredividend.com/sure-analysis-research-database/","Helios Technologies Inc")</f>
        <v>Helios Technologies Inc</v>
      </c>
      <c r="C705">
        <v>-4.6312533337139E-2</v>
      </c>
      <c r="D705">
        <v>-0.17246887857613799</v>
      </c>
      <c r="E705">
        <v>-0.112649966471248</v>
      </c>
      <c r="F705">
        <v>-1.2018044623665999E-2</v>
      </c>
      <c r="G705">
        <v>3.4538811654333E-2</v>
      </c>
      <c r="H705">
        <v>-0.36104680278385598</v>
      </c>
      <c r="I705">
        <v>0.167955291737579</v>
      </c>
    </row>
    <row r="706" spans="1:9" x14ac:dyDescent="0.35">
      <c r="A706" s="1" t="s">
        <v>718</v>
      </c>
      <c r="B706" t="str">
        <f>HYPERLINK("https://www.suredividend.com/sure-analysis-research-database/","Harmonic, Inc.")</f>
        <v>Harmonic, Inc.</v>
      </c>
      <c r="C706">
        <v>-5.1493305870230002E-3</v>
      </c>
      <c r="D706">
        <v>-0.38432122370936811</v>
      </c>
      <c r="E706">
        <v>-0.38860759493670799</v>
      </c>
      <c r="F706">
        <v>-0.26259541984732798</v>
      </c>
      <c r="G706">
        <v>-0.28285077951002202</v>
      </c>
      <c r="H706">
        <v>4.2071197411003E-2</v>
      </c>
      <c r="I706">
        <v>0.82608695652173902</v>
      </c>
    </row>
    <row r="707" spans="1:9" x14ac:dyDescent="0.35">
      <c r="A707" s="1" t="s">
        <v>719</v>
      </c>
      <c r="B707" t="str">
        <f>HYPERLINK("https://www.suredividend.com/sure-analysis-research-database/","Holley Inc")</f>
        <v>Holley Inc</v>
      </c>
      <c r="C707">
        <v>-0.18962432915921201</v>
      </c>
      <c r="D707">
        <v>-0.16727941176470501</v>
      </c>
      <c r="E707">
        <v>1.0875576036866359</v>
      </c>
      <c r="F707">
        <v>1.136792452830188</v>
      </c>
      <c r="G707">
        <v>0.110294117647058</v>
      </c>
      <c r="H707">
        <v>-0.60574412532637001</v>
      </c>
      <c r="I707">
        <v>-0.53538461538461501</v>
      </c>
    </row>
    <row r="708" spans="1:9" x14ac:dyDescent="0.35">
      <c r="A708" s="1" t="s">
        <v>720</v>
      </c>
      <c r="B708" t="str">
        <f>HYPERLINK("https://www.suredividend.com/sure-analysis-research-database/","Hillman Solutions Corp")</f>
        <v>Hillman Solutions Corp</v>
      </c>
      <c r="C708">
        <v>-0.122786304604486</v>
      </c>
      <c r="D708">
        <v>-0.21624472573839601</v>
      </c>
      <c r="E708">
        <v>-5.1085568326947002E-2</v>
      </c>
      <c r="F708">
        <v>3.0513176144244002E-2</v>
      </c>
      <c r="G708">
        <v>4.5007032348804002E-2</v>
      </c>
      <c r="H708">
        <v>-0.32638259292837701</v>
      </c>
      <c r="I708">
        <v>-0.242609582059123</v>
      </c>
    </row>
    <row r="709" spans="1:9" x14ac:dyDescent="0.35">
      <c r="A709" s="1" t="s">
        <v>721</v>
      </c>
      <c r="B709" t="str">
        <f>HYPERLINK("https://www.suredividend.com/sure-analysis-research-database/","Hamilton Lane Inc")</f>
        <v>Hamilton Lane Inc</v>
      </c>
      <c r="C709">
        <v>-6.6130084837937003E-2</v>
      </c>
      <c r="D709">
        <v>3.0279613039167999E-2</v>
      </c>
      <c r="E709">
        <v>0.21915547995194901</v>
      </c>
      <c r="F709">
        <v>0.38170535849347997</v>
      </c>
      <c r="G709">
        <v>0.53362507814593207</v>
      </c>
      <c r="H709">
        <v>-7.1474743316510009E-3</v>
      </c>
      <c r="I709">
        <v>1.4543068998439259</v>
      </c>
    </row>
    <row r="710" spans="1:9" x14ac:dyDescent="0.35">
      <c r="A710" s="1" t="s">
        <v>722</v>
      </c>
      <c r="B710" t="str">
        <f>HYPERLINK("https://www.suredividend.com/sure-analysis-research-database/","Cue Health Inc")</f>
        <v>Cue Health Inc</v>
      </c>
      <c r="C710">
        <v>-0.36434108527131698</v>
      </c>
      <c r="D710">
        <v>-2.8896257697773001E-2</v>
      </c>
      <c r="E710">
        <v>-0.74846625766871111</v>
      </c>
      <c r="F710">
        <v>-0.80193236714975802</v>
      </c>
      <c r="G710">
        <v>-0.87650602409638512</v>
      </c>
      <c r="H710">
        <v>-0.96168224299065408</v>
      </c>
      <c r="I710">
        <v>-0.97950000000000004</v>
      </c>
    </row>
    <row r="711" spans="1:9" x14ac:dyDescent="0.35">
      <c r="A711" s="1" t="s">
        <v>723</v>
      </c>
      <c r="B711" t="str">
        <f>HYPERLINK("https://www.suredividend.com/sure-analysis-research-database/","HilleVax Inc")</f>
        <v>HilleVax Inc</v>
      </c>
      <c r="C711">
        <v>-0.180430256766134</v>
      </c>
      <c r="D711">
        <v>-0.242948717948717</v>
      </c>
      <c r="E711">
        <v>-0.105980317940953</v>
      </c>
      <c r="F711">
        <v>-0.29408248655110503</v>
      </c>
      <c r="G711">
        <v>-0.29111644657863101</v>
      </c>
      <c r="H711">
        <v>-0.381351492928234</v>
      </c>
      <c r="I711">
        <v>-0.381351492928234</v>
      </c>
    </row>
    <row r="712" spans="1:9" x14ac:dyDescent="0.35">
      <c r="A712" s="1" t="s">
        <v>724</v>
      </c>
      <c r="B712" t="str">
        <f>HYPERLINK("https://www.suredividend.com/sure-analysis-research-database/","Helix Energy Solutions Group Inc")</f>
        <v>Helix Energy Solutions Group Inc</v>
      </c>
      <c r="C712">
        <v>9.3196644920700005E-4</v>
      </c>
      <c r="D712">
        <v>0.319410319410319</v>
      </c>
      <c r="E712">
        <v>0.39299610894941611</v>
      </c>
      <c r="F712">
        <v>0.45528455284552799</v>
      </c>
      <c r="G712">
        <v>1.4976744186046509</v>
      </c>
      <c r="H712">
        <v>1.4746543778801839</v>
      </c>
      <c r="I712">
        <v>3.6679536679536003E-2</v>
      </c>
    </row>
    <row r="713" spans="1:9" x14ac:dyDescent="0.35">
      <c r="A713" s="1" t="s">
        <v>725</v>
      </c>
      <c r="B713" t="str">
        <f>HYPERLINK("https://www.suredividend.com/sure-analysis-HMN/","Horace Mann Educators Corp.")</f>
        <v>Horace Mann Educators Corp.</v>
      </c>
      <c r="C713">
        <v>4.8639455782311998E-2</v>
      </c>
      <c r="D713">
        <v>8.3644109200957009E-2</v>
      </c>
      <c r="E713">
        <v>-3.4858421901169001E-2</v>
      </c>
      <c r="F713">
        <v>-0.148333130752825</v>
      </c>
      <c r="G713">
        <v>-0.17317249129055301</v>
      </c>
      <c r="H713">
        <v>-0.16476573886941301</v>
      </c>
      <c r="I713">
        <v>-8.3784803844359004E-2</v>
      </c>
    </row>
    <row r="714" spans="1:9" x14ac:dyDescent="0.35">
      <c r="A714" s="1" t="s">
        <v>726</v>
      </c>
      <c r="B714" t="str">
        <f>HYPERLINK("https://www.suredividend.com/sure-analysis-research-database/","Home Point Capital Inc")</f>
        <v>Home Point Capital Inc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 s="1" t="s">
        <v>727</v>
      </c>
      <c r="B715" t="str">
        <f>HYPERLINK("https://www.suredividend.com/sure-analysis-research-database/","HomeStreet Inc")</f>
        <v>HomeStreet Inc</v>
      </c>
      <c r="C715">
        <v>-0.32934782608695601</v>
      </c>
      <c r="D715">
        <v>-0.108845109480617</v>
      </c>
      <c r="E715">
        <v>-0.63837344242694205</v>
      </c>
      <c r="F715">
        <v>-0.76175306496766004</v>
      </c>
      <c r="G715">
        <v>-0.77982214482492807</v>
      </c>
      <c r="H715">
        <v>-0.83834117610069403</v>
      </c>
      <c r="I715">
        <v>-0.72306877499450106</v>
      </c>
    </row>
    <row r="716" spans="1:9" x14ac:dyDescent="0.35">
      <c r="A716" s="1" t="s">
        <v>728</v>
      </c>
      <c r="B716" t="str">
        <f>HYPERLINK("https://www.suredividend.com/sure-analysis-HNI/","HNI Corp.")</f>
        <v>HNI Corp.</v>
      </c>
      <c r="C716">
        <v>9.2336103416435E-2</v>
      </c>
      <c r="D716">
        <v>0.28971066000915702</v>
      </c>
      <c r="E716">
        <v>0.40328817821641211</v>
      </c>
      <c r="F716">
        <v>0.288834819239917</v>
      </c>
      <c r="G716">
        <v>0.34417561773751199</v>
      </c>
      <c r="H716">
        <v>-5.1159857032720014E-3</v>
      </c>
      <c r="I716">
        <v>9.5045912322275009E-2</v>
      </c>
    </row>
    <row r="717" spans="1:9" x14ac:dyDescent="0.35">
      <c r="A717" s="1" t="s">
        <v>729</v>
      </c>
      <c r="B717" t="str">
        <f>HYPERLINK("https://www.suredividend.com/sure-analysis-research-database/","Honest Company Inc (The )")</f>
        <v>Honest Company Inc (The )</v>
      </c>
      <c r="C717">
        <v>-4.9586776859504002E-2</v>
      </c>
      <c r="D717">
        <v>-0.32748538011695899</v>
      </c>
      <c r="E717">
        <v>-0.35754189944134002</v>
      </c>
      <c r="F717">
        <v>-0.617940199335548</v>
      </c>
      <c r="G717">
        <v>-0.65256797583081505</v>
      </c>
      <c r="H717">
        <v>-0.87554112554112506</v>
      </c>
      <c r="I717">
        <v>-0.95000000000000007</v>
      </c>
    </row>
    <row r="718" spans="1:9" x14ac:dyDescent="0.35">
      <c r="A718" s="1" t="s">
        <v>730</v>
      </c>
      <c r="B718" t="str">
        <f>HYPERLINK("https://www.suredividend.com/sure-analysis-HOMB/","Home Bancshares Inc")</f>
        <v>Home Bancshares Inc</v>
      </c>
      <c r="C718">
        <v>-4.8979591836733997E-2</v>
      </c>
      <c r="D718">
        <v>-9.2647720585690013E-2</v>
      </c>
      <c r="E718">
        <v>2.7865598117784999E-2</v>
      </c>
      <c r="F718">
        <v>-5.7676320578785002E-2</v>
      </c>
      <c r="G718">
        <v>-0.108331171840783</v>
      </c>
      <c r="H718">
        <v>-7.2374270661458004E-2</v>
      </c>
      <c r="I718">
        <v>0.186515480717001</v>
      </c>
    </row>
    <row r="719" spans="1:9" x14ac:dyDescent="0.35">
      <c r="A719" s="1" t="s">
        <v>731</v>
      </c>
      <c r="B719" t="str">
        <f>HYPERLINK("https://www.suredividend.com/sure-analysis-research-database/","HarborOne Bancorp Inc.")</f>
        <v>HarborOne Bancorp Inc.</v>
      </c>
      <c r="C719">
        <v>-2.0352922804643001E-2</v>
      </c>
      <c r="D719">
        <v>1.7495296381998E-2</v>
      </c>
      <c r="E719">
        <v>-0.16814002828854299</v>
      </c>
      <c r="F719">
        <v>-0.30209445828883302</v>
      </c>
      <c r="G719">
        <v>-0.31631259263564698</v>
      </c>
      <c r="H719">
        <v>-0.29802836233970598</v>
      </c>
      <c r="I719">
        <v>1.1882359266627E-2</v>
      </c>
    </row>
    <row r="720" spans="1:9" x14ac:dyDescent="0.35">
      <c r="A720" s="1" t="s">
        <v>732</v>
      </c>
      <c r="B720" t="str">
        <f>HYPERLINK("https://www.suredividend.com/sure-analysis-research-database/","Hope Bancorp Inc")</f>
        <v>Hope Bancorp Inc</v>
      </c>
      <c r="C720">
        <v>-2.8230184581976001E-2</v>
      </c>
      <c r="D720">
        <v>2.8180178524244998E-2</v>
      </c>
      <c r="E720">
        <v>-1.0459279570130001E-2</v>
      </c>
      <c r="F720">
        <v>-0.25887282423278801</v>
      </c>
      <c r="G720">
        <v>-0.29090937901091701</v>
      </c>
      <c r="H720">
        <v>-0.31785616292186197</v>
      </c>
      <c r="I720">
        <v>-0.26284057589035598</v>
      </c>
    </row>
    <row r="721" spans="1:9" x14ac:dyDescent="0.35">
      <c r="A721" s="1" t="s">
        <v>733</v>
      </c>
      <c r="B721" t="str">
        <f>HYPERLINK("https://www.suredividend.com/sure-analysis-research-database/","Anywhere Real Estate Inc")</f>
        <v>Anywhere Real Estate Inc</v>
      </c>
      <c r="C721">
        <v>-0.31818181818181801</v>
      </c>
      <c r="D721">
        <v>-0.32835820895522311</v>
      </c>
      <c r="E721">
        <v>-0.16946308724832199</v>
      </c>
      <c r="F721">
        <v>-0.22535211267605601</v>
      </c>
      <c r="G721">
        <v>-0.33911882510013303</v>
      </c>
      <c r="H721">
        <v>-0.75237618809404605</v>
      </c>
      <c r="I721">
        <v>-0.73179744476111008</v>
      </c>
    </row>
    <row r="722" spans="1:9" x14ac:dyDescent="0.35">
      <c r="A722" s="1" t="s">
        <v>734</v>
      </c>
      <c r="B722" t="str">
        <f>HYPERLINK("https://www.suredividend.com/sure-analysis-research-database/","Hovnanian Enterprises, Inc.")</f>
        <v>Hovnanian Enterprises, Inc.</v>
      </c>
      <c r="C722">
        <v>-0.29484463276836098</v>
      </c>
      <c r="D722">
        <v>-0.26843117501602698</v>
      </c>
      <c r="E722">
        <v>0.237490317583268</v>
      </c>
      <c r="F722">
        <v>0.89828897338403002</v>
      </c>
      <c r="G722">
        <v>1.219505418171714</v>
      </c>
      <c r="H722">
        <v>-7.0622454915648003E-2</v>
      </c>
      <c r="I722">
        <v>1.102105263157894</v>
      </c>
    </row>
    <row r="723" spans="1:9" x14ac:dyDescent="0.35">
      <c r="A723" s="1" t="s">
        <v>735</v>
      </c>
      <c r="B723" t="str">
        <f>HYPERLINK("https://www.suredividend.com/sure-analysis-HP/","Helmerich &amp; Payne, Inc.")</f>
        <v>Helmerich &amp; Payne, Inc.</v>
      </c>
      <c r="C723">
        <v>-4.8834139903210998E-2</v>
      </c>
      <c r="D723">
        <v>0.158870289074351</v>
      </c>
      <c r="E723">
        <v>0.17172998181704799</v>
      </c>
      <c r="F723">
        <v>-0.110370438951125</v>
      </c>
      <c r="G723">
        <v>9.5723788406715013E-2</v>
      </c>
      <c r="H723">
        <v>0.39305021295240311</v>
      </c>
      <c r="I723">
        <v>-0.20620350856580499</v>
      </c>
    </row>
    <row r="724" spans="1:9" x14ac:dyDescent="0.35">
      <c r="A724" s="1" t="s">
        <v>736</v>
      </c>
      <c r="B724" t="str">
        <f>HYPERLINK("https://www.suredividend.com/sure-analysis-research-database/","HighPeak Energy Inc")</f>
        <v>HighPeak Energy Inc</v>
      </c>
      <c r="C724">
        <v>8.9598997493734012E-2</v>
      </c>
      <c r="D724">
        <v>0.41756674138985111</v>
      </c>
      <c r="E724">
        <v>-0.26366288547607802</v>
      </c>
      <c r="F724">
        <v>-0.23432883793220299</v>
      </c>
      <c r="G724">
        <v>-0.16041443372632999</v>
      </c>
      <c r="H724">
        <v>0.34770680595811898</v>
      </c>
      <c r="I724">
        <v>1.5978100118014369</v>
      </c>
    </row>
    <row r="725" spans="1:9" x14ac:dyDescent="0.35">
      <c r="A725" s="1" t="s">
        <v>737</v>
      </c>
      <c r="B725" t="str">
        <f>HYPERLINK("https://www.suredividend.com/sure-analysis-research-database/","Healthequity Inc")</f>
        <v>Healthequity Inc</v>
      </c>
      <c r="C725">
        <v>7.9240909749384011E-2</v>
      </c>
      <c r="D725">
        <v>0.19755666291592999</v>
      </c>
      <c r="E725">
        <v>0.30518570427470199</v>
      </c>
      <c r="F725">
        <v>0.208630759247242</v>
      </c>
      <c r="G725">
        <v>4.8852597494016013E-2</v>
      </c>
      <c r="H725">
        <v>0.179730799683293</v>
      </c>
      <c r="I725">
        <v>-9.8390415103473003E-2</v>
      </c>
    </row>
    <row r="726" spans="1:9" x14ac:dyDescent="0.35">
      <c r="A726" s="1" t="s">
        <v>738</v>
      </c>
      <c r="B726" t="str">
        <f>HYPERLINK("https://www.suredividend.com/sure-analysis-research-database/","Herc Holdings Inc")</f>
        <v>Herc Holdings Inc</v>
      </c>
      <c r="C726">
        <v>-0.14427505161187801</v>
      </c>
      <c r="D726">
        <v>-0.240595347316469</v>
      </c>
      <c r="E726">
        <v>-2.0065159256460002E-2</v>
      </c>
      <c r="F726">
        <v>-0.16811399547661501</v>
      </c>
      <c r="G726">
        <v>5.0255766563918003E-2</v>
      </c>
      <c r="H726">
        <v>-0.37511596623063298</v>
      </c>
      <c r="I726">
        <v>1.800544673066228</v>
      </c>
    </row>
    <row r="727" spans="1:9" x14ac:dyDescent="0.35">
      <c r="A727" s="1" t="s">
        <v>739</v>
      </c>
      <c r="B727" t="str">
        <f>HYPERLINK("https://www.suredividend.com/sure-analysis-research-database/","Harmony Biosciences Holdings Inc")</f>
        <v>Harmony Biosciences Holdings Inc</v>
      </c>
      <c r="C727">
        <v>-0.43736673773987211</v>
      </c>
      <c r="D727">
        <v>-0.40282885431400201</v>
      </c>
      <c r="E727">
        <v>-0.330053951126626</v>
      </c>
      <c r="F727">
        <v>-0.61687840290381102</v>
      </c>
      <c r="G727">
        <v>-0.58664578030154602</v>
      </c>
      <c r="H727">
        <v>-0.46421319796954302</v>
      </c>
      <c r="I727">
        <v>-0.42961361794109698</v>
      </c>
    </row>
    <row r="728" spans="1:9" x14ac:dyDescent="0.35">
      <c r="A728" s="1" t="s">
        <v>740</v>
      </c>
      <c r="B728" t="str">
        <f>HYPERLINK("https://www.suredividend.com/sure-analysis-research-database/","HireRight Holdings Corp")</f>
        <v>HireRight Holdings Corp</v>
      </c>
      <c r="C728">
        <v>5.2029136316337002E-2</v>
      </c>
      <c r="D728">
        <v>-8.0909090909090001E-2</v>
      </c>
      <c r="E728">
        <v>-9.8814229249000012E-4</v>
      </c>
      <c r="F728">
        <v>-0.14755480607082599</v>
      </c>
      <c r="G728">
        <v>-0.31504065040650397</v>
      </c>
      <c r="H728">
        <v>-0.41391304347826002</v>
      </c>
      <c r="I728">
        <v>-0.41391304347826002</v>
      </c>
    </row>
    <row r="729" spans="1:9" x14ac:dyDescent="0.35">
      <c r="A729" s="1" t="s">
        <v>741</v>
      </c>
      <c r="B729" t="str">
        <f>HYPERLINK("https://www.suredividend.com/sure-analysis-research-database/","Heron Therapeutics Inc")</f>
        <v>Heron Therapeutics Inc</v>
      </c>
      <c r="C729">
        <v>-0.40272727272727199</v>
      </c>
      <c r="D729">
        <v>-0.43094488188976299</v>
      </c>
      <c r="E729">
        <v>-0.73527472527472504</v>
      </c>
      <c r="F729">
        <v>-0.71092000000000011</v>
      </c>
      <c r="G729">
        <v>-0.80307901907356904</v>
      </c>
      <c r="H729">
        <v>-0.93175637393767707</v>
      </c>
      <c r="I729">
        <v>-0.97519903912148209</v>
      </c>
    </row>
    <row r="730" spans="1:9" x14ac:dyDescent="0.35">
      <c r="A730" s="1" t="s">
        <v>742</v>
      </c>
      <c r="B730" t="str">
        <f>HYPERLINK("https://www.suredividend.com/sure-analysis-research-database/","Heidrick &amp; Struggles International, Inc.")</f>
        <v>Heidrick &amp; Struggles International, Inc.</v>
      </c>
      <c r="C730">
        <v>2.4115755627008999E-2</v>
      </c>
      <c r="D730">
        <v>-7.8254326561324E-2</v>
      </c>
      <c r="E730">
        <v>-0.104919080891006</v>
      </c>
      <c r="F730">
        <v>-6.3923585598824009E-2</v>
      </c>
      <c r="G730">
        <v>-5.0274332061068003E-2</v>
      </c>
      <c r="H730">
        <v>-0.41209994300968811</v>
      </c>
      <c r="I730">
        <v>-5.4566503157629002E-2</v>
      </c>
    </row>
    <row r="731" spans="1:9" x14ac:dyDescent="0.35">
      <c r="A731" s="1" t="s">
        <v>743</v>
      </c>
      <c r="B731" t="str">
        <f>HYPERLINK("https://www.suredividend.com/sure-analysis-research-database/","Healthstream Inc")</f>
        <v>Healthstream Inc</v>
      </c>
      <c r="C731">
        <v>2.9912563276574999E-2</v>
      </c>
      <c r="D731">
        <v>-4.9927619597471003E-2</v>
      </c>
      <c r="E731">
        <v>-0.180534959081671</v>
      </c>
      <c r="F731">
        <v>-9.344264951310001E-2</v>
      </c>
      <c r="G731">
        <v>2.7321802357606999E-2</v>
      </c>
      <c r="H731">
        <v>-0.19025996345677201</v>
      </c>
      <c r="I731">
        <v>-0.172707479271479</v>
      </c>
    </row>
    <row r="732" spans="1:9" x14ac:dyDescent="0.35">
      <c r="A732" s="1" t="s">
        <v>744</v>
      </c>
      <c r="B732" t="str">
        <f>HYPERLINK("https://www.suredividend.com/sure-analysis-research-database/","Hersha Hospitality Trust")</f>
        <v>Hersha Hospitality Trust</v>
      </c>
      <c r="C732">
        <v>9.1621298632320013E-3</v>
      </c>
      <c r="D732">
        <v>0.58123009458572705</v>
      </c>
      <c r="E732">
        <v>0.55740159838585102</v>
      </c>
      <c r="F732">
        <v>0.18421210341479699</v>
      </c>
      <c r="G732">
        <v>0.30777783660718999</v>
      </c>
      <c r="H732">
        <v>0.129452649869678</v>
      </c>
      <c r="I732">
        <v>-0.39674437348117497</v>
      </c>
    </row>
    <row r="733" spans="1:9" x14ac:dyDescent="0.35">
      <c r="A733" s="1" t="s">
        <v>745</v>
      </c>
      <c r="B733" t="str">
        <f>HYPERLINK("https://www.suredividend.com/sure-analysis-research-database/","HomeTrust Bancshares Inc")</f>
        <v>HomeTrust Bancshares Inc</v>
      </c>
      <c r="C733">
        <v>-0.114718614718614</v>
      </c>
      <c r="D733">
        <v>-4.8735446117490998E-2</v>
      </c>
      <c r="E733">
        <v>-6.4060376115003009E-2</v>
      </c>
      <c r="F733">
        <v>-0.14267986953641801</v>
      </c>
      <c r="G733">
        <v>-6.9490198933440009E-2</v>
      </c>
      <c r="H733">
        <v>-0.27636491024447901</v>
      </c>
      <c r="I733">
        <v>-0.21153282645239799</v>
      </c>
    </row>
    <row r="734" spans="1:9" x14ac:dyDescent="0.35">
      <c r="A734" s="1" t="s">
        <v>746</v>
      </c>
      <c r="B734" t="str">
        <f>HYPERLINK("https://www.suredividend.com/sure-analysis-research-database/","Heritage Commerce Corp.")</f>
        <v>Heritage Commerce Corp.</v>
      </c>
      <c r="C734">
        <v>-1.7584994138334999E-2</v>
      </c>
      <c r="D734">
        <v>-2.4594648074214E-2</v>
      </c>
      <c r="E734">
        <v>8.9670238219078005E-2</v>
      </c>
      <c r="F734">
        <v>-0.32746942313248301</v>
      </c>
      <c r="G734">
        <v>-0.31235947680238901</v>
      </c>
      <c r="H734">
        <v>-0.220755067881718</v>
      </c>
      <c r="I734">
        <v>-0.27396856751745702</v>
      </c>
    </row>
    <row r="735" spans="1:9" x14ac:dyDescent="0.35">
      <c r="A735" s="1" t="s">
        <v>747</v>
      </c>
      <c r="B735" t="str">
        <f>HYPERLINK("https://www.suredividend.com/sure-analysis-research-database/","Hilltop Holdings Inc")</f>
        <v>Hilltop Holdings Inc</v>
      </c>
      <c r="C735">
        <v>-4.8680150839904013E-2</v>
      </c>
      <c r="D735">
        <v>-0.115357395612172</v>
      </c>
      <c r="E735">
        <v>-5.0515971861057003E-2</v>
      </c>
      <c r="F735">
        <v>-6.1310782241014002E-2</v>
      </c>
      <c r="G735">
        <v>0.10421831291358399</v>
      </c>
      <c r="H735">
        <v>-0.13782121985092799</v>
      </c>
      <c r="I735">
        <v>0.56357407678698102</v>
      </c>
    </row>
    <row r="736" spans="1:9" x14ac:dyDescent="0.35">
      <c r="A736" s="1" t="s">
        <v>748</v>
      </c>
      <c r="B736" t="str">
        <f>HYPERLINK("https://www.suredividend.com/sure-analysis-research-database/","Heartland Express, Inc.")</f>
        <v>Heartland Express, Inc.</v>
      </c>
      <c r="C736">
        <v>-5.6056228434392001E-2</v>
      </c>
      <c r="D736">
        <v>-3.6439513792587003E-2</v>
      </c>
      <c r="E736">
        <v>-4.5795374686497997E-2</v>
      </c>
      <c r="F736">
        <v>-2.8973336132689001E-2</v>
      </c>
      <c r="G736">
        <v>1.4546401787795E-2</v>
      </c>
      <c r="H736">
        <v>-9.5044758597074008E-2</v>
      </c>
      <c r="I736">
        <v>-0.160583734608338</v>
      </c>
    </row>
    <row r="737" spans="1:9" x14ac:dyDescent="0.35">
      <c r="A737" s="1" t="s">
        <v>749</v>
      </c>
      <c r="B737" t="str">
        <f>HYPERLINK("https://www.suredividend.com/sure-analysis-research-database/","Heartland Financial USA, Inc.")</f>
        <v>Heartland Financial USA, Inc.</v>
      </c>
      <c r="C737">
        <v>-6.0311284046691997E-2</v>
      </c>
      <c r="D737">
        <v>-1.4121401185911001E-2</v>
      </c>
      <c r="E737">
        <v>-0.155318752040292</v>
      </c>
      <c r="F737">
        <v>-0.35568500155631599</v>
      </c>
      <c r="G737">
        <v>-0.32589915004675402</v>
      </c>
      <c r="H737">
        <v>-0.38177582653884001</v>
      </c>
      <c r="I737">
        <v>-0.39957734222848301</v>
      </c>
    </row>
    <row r="738" spans="1:9" x14ac:dyDescent="0.35">
      <c r="A738" s="1" t="s">
        <v>750</v>
      </c>
      <c r="B738" t="str">
        <f>HYPERLINK("https://www.suredividend.com/sure-analysis-research-database/","Hub Group, Inc.")</f>
        <v>Hub Group, Inc.</v>
      </c>
      <c r="C738">
        <v>-3.9573253938717003E-2</v>
      </c>
      <c r="D738">
        <v>-3.2008002000499997E-2</v>
      </c>
      <c r="E738">
        <v>-4.5964263709179998E-2</v>
      </c>
      <c r="F738">
        <v>-2.604101144798E-2</v>
      </c>
      <c r="G738">
        <v>7.6324204087307002E-2</v>
      </c>
      <c r="H738">
        <v>6.3023479335438004E-2</v>
      </c>
      <c r="I738">
        <v>0.73393057110862203</v>
      </c>
    </row>
    <row r="739" spans="1:9" x14ac:dyDescent="0.35">
      <c r="A739" s="1" t="s">
        <v>751</v>
      </c>
      <c r="B739" t="str">
        <f>HYPERLINK("https://www.suredividend.com/sure-analysis-research-database/","Humacyte Inc")</f>
        <v>Humacyte Inc</v>
      </c>
      <c r="C739">
        <v>-0.202472952086553</v>
      </c>
      <c r="D739">
        <v>-0.14851485148514801</v>
      </c>
      <c r="E739">
        <v>-0.20615384615384599</v>
      </c>
      <c r="F739">
        <v>0.222748815165876</v>
      </c>
      <c r="G739">
        <v>-0.18095238095238</v>
      </c>
      <c r="H739">
        <v>-0.74755381604696602</v>
      </c>
      <c r="I739">
        <v>-0.78852459016393406</v>
      </c>
    </row>
    <row r="740" spans="1:9" x14ac:dyDescent="0.35">
      <c r="A740" s="1" t="s">
        <v>752</v>
      </c>
      <c r="B740" t="str">
        <f>HYPERLINK("https://www.suredividend.com/sure-analysis-research-database/","Huron Consulting Group Inc")</f>
        <v>Huron Consulting Group Inc</v>
      </c>
      <c r="C740">
        <v>4.4614918744322003E-2</v>
      </c>
      <c r="D740">
        <v>0.244468494468494</v>
      </c>
      <c r="E740">
        <v>0.24942653627912501</v>
      </c>
      <c r="F740">
        <v>0.42548209366391099</v>
      </c>
      <c r="G740">
        <v>0.49035138248847898</v>
      </c>
      <c r="H740">
        <v>1.0173489278752439</v>
      </c>
      <c r="I740">
        <v>1.2463642283481651</v>
      </c>
    </row>
    <row r="741" spans="1:9" x14ac:dyDescent="0.35">
      <c r="A741" s="1" t="s">
        <v>753</v>
      </c>
      <c r="B741" t="str">
        <f>HYPERLINK("https://www.suredividend.com/sure-analysis-research-database/","Haverty Furniture Cos., Inc.")</f>
        <v>Haverty Furniture Cos., Inc.</v>
      </c>
      <c r="C741">
        <v>-0.109096795079313</v>
      </c>
      <c r="D741">
        <v>-0.15829652919658899</v>
      </c>
      <c r="E741">
        <v>-0.13362674171876801</v>
      </c>
      <c r="F741">
        <v>-6.297030242361E-2</v>
      </c>
      <c r="G741">
        <v>0.11254401461831</v>
      </c>
      <c r="H741">
        <v>-8.8983050847457001E-2</v>
      </c>
      <c r="I741">
        <v>0.63178179662021905</v>
      </c>
    </row>
    <row r="742" spans="1:9" x14ac:dyDescent="0.35">
      <c r="A742" s="1" t="s">
        <v>754</v>
      </c>
      <c r="B742" t="str">
        <f>HYPERLINK("https://www.suredividend.com/sure-analysis-research-database/","Hancock Whitney Corp.")</f>
        <v>Hancock Whitney Corp.</v>
      </c>
      <c r="C742">
        <v>-9.0078328981723008E-2</v>
      </c>
      <c r="D742">
        <v>-0.145426992246313</v>
      </c>
      <c r="E742">
        <v>-1.4459310036678E-2</v>
      </c>
      <c r="F742">
        <v>-0.25297470403007799</v>
      </c>
      <c r="G742">
        <v>-0.25708962462241602</v>
      </c>
      <c r="H742">
        <v>-0.23244478998500101</v>
      </c>
      <c r="I742">
        <v>-8.1904159751310004E-2</v>
      </c>
    </row>
    <row r="743" spans="1:9" x14ac:dyDescent="0.35">
      <c r="A743" s="1" t="s">
        <v>755</v>
      </c>
      <c r="B743" t="str">
        <f>HYPERLINK("https://www.suredividend.com/sure-analysis-HWKN/","Hawkins Inc")</f>
        <v>Hawkins Inc</v>
      </c>
      <c r="C743">
        <v>-2.897562638486E-3</v>
      </c>
      <c r="D743">
        <v>0.21935459665417401</v>
      </c>
      <c r="E743">
        <v>0.36665958028365703</v>
      </c>
      <c r="F743">
        <v>0.53509865304933502</v>
      </c>
      <c r="G743">
        <v>0.49489054079262401</v>
      </c>
      <c r="H743">
        <v>0.57139365156964705</v>
      </c>
      <c r="I743">
        <v>2.6219097680120358</v>
      </c>
    </row>
    <row r="744" spans="1:9" x14ac:dyDescent="0.35">
      <c r="A744" s="1" t="s">
        <v>756</v>
      </c>
      <c r="B744" t="str">
        <f>HYPERLINK("https://www.suredividend.com/sure-analysis-research-database/","Hyster-Yale Materials Handling Inc")</f>
        <v>Hyster-Yale Materials Handling Inc</v>
      </c>
      <c r="C744">
        <v>-6.2358788974242997E-2</v>
      </c>
      <c r="D744">
        <v>-0.109187815406543</v>
      </c>
      <c r="E744">
        <v>-0.148637615036495</v>
      </c>
      <c r="F744">
        <v>0.67932567992457105</v>
      </c>
      <c r="G744">
        <v>0.74036300197940008</v>
      </c>
      <c r="H744">
        <v>-7.5361388874035012E-2</v>
      </c>
      <c r="I744">
        <v>-0.235713364887014</v>
      </c>
    </row>
    <row r="745" spans="1:9" x14ac:dyDescent="0.35">
      <c r="A745" s="1" t="s">
        <v>757</v>
      </c>
      <c r="B745" t="str">
        <f>HYPERLINK("https://www.suredividend.com/sure-analysis-research-database/","Hydrofarm Holdings Group Inc")</f>
        <v>Hydrofarm Holdings Group Inc</v>
      </c>
      <c r="C745">
        <v>-0.3125</v>
      </c>
      <c r="D745">
        <v>0.134020618556701</v>
      </c>
      <c r="E745">
        <v>-0.28104575163398599</v>
      </c>
      <c r="F745">
        <v>-0.29032258064516098</v>
      </c>
      <c r="G745">
        <v>-0.52380952380952306</v>
      </c>
      <c r="H745">
        <v>-0.96912714005051903</v>
      </c>
      <c r="I745">
        <v>-0.97884208501634906</v>
      </c>
    </row>
    <row r="746" spans="1:9" x14ac:dyDescent="0.35">
      <c r="A746" s="1" t="s">
        <v>758</v>
      </c>
      <c r="B746" t="str">
        <f>HYPERLINK("https://www.suredividend.com/sure-analysis-research-database/","Hyliion Holdings Corporation")</f>
        <v>Hyliion Holdings Corporation</v>
      </c>
      <c r="C746">
        <v>-0.38537815126050401</v>
      </c>
      <c r="D746">
        <v>-0.62873096446700505</v>
      </c>
      <c r="E746">
        <v>-0.52812903225806407</v>
      </c>
      <c r="F746">
        <v>-0.68743589743589706</v>
      </c>
      <c r="G746">
        <v>-0.69397489539748902</v>
      </c>
      <c r="H746">
        <v>-0.90195710455764011</v>
      </c>
      <c r="I746">
        <v>-0.92459793814433</v>
      </c>
    </row>
    <row r="747" spans="1:9" x14ac:dyDescent="0.35">
      <c r="A747" s="1" t="s">
        <v>759</v>
      </c>
      <c r="B747" t="str">
        <f>HYPERLINK("https://www.suredividend.com/sure-analysis-research-database/","Hycroft Mining Holding Corporation")</f>
        <v>Hycroft Mining Holding Corporation</v>
      </c>
      <c r="C747">
        <v>-9.6296296296296005E-2</v>
      </c>
      <c r="D747">
        <v>-0.31954450383453398</v>
      </c>
      <c r="E747">
        <v>-0.43156668608037202</v>
      </c>
      <c r="F747">
        <v>-0.44972749483179802</v>
      </c>
      <c r="G747">
        <v>-0.47602004294917599</v>
      </c>
      <c r="H747">
        <v>-0.83363636363636306</v>
      </c>
      <c r="I747">
        <v>-0.9700307062436021</v>
      </c>
    </row>
    <row r="748" spans="1:9" x14ac:dyDescent="0.35">
      <c r="A748" s="1" t="s">
        <v>760</v>
      </c>
      <c r="B748" t="str">
        <f>HYPERLINK("https://www.suredividend.com/sure-analysis-research-database/","Hyzon Motors Inc")</f>
        <v>Hyzon Motors Inc</v>
      </c>
      <c r="C748">
        <v>-8.1967213114750009E-3</v>
      </c>
      <c r="D748">
        <v>-0.18243243243243201</v>
      </c>
      <c r="E748">
        <v>0.43466919611097898</v>
      </c>
      <c r="F748">
        <v>-0.21935483870967701</v>
      </c>
      <c r="G748">
        <v>-0.27108433734939702</v>
      </c>
      <c r="H748">
        <v>-0.78809106830122511</v>
      </c>
      <c r="I748">
        <v>-0.88195121951219502</v>
      </c>
    </row>
    <row r="749" spans="1:9" x14ac:dyDescent="0.35">
      <c r="A749" s="1" t="s">
        <v>761</v>
      </c>
      <c r="B749" t="str">
        <f>HYPERLINK("https://www.suredividend.com/sure-analysis-research-database/","Marinemax, Inc.")</f>
        <v>Marinemax, Inc.</v>
      </c>
      <c r="C749">
        <v>-8.2554517133956007E-2</v>
      </c>
      <c r="D749">
        <v>-0.21986754966887401</v>
      </c>
      <c r="E749">
        <v>6.3945086705202006E-2</v>
      </c>
      <c r="F749">
        <v>-5.6694426649582998E-2</v>
      </c>
      <c r="G749">
        <v>1.7974421016245998E-2</v>
      </c>
      <c r="H749">
        <v>-0.37139807897545302</v>
      </c>
      <c r="I749">
        <v>0.44859813084112099</v>
      </c>
    </row>
    <row r="750" spans="1:9" x14ac:dyDescent="0.35">
      <c r="A750" s="1" t="s">
        <v>762</v>
      </c>
      <c r="B750" t="str">
        <f>HYPERLINK("https://www.suredividend.com/sure-analysis-research-database/","Integral Ad Science Holding Corp")</f>
        <v>Integral Ad Science Holding Corp</v>
      </c>
      <c r="C750">
        <v>-6.5652522017613998E-2</v>
      </c>
      <c r="D750">
        <v>-0.383192389006342</v>
      </c>
      <c r="E750">
        <v>-0.24514877102199201</v>
      </c>
      <c r="F750">
        <v>0.32764505119453902</v>
      </c>
      <c r="G750">
        <v>0.55392809587217007</v>
      </c>
      <c r="H750">
        <v>-0.49282920469361102</v>
      </c>
      <c r="I750">
        <v>-0.43294460641399402</v>
      </c>
    </row>
    <row r="751" spans="1:9" x14ac:dyDescent="0.35">
      <c r="A751" s="1" t="s">
        <v>763</v>
      </c>
      <c r="B751" t="str">
        <f>HYPERLINK("https://www.suredividend.com/sure-analysis-research-database/","Independent Bank Corporation (Ionia, MI)")</f>
        <v>Independent Bank Corporation (Ionia, MI)</v>
      </c>
      <c r="C751">
        <v>-6.3063063063063002E-2</v>
      </c>
      <c r="D751">
        <v>2.0873632242976999E-2</v>
      </c>
      <c r="E751">
        <v>9.5218331278766014E-2</v>
      </c>
      <c r="F751">
        <v>-0.21457479087165299</v>
      </c>
      <c r="G751">
        <v>-6.8684516880092999E-2</v>
      </c>
      <c r="H751">
        <v>-0.10034144281214501</v>
      </c>
      <c r="I751">
        <v>-7.0056122744176011E-2</v>
      </c>
    </row>
    <row r="752" spans="1:9" x14ac:dyDescent="0.35">
      <c r="A752" s="1" t="s">
        <v>764</v>
      </c>
      <c r="B752" t="str">
        <f>HYPERLINK("https://www.suredividend.com/sure-analysis-research-database/","IBEX Ltd")</f>
        <v>IBEX Ltd</v>
      </c>
      <c r="C752">
        <v>0.17954378219278899</v>
      </c>
      <c r="D752">
        <v>-0.22146673142302001</v>
      </c>
      <c r="E752">
        <v>-0.31670929241261703</v>
      </c>
      <c r="F752">
        <v>-0.35492957746478798</v>
      </c>
      <c r="G752">
        <v>-0.14915074309978699</v>
      </c>
      <c r="H752">
        <v>-5.7058823529411003E-2</v>
      </c>
      <c r="I752">
        <v>4.0909090909091013E-2</v>
      </c>
    </row>
    <row r="753" spans="1:9" x14ac:dyDescent="0.35">
      <c r="A753" s="1" t="s">
        <v>765</v>
      </c>
      <c r="B753" t="str">
        <f>HYPERLINK("https://www.suredividend.com/sure-analysis-IBOC/","International Bancshares Corp.")</f>
        <v>International Bancshares Corp.</v>
      </c>
      <c r="C753">
        <v>-2.8007346189163999E-2</v>
      </c>
      <c r="D753">
        <v>-5.1470176421170001E-2</v>
      </c>
      <c r="E753">
        <v>4.5411448662742E-2</v>
      </c>
      <c r="F753">
        <v>-3.6378202210367E-2</v>
      </c>
      <c r="G753">
        <v>-4.0781511596031002E-2</v>
      </c>
      <c r="H753">
        <v>8.5916681413999996E-2</v>
      </c>
      <c r="I753">
        <v>0.224262016360119</v>
      </c>
    </row>
    <row r="754" spans="1:9" x14ac:dyDescent="0.35">
      <c r="A754" s="1" t="s">
        <v>766</v>
      </c>
      <c r="B754" t="str">
        <f>HYPERLINK("https://www.suredividend.com/sure-analysis-research-database/","Installed Building Products Inc")</f>
        <v>Installed Building Products Inc</v>
      </c>
      <c r="C754">
        <v>-7.8635829086632011E-2</v>
      </c>
      <c r="D754">
        <v>-0.192498314841828</v>
      </c>
      <c r="E754">
        <v>5.6021623642232003E-2</v>
      </c>
      <c r="F754">
        <v>0.38428194496795998</v>
      </c>
      <c r="G754">
        <v>0.49900635980744512</v>
      </c>
      <c r="H754">
        <v>8.7393014110571002E-2</v>
      </c>
      <c r="I754">
        <v>2.551558339906375</v>
      </c>
    </row>
    <row r="755" spans="1:9" x14ac:dyDescent="0.35">
      <c r="A755" s="1" t="s">
        <v>767</v>
      </c>
      <c r="B755" t="str">
        <f>HYPERLINK("https://www.suredividend.com/sure-analysis-research-database/","ImmunityBio Inc")</f>
        <v>ImmunityBio Inc</v>
      </c>
      <c r="C755">
        <v>-0.27222222222222198</v>
      </c>
      <c r="D755">
        <v>-0.52877697841726601</v>
      </c>
      <c r="E755">
        <v>-0.32124352331606199</v>
      </c>
      <c r="F755">
        <v>-0.74161735700197207</v>
      </c>
      <c r="G755">
        <v>-0.73481781376518207</v>
      </c>
      <c r="H755">
        <v>-0.85913978494623611</v>
      </c>
      <c r="I755">
        <v>-0.61918604651162701</v>
      </c>
    </row>
    <row r="756" spans="1:9" x14ac:dyDescent="0.35">
      <c r="A756" s="1" t="s">
        <v>768</v>
      </c>
      <c r="B756" t="str">
        <f>HYPERLINK("https://www.suredividend.com/sure-analysis-research-database/","Independent Bank Group Inc")</f>
        <v>Independent Bank Group Inc</v>
      </c>
      <c r="C756">
        <v>-6.8064118372379009E-2</v>
      </c>
      <c r="D756">
        <v>4.6988419127832012E-2</v>
      </c>
      <c r="E756">
        <v>-7.3987855739118008E-2</v>
      </c>
      <c r="F756">
        <v>-0.34126465333159001</v>
      </c>
      <c r="G756">
        <v>-0.39776412561056201</v>
      </c>
      <c r="H756">
        <v>-0.43998221695317102</v>
      </c>
      <c r="I756">
        <v>-0.32100395826483102</v>
      </c>
    </row>
    <row r="757" spans="1:9" x14ac:dyDescent="0.35">
      <c r="A757" s="1" t="s">
        <v>769</v>
      </c>
      <c r="B757" t="str">
        <f>HYPERLINK("https://www.suredividend.com/sure-analysis-research-database/","ICF International, Inc")</f>
        <v>ICF International, Inc</v>
      </c>
      <c r="C757">
        <v>5.7861836832825003E-2</v>
      </c>
      <c r="D757">
        <v>0.107678055051599</v>
      </c>
      <c r="E757">
        <v>0.20079798484265399</v>
      </c>
      <c r="F757">
        <v>0.34028113412152611</v>
      </c>
      <c r="G757">
        <v>0.18108122617705399</v>
      </c>
      <c r="H757">
        <v>0.36353071817782701</v>
      </c>
      <c r="I757">
        <v>0.90852663189870908</v>
      </c>
    </row>
    <row r="758" spans="1:9" x14ac:dyDescent="0.35">
      <c r="A758" s="1" t="s">
        <v>770</v>
      </c>
      <c r="B758" t="str">
        <f>HYPERLINK("https://www.suredividend.com/sure-analysis-research-database/","Ichor Holdings Ltd")</f>
        <v>Ichor Holdings Ltd</v>
      </c>
      <c r="C758">
        <v>-3.7413849688217003E-2</v>
      </c>
      <c r="D758">
        <v>-0.19111969111969099</v>
      </c>
      <c r="E758">
        <v>-5.0881953867020014E-3</v>
      </c>
      <c r="F758">
        <v>9.3586875466070002E-2</v>
      </c>
      <c r="G758">
        <v>0.325949367088607</v>
      </c>
      <c r="H758">
        <v>-0.28253424657534199</v>
      </c>
      <c r="I758">
        <v>0.65612648221343806</v>
      </c>
    </row>
    <row r="759" spans="1:9" x14ac:dyDescent="0.35">
      <c r="A759" s="1" t="s">
        <v>771</v>
      </c>
      <c r="B759" t="str">
        <f>HYPERLINK("https://www.suredividend.com/sure-analysis-research-database/","Intercept Pharmaceuticals Inc")</f>
        <v>Intercept Pharmaceuticals Inc</v>
      </c>
      <c r="C759">
        <v>0.5895196506550211</v>
      </c>
      <c r="D759">
        <v>0.6120460584588131</v>
      </c>
      <c r="E759">
        <v>5.5072463768114997E-2</v>
      </c>
      <c r="F759">
        <v>0.47130153597413099</v>
      </c>
      <c r="G759">
        <v>0.34317343173431702</v>
      </c>
      <c r="H759">
        <v>8.2045184304399013E-2</v>
      </c>
      <c r="I759">
        <v>-0.82074263764404609</v>
      </c>
    </row>
    <row r="760" spans="1:9" x14ac:dyDescent="0.35">
      <c r="A760" s="1" t="s">
        <v>772</v>
      </c>
      <c r="B760" t="str">
        <f>HYPERLINK("https://www.suredividend.com/sure-analysis-research-database/","Icosavax Inc")</f>
        <v>Icosavax Inc</v>
      </c>
      <c r="C760">
        <v>-0.13154362416107299</v>
      </c>
      <c r="D760">
        <v>-0.30949839914621102</v>
      </c>
      <c r="E760">
        <v>0.25387596899224801</v>
      </c>
      <c r="F760">
        <v>-0.18513853904282099</v>
      </c>
      <c r="G760">
        <v>0.94294294294294212</v>
      </c>
      <c r="H760">
        <v>-0.74386381631037202</v>
      </c>
      <c r="I760">
        <v>-0.81498427223334202</v>
      </c>
    </row>
    <row r="761" spans="1:9" x14ac:dyDescent="0.35">
      <c r="A761" s="1" t="s">
        <v>773</v>
      </c>
      <c r="B761" t="str">
        <f>HYPERLINK("https://www.suredividend.com/sure-analysis-research-database/","Interdigital Inc")</f>
        <v>Interdigital Inc</v>
      </c>
      <c r="C761">
        <v>-1.5831474962679001E-2</v>
      </c>
      <c r="D761">
        <v>-0.16470182149229501</v>
      </c>
      <c r="E761">
        <v>0.102792363885684</v>
      </c>
      <c r="F761">
        <v>0.66499335873435506</v>
      </c>
      <c r="G761">
        <v>0.75098807316987803</v>
      </c>
      <c r="H761">
        <v>0.23284445381604499</v>
      </c>
      <c r="I761">
        <v>0.25319949183620999</v>
      </c>
    </row>
    <row r="762" spans="1:9" x14ac:dyDescent="0.35">
      <c r="A762" s="1" t="s">
        <v>774</v>
      </c>
      <c r="B762" t="str">
        <f>HYPERLINK("https://www.suredividend.com/sure-analysis-research-database/","IDT Corp.")</f>
        <v>IDT Corp.</v>
      </c>
      <c r="C762">
        <v>0.25109361329833702</v>
      </c>
      <c r="D762">
        <v>0.205225453013063</v>
      </c>
      <c r="E762">
        <v>-0.114825131538223</v>
      </c>
      <c r="F762">
        <v>1.5264465743698E-2</v>
      </c>
      <c r="G762">
        <v>0.14721219414360201</v>
      </c>
      <c r="H762">
        <v>-0.42936951316839511</v>
      </c>
      <c r="I762">
        <v>3.0225035161744018</v>
      </c>
    </row>
    <row r="763" spans="1:9" x14ac:dyDescent="0.35">
      <c r="A763" s="1" t="s">
        <v>775</v>
      </c>
      <c r="B763" t="str">
        <f>HYPERLINK("https://www.suredividend.com/sure-analysis-research-database/","Ideaya Biosciences Inc")</f>
        <v>Ideaya Biosciences Inc</v>
      </c>
      <c r="C763">
        <v>-0.14329790881042101</v>
      </c>
      <c r="D763">
        <v>0.102337891486546</v>
      </c>
      <c r="E763">
        <v>0.81086956521739106</v>
      </c>
      <c r="F763">
        <v>0.37534397358282801</v>
      </c>
      <c r="G763">
        <v>0.60500963391136808</v>
      </c>
      <c r="H763">
        <v>8.041504539559001E-2</v>
      </c>
      <c r="I763">
        <v>1.2332439678284179</v>
      </c>
    </row>
    <row r="764" spans="1:9" x14ac:dyDescent="0.35">
      <c r="A764" s="1" t="s">
        <v>776</v>
      </c>
      <c r="B764" t="str">
        <f>HYPERLINK("https://www.suredividend.com/sure-analysis-research-database/","Ivanhoe Electric Inc")</f>
        <v>Ivanhoe Electric Inc</v>
      </c>
      <c r="C764">
        <v>-0.24943988050784099</v>
      </c>
      <c r="D764">
        <v>-0.37187500000000001</v>
      </c>
      <c r="E764">
        <v>-0.18689320388349501</v>
      </c>
      <c r="F764">
        <v>-0.172839506172839</v>
      </c>
      <c r="G764">
        <v>0.27054361567635898</v>
      </c>
      <c r="H764">
        <v>-6.9444444444444003E-2</v>
      </c>
      <c r="I764">
        <v>-6.9444444444444003E-2</v>
      </c>
    </row>
    <row r="765" spans="1:9" x14ac:dyDescent="0.35">
      <c r="A765" s="1" t="s">
        <v>777</v>
      </c>
      <c r="B765" t="str">
        <f>HYPERLINK("https://www.suredividend.com/sure-analysis-research-database/","IES Holdings Inc")</f>
        <v>IES Holdings Inc</v>
      </c>
      <c r="C765">
        <v>-7.077558242406301E-2</v>
      </c>
      <c r="D765">
        <v>9.5809424447922009E-2</v>
      </c>
      <c r="E765">
        <v>0.50369840133619603</v>
      </c>
      <c r="F765">
        <v>0.77171773966825907</v>
      </c>
      <c r="G765">
        <v>1.1190316072629449</v>
      </c>
      <c r="H765">
        <v>0.346868989100235</v>
      </c>
      <c r="I765">
        <v>2.5745887691435052</v>
      </c>
    </row>
    <row r="766" spans="1:9" x14ac:dyDescent="0.35">
      <c r="A766" s="1" t="s">
        <v>778</v>
      </c>
      <c r="B766" t="str">
        <f>HYPERLINK("https://www.suredividend.com/sure-analysis-research-database/","IGM Biosciences Inc")</f>
        <v>IGM Biosciences Inc</v>
      </c>
      <c r="C766">
        <v>-0.40081521739130399</v>
      </c>
      <c r="D766">
        <v>-0.55899999999999905</v>
      </c>
      <c r="E766">
        <v>-0.60306030603060301</v>
      </c>
      <c r="F766">
        <v>-0.74074074074074003</v>
      </c>
      <c r="G766">
        <v>-0.78675048355899402</v>
      </c>
      <c r="H766">
        <v>-0.92514004413512108</v>
      </c>
      <c r="I766">
        <v>-0.81851851851851809</v>
      </c>
    </row>
    <row r="767" spans="1:9" x14ac:dyDescent="0.35">
      <c r="A767" s="1" t="s">
        <v>779</v>
      </c>
      <c r="B767" t="str">
        <f>HYPERLINK("https://www.suredividend.com/sure-analysis-research-database/","International Game Technology PLC")</f>
        <v>International Game Technology PLC</v>
      </c>
      <c r="C767">
        <v>-6.1099171016272012E-2</v>
      </c>
      <c r="D767">
        <v>-4.8191158573594003E-2</v>
      </c>
      <c r="E767">
        <v>0.133789370261201</v>
      </c>
      <c r="F767">
        <v>0.37932278769344502</v>
      </c>
      <c r="G767">
        <v>0.81190119272632411</v>
      </c>
      <c r="H767">
        <v>0.11001005470193401</v>
      </c>
      <c r="I767">
        <v>1.1179632092198579</v>
      </c>
    </row>
    <row r="768" spans="1:9" x14ac:dyDescent="0.35">
      <c r="A768" s="1" t="s">
        <v>780</v>
      </c>
      <c r="B768" t="str">
        <f>HYPERLINK("https://www.suredividend.com/sure-analysis-research-database/","iHeartMedia Inc")</f>
        <v>iHeartMedia Inc</v>
      </c>
      <c r="C768">
        <v>-0.22647058823529401</v>
      </c>
      <c r="D768">
        <v>-0.36473429951690811</v>
      </c>
      <c r="E768">
        <v>-0.30423280423280402</v>
      </c>
      <c r="F768">
        <v>-0.57096247960848201</v>
      </c>
      <c r="G768">
        <v>-0.66151866151866101</v>
      </c>
      <c r="H768">
        <v>-0.88126410835214408</v>
      </c>
      <c r="I768">
        <v>-0.84060606060606002</v>
      </c>
    </row>
    <row r="769" spans="1:9" x14ac:dyDescent="0.35">
      <c r="A769" s="1" t="s">
        <v>781</v>
      </c>
      <c r="B769" t="str">
        <f>HYPERLINK("https://www.suredividend.com/sure-analysis-research-database/","Information Services Group Inc.")</f>
        <v>Information Services Group Inc.</v>
      </c>
      <c r="C769">
        <v>-8.4782608695652004E-2</v>
      </c>
      <c r="D769">
        <v>-0.198964933310501</v>
      </c>
      <c r="E769">
        <v>-0.15062744623330501</v>
      </c>
      <c r="F769">
        <v>-5.2442043664190002E-2</v>
      </c>
      <c r="G769">
        <v>-8.5140597157634001E-2</v>
      </c>
      <c r="H769">
        <v>-0.381337252020573</v>
      </c>
      <c r="I769">
        <v>3.8326838652394002E-2</v>
      </c>
    </row>
    <row r="770" spans="1:9" x14ac:dyDescent="0.35">
      <c r="A770" s="1" t="s">
        <v>782</v>
      </c>
      <c r="B770" t="str">
        <f>HYPERLINK("https://www.suredividend.com/sure-analysis-research-database/","Insteel Industries, Inc.")</f>
        <v>Insteel Industries, Inc.</v>
      </c>
      <c r="C770">
        <v>-2.5105868118571999E-2</v>
      </c>
      <c r="D770">
        <v>3.3963934773333003E-2</v>
      </c>
      <c r="E770">
        <v>0.16783401755917901</v>
      </c>
      <c r="F770">
        <v>0.17465257909679599</v>
      </c>
      <c r="G770">
        <v>0.26535563835091502</v>
      </c>
      <c r="H770">
        <v>-0.11802534001039799</v>
      </c>
      <c r="I770">
        <v>9.5923016763575009E-2</v>
      </c>
    </row>
    <row r="771" spans="1:9" x14ac:dyDescent="0.35">
      <c r="A771" s="1" t="s">
        <v>783</v>
      </c>
      <c r="B771" t="str">
        <f>HYPERLINK("https://www.suredividend.com/sure-analysis-research-database/","i3 Verticals Inc")</f>
        <v>i3 Verticals Inc</v>
      </c>
      <c r="C771">
        <v>-9.4470046082949011E-2</v>
      </c>
      <c r="D771">
        <v>-0.195331695331695</v>
      </c>
      <c r="E771">
        <v>-0.19135802469135799</v>
      </c>
      <c r="F771">
        <v>-0.19268693508627699</v>
      </c>
      <c r="G771">
        <v>-2.3359840954274E-2</v>
      </c>
      <c r="H771">
        <v>-0.232421875</v>
      </c>
      <c r="I771">
        <v>1.5290519877669999E-3</v>
      </c>
    </row>
    <row r="772" spans="1:9" x14ac:dyDescent="0.35">
      <c r="A772" s="1" t="s">
        <v>784</v>
      </c>
      <c r="B772" t="str">
        <f>HYPERLINK("https://www.suredividend.com/sure-analysis-IIPR/","Innovative Industrial Properties Inc")</f>
        <v>Innovative Industrial Properties Inc</v>
      </c>
      <c r="C772">
        <v>-0.112911092489713</v>
      </c>
      <c r="D772">
        <v>2.0122690431687001E-2</v>
      </c>
      <c r="E772">
        <v>0.11936148346539301</v>
      </c>
      <c r="F772">
        <v>-0.19987788279292201</v>
      </c>
      <c r="G772">
        <v>-8.3782661788590007E-2</v>
      </c>
      <c r="H772">
        <v>-0.63726571007592003</v>
      </c>
      <c r="I772">
        <v>1.2315845492039561</v>
      </c>
    </row>
    <row r="773" spans="1:9" x14ac:dyDescent="0.35">
      <c r="A773" s="1" t="s">
        <v>785</v>
      </c>
      <c r="B773" t="str">
        <f>HYPERLINK("https://www.suredividend.com/sure-analysis-ILPT/","Industrial Logistics Properties Trust")</f>
        <v>Industrial Logistics Properties Trust</v>
      </c>
      <c r="C773">
        <v>-0.321621621621621</v>
      </c>
      <c r="D773">
        <v>-0.35145470518319399</v>
      </c>
      <c r="E773">
        <v>0.14293520331496701</v>
      </c>
      <c r="F773">
        <v>-0.21862839709865201</v>
      </c>
      <c r="G773">
        <v>-0.46101483819708411</v>
      </c>
      <c r="H773">
        <v>-0.90344668410524709</v>
      </c>
      <c r="I773">
        <v>-0.85108188123335005</v>
      </c>
    </row>
    <row r="774" spans="1:9" x14ac:dyDescent="0.35">
      <c r="A774" s="1" t="s">
        <v>786</v>
      </c>
      <c r="B774" t="str">
        <f>HYPERLINK("https://www.suredividend.com/sure-analysis-research-database/","Imax Corp")</f>
        <v>Imax Corp</v>
      </c>
      <c r="C774">
        <v>-5.3361792956243007E-2</v>
      </c>
      <c r="D774">
        <v>5.2818991097922013E-2</v>
      </c>
      <c r="E774">
        <v>-0.145472061657032</v>
      </c>
      <c r="F774">
        <v>0.21009549795361501</v>
      </c>
      <c r="G774">
        <v>0.319940476190476</v>
      </c>
      <c r="H774">
        <v>-0.13166911404796799</v>
      </c>
      <c r="I774">
        <v>-0.22634103794156099</v>
      </c>
    </row>
    <row r="775" spans="1:9" x14ac:dyDescent="0.35">
      <c r="A775" s="1" t="s">
        <v>787</v>
      </c>
      <c r="B775" t="str">
        <f>HYPERLINK("https://www.suredividend.com/sure-analysis-research-database/","Immunogen, Inc.")</f>
        <v>Immunogen, Inc.</v>
      </c>
      <c r="C775">
        <v>-8.2061068702290005E-2</v>
      </c>
      <c r="D775">
        <v>-0.26</v>
      </c>
      <c r="E775">
        <v>2.5717821782178212</v>
      </c>
      <c r="F775">
        <v>1.909274193548387</v>
      </c>
      <c r="G775">
        <v>1.3851239669421489</v>
      </c>
      <c r="H775">
        <v>1.4922279792746109</v>
      </c>
      <c r="I775">
        <v>0.92400000000000004</v>
      </c>
    </row>
    <row r="776" spans="1:9" x14ac:dyDescent="0.35">
      <c r="A776" s="1" t="s">
        <v>788</v>
      </c>
      <c r="B776" t="str">
        <f>HYPERLINK("https://www.suredividend.com/sure-analysis-research-database/","Ingles Markets, Inc.")</f>
        <v>Ingles Markets, Inc.</v>
      </c>
      <c r="C776">
        <v>1.9391593227694001E-2</v>
      </c>
      <c r="D776">
        <v>-6.3408633415343002E-2</v>
      </c>
      <c r="E776">
        <v>-0.14147739428082401</v>
      </c>
      <c r="F776">
        <v>-0.190378268302652</v>
      </c>
      <c r="G776">
        <v>-8.4131523705600009E-2</v>
      </c>
      <c r="H776">
        <v>0.173658860553181</v>
      </c>
      <c r="I776">
        <v>1.613858027308964</v>
      </c>
    </row>
    <row r="777" spans="1:9" x14ac:dyDescent="0.35">
      <c r="A777" s="1" t="s">
        <v>789</v>
      </c>
      <c r="B777" t="str">
        <f>HYPERLINK("https://www.suredividend.com/sure-analysis-research-database/","Immunovant Inc")</f>
        <v>Immunovant Inc</v>
      </c>
      <c r="C777">
        <v>0.71526822558459402</v>
      </c>
      <c r="D777">
        <v>0.80376084860173502</v>
      </c>
      <c r="E777">
        <v>1.6215837421163271</v>
      </c>
      <c r="F777">
        <v>1.107605633802816</v>
      </c>
      <c r="G777">
        <v>3.070729053318825</v>
      </c>
      <c r="H777">
        <v>3.2901376146788981</v>
      </c>
      <c r="I777">
        <v>2.759798994974874</v>
      </c>
    </row>
    <row r="778" spans="1:9" x14ac:dyDescent="0.35">
      <c r="A778" s="1" t="s">
        <v>790</v>
      </c>
      <c r="B778" t="str">
        <f>HYPERLINK("https://www.suredividend.com/sure-analysis-research-database/","International Money Express Inc.")</f>
        <v>International Money Express Inc.</v>
      </c>
      <c r="C778">
        <v>-7.1958880639634001E-2</v>
      </c>
      <c r="D778">
        <v>-0.37258687258687201</v>
      </c>
      <c r="E778">
        <v>-0.38142367719832498</v>
      </c>
      <c r="F778">
        <v>-0.33319655313910501</v>
      </c>
      <c r="G778">
        <v>-0.31027164685908298</v>
      </c>
      <c r="H778">
        <v>-4.4679600235155013E-2</v>
      </c>
      <c r="I778">
        <v>0.30522088353413601</v>
      </c>
    </row>
    <row r="779" spans="1:9" x14ac:dyDescent="0.35">
      <c r="A779" s="1" t="s">
        <v>791</v>
      </c>
      <c r="B779" t="str">
        <f>HYPERLINK("https://www.suredividend.com/sure-analysis-research-database/","First Internet Bancorp")</f>
        <v>First Internet Bancorp</v>
      </c>
      <c r="C779">
        <v>-3.2777471259190012E-2</v>
      </c>
      <c r="D779">
        <v>7.4421513445903004E-2</v>
      </c>
      <c r="E779">
        <v>0.13354447083663201</v>
      </c>
      <c r="F779">
        <v>-0.279014625343601</v>
      </c>
      <c r="G779">
        <v>-0.44357356618170901</v>
      </c>
      <c r="H779">
        <v>-0.45241108054784301</v>
      </c>
      <c r="I779">
        <v>-0.33720670046217999</v>
      </c>
    </row>
    <row r="780" spans="1:9" x14ac:dyDescent="0.35">
      <c r="A780" s="1" t="s">
        <v>792</v>
      </c>
      <c r="B780" t="str">
        <f>HYPERLINK("https://www.suredividend.com/sure-analysis-research-database/","Inhibrx Inc")</f>
        <v>Inhibrx Inc</v>
      </c>
      <c r="C780">
        <v>-0.15351506456240999</v>
      </c>
      <c r="D780">
        <v>-0.27190456602221302</v>
      </c>
      <c r="E780">
        <v>-3.0136986301369E-2</v>
      </c>
      <c r="F780">
        <v>-0.28165584415584399</v>
      </c>
      <c r="G780">
        <v>-0.40703517587939703</v>
      </c>
      <c r="H780">
        <v>-0.55426844623520499</v>
      </c>
      <c r="I780">
        <v>-0.14202617547261201</v>
      </c>
    </row>
    <row r="781" spans="1:9" x14ac:dyDescent="0.35">
      <c r="A781" s="1" t="s">
        <v>793</v>
      </c>
      <c r="B781" t="str">
        <f>HYPERLINK("https://www.suredividend.com/sure-analysis-research-database/","Independent Bank Corp.")</f>
        <v>Independent Bank Corp.</v>
      </c>
      <c r="C781">
        <v>-5.4341369164888013E-2</v>
      </c>
      <c r="D781">
        <v>-1.3645817904164E-2</v>
      </c>
      <c r="E781">
        <v>-0.19763226848772</v>
      </c>
      <c r="F781">
        <v>-0.40827735872434201</v>
      </c>
      <c r="G781">
        <v>-0.37771623965821699</v>
      </c>
      <c r="H781">
        <v>-0.35877092335359501</v>
      </c>
      <c r="I781">
        <v>-0.30416968369743702</v>
      </c>
    </row>
    <row r="782" spans="1:9" x14ac:dyDescent="0.35">
      <c r="A782" s="1" t="s">
        <v>794</v>
      </c>
      <c r="B782" t="str">
        <f>HYPERLINK("https://www.suredividend.com/sure-analysis-research-database/","Indie Semiconductor Inc")</f>
        <v>Indie Semiconductor Inc</v>
      </c>
      <c r="C782">
        <v>-0.27421758569299498</v>
      </c>
      <c r="D782">
        <v>-0.48465608465608412</v>
      </c>
      <c r="E782">
        <v>-0.45828698553948799</v>
      </c>
      <c r="F782">
        <v>-0.16466552315608901</v>
      </c>
      <c r="G782">
        <v>-0.27529761904761801</v>
      </c>
      <c r="H782">
        <v>-0.56086564472497702</v>
      </c>
      <c r="I782">
        <v>-0.54739776951672803</v>
      </c>
    </row>
    <row r="783" spans="1:9" x14ac:dyDescent="0.35">
      <c r="A783" s="1" t="s">
        <v>795</v>
      </c>
      <c r="B783" t="str">
        <f>HYPERLINK("https://www.suredividend.com/sure-analysis-research-database/","INDUS Realty Trust Inc")</f>
        <v>INDUS Realty Trust Inc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 s="1" t="s">
        <v>796</v>
      </c>
      <c r="B784" t="str">
        <f>HYPERLINK("https://www.suredividend.com/sure-analysis-research-database/","Infinera Corp.")</f>
        <v>Infinera Corp.</v>
      </c>
      <c r="C784">
        <v>-0.196721311475409</v>
      </c>
      <c r="D784">
        <v>-0.27176220806793999</v>
      </c>
      <c r="E784">
        <v>-0.50647482014388401</v>
      </c>
      <c r="F784">
        <v>-0.49109792284866399</v>
      </c>
      <c r="G784">
        <v>-0.23608017817371901</v>
      </c>
      <c r="H784">
        <v>-0.57444168734491308</v>
      </c>
      <c r="I784">
        <v>-0.43305785123966911</v>
      </c>
    </row>
    <row r="785" spans="1:9" x14ac:dyDescent="0.35">
      <c r="A785" s="1" t="s">
        <v>797</v>
      </c>
      <c r="B785" t="str">
        <f>HYPERLINK("https://www.suredividend.com/sure-analysis-research-database/","Inogen Inc")</f>
        <v>Inogen Inc</v>
      </c>
      <c r="C785">
        <v>-0.17383512544802801</v>
      </c>
      <c r="D785">
        <v>-0.48143982002249702</v>
      </c>
      <c r="E785">
        <v>-0.639562157935887</v>
      </c>
      <c r="F785">
        <v>-0.76610857432775203</v>
      </c>
      <c r="G785">
        <v>-0.77664728682170503</v>
      </c>
      <c r="H785">
        <v>-0.88706516413522707</v>
      </c>
      <c r="I785">
        <v>-0.97714314046308604</v>
      </c>
    </row>
    <row r="786" spans="1:9" x14ac:dyDescent="0.35">
      <c r="A786" s="1" t="s">
        <v>798</v>
      </c>
      <c r="B786" t="str">
        <f>HYPERLINK("https://www.suredividend.com/sure-analysis-research-database/","Summit Hotel Properties Inc")</f>
        <v>Summit Hotel Properties Inc</v>
      </c>
      <c r="C786">
        <v>0</v>
      </c>
      <c r="D786">
        <v>-9.3270365997638008E-2</v>
      </c>
      <c r="E786">
        <v>-0.120838866248454</v>
      </c>
      <c r="F786">
        <v>-0.18254970693839301</v>
      </c>
      <c r="G786">
        <v>-0.16933460240546799</v>
      </c>
      <c r="H786">
        <v>-0.41535900611031001</v>
      </c>
      <c r="I786">
        <v>-0.47120548624308012</v>
      </c>
    </row>
    <row r="787" spans="1:9" x14ac:dyDescent="0.35">
      <c r="A787" s="1" t="s">
        <v>799</v>
      </c>
      <c r="B787" t="str">
        <f>HYPERLINK("https://www.suredividend.com/sure-analysis-research-database/","InnovAge Holding Corp")</f>
        <v>InnovAge Holding Corp</v>
      </c>
      <c r="C787">
        <v>-0.23056653491435999</v>
      </c>
      <c r="D787">
        <v>-0.15116279069767399</v>
      </c>
      <c r="E787">
        <v>-0.18207282913165199</v>
      </c>
      <c r="F787">
        <v>-0.186629526462395</v>
      </c>
      <c r="G787">
        <v>0.23991507430997799</v>
      </c>
      <c r="H787">
        <v>-9.0342679127725006E-2</v>
      </c>
      <c r="I787">
        <v>-0.75867768595041307</v>
      </c>
    </row>
    <row r="788" spans="1:9" x14ac:dyDescent="0.35">
      <c r="A788" s="1" t="s">
        <v>800</v>
      </c>
      <c r="B788" t="str">
        <f>HYPERLINK("https://www.suredividend.com/sure-analysis-research-database/","Inovio Pharmaceuticals Inc")</f>
        <v>Inovio Pharmaceuticals Inc</v>
      </c>
      <c r="C788">
        <v>0.28199999999999997</v>
      </c>
      <c r="D788">
        <v>-2.3238095238094999E-2</v>
      </c>
      <c r="E788">
        <v>-0.39861616043157011</v>
      </c>
      <c r="F788">
        <v>-0.6712820512820511</v>
      </c>
      <c r="G788">
        <v>-0.6712820512820511</v>
      </c>
      <c r="H788">
        <v>-0.92695156695156611</v>
      </c>
      <c r="I788">
        <v>-0.90397003745318305</v>
      </c>
    </row>
    <row r="789" spans="1:9" x14ac:dyDescent="0.35">
      <c r="A789" s="1" t="s">
        <v>801</v>
      </c>
      <c r="B789" t="str">
        <f>HYPERLINK("https://www.suredividend.com/sure-analysis-research-database/","Inspired Entertainment Inc")</f>
        <v>Inspired Entertainment Inc</v>
      </c>
      <c r="C789">
        <v>-9.344262295081901E-2</v>
      </c>
      <c r="D789">
        <v>-0.19505094614264901</v>
      </c>
      <c r="E789">
        <v>-5.8723404255319002E-2</v>
      </c>
      <c r="F789">
        <v>-0.12707182320441901</v>
      </c>
      <c r="G789">
        <v>0.22616407982261599</v>
      </c>
      <c r="H789">
        <v>-0.157012195121951</v>
      </c>
      <c r="I789">
        <v>0.35705521472392598</v>
      </c>
    </row>
    <row r="790" spans="1:9" x14ac:dyDescent="0.35">
      <c r="A790" s="1" t="s">
        <v>802</v>
      </c>
      <c r="B790" t="str">
        <f>HYPERLINK("https://www.suredividend.com/sure-analysis-research-database/","Inseego Corp")</f>
        <v>Inseego Corp</v>
      </c>
      <c r="C790">
        <v>-0.11216003596313701</v>
      </c>
      <c r="D790">
        <v>-0.48867313915857602</v>
      </c>
      <c r="E790">
        <v>-0.39435755903097203</v>
      </c>
      <c r="F790">
        <v>-0.53115727002967306</v>
      </c>
      <c r="G790">
        <v>-0.76488095238095211</v>
      </c>
      <c r="H790">
        <v>-0.9375</v>
      </c>
      <c r="I790">
        <v>-0.88935574229691805</v>
      </c>
    </row>
    <row r="791" spans="1:9" x14ac:dyDescent="0.35">
      <c r="A791" s="1" t="s">
        <v>803</v>
      </c>
      <c r="B791" t="str">
        <f>HYPERLINK("https://www.suredividend.com/sure-analysis-research-database/","Insmed Inc")</f>
        <v>Insmed Inc</v>
      </c>
      <c r="C791">
        <v>-6.9522735813603007E-2</v>
      </c>
      <c r="D791">
        <v>0.20194174757281499</v>
      </c>
      <c r="E791">
        <v>0.47820895522388002</v>
      </c>
      <c r="F791">
        <v>0.23923923923923901</v>
      </c>
      <c r="G791">
        <v>0.19613526570048301</v>
      </c>
      <c r="H791">
        <v>-6.5307663269158003E-2</v>
      </c>
      <c r="I791">
        <v>0.507917174177831</v>
      </c>
    </row>
    <row r="792" spans="1:9" x14ac:dyDescent="0.35">
      <c r="A792" s="1" t="s">
        <v>804</v>
      </c>
      <c r="B792" t="str">
        <f>HYPERLINK("https://www.suredividend.com/sure-analysis-research-database/","Inspire Medical Systems Inc")</f>
        <v>Inspire Medical Systems Inc</v>
      </c>
      <c r="C792">
        <v>-0.28656773031150701</v>
      </c>
      <c r="D792">
        <v>-0.538548822374877</v>
      </c>
      <c r="E792">
        <v>-0.42406032304983499</v>
      </c>
      <c r="F792">
        <v>-0.40261235508972498</v>
      </c>
      <c r="G792">
        <v>-8.2611876600414011E-2</v>
      </c>
      <c r="H792">
        <v>-0.38628762541806011</v>
      </c>
      <c r="I792">
        <v>2.6319092445088099</v>
      </c>
    </row>
    <row r="793" spans="1:9" x14ac:dyDescent="0.35">
      <c r="A793" s="1" t="s">
        <v>805</v>
      </c>
      <c r="B793" t="str">
        <f>HYPERLINK("https://www.suredividend.com/sure-analysis-research-database/","Instructure Holdings Inc")</f>
        <v>Instructure Holdings Inc</v>
      </c>
      <c r="C793">
        <v>5.8077709611451013E-2</v>
      </c>
      <c r="D793">
        <v>-8.0994671403197008E-2</v>
      </c>
      <c r="E793">
        <v>6.6147859922170002E-3</v>
      </c>
      <c r="F793">
        <v>0.10366894197952201</v>
      </c>
      <c r="G793">
        <v>0.24734811957569899</v>
      </c>
      <c r="H793">
        <v>7.0335126189491004E-2</v>
      </c>
      <c r="I793">
        <v>0.233079122974261</v>
      </c>
    </row>
    <row r="794" spans="1:9" x14ac:dyDescent="0.35">
      <c r="A794" s="1" t="s">
        <v>806</v>
      </c>
      <c r="B794" t="str">
        <f>HYPERLINK("https://www.suredividend.com/sure-analysis-research-database/","International Seaways Inc")</f>
        <v>International Seaways Inc</v>
      </c>
      <c r="C794">
        <v>0.120087869172565</v>
      </c>
      <c r="D794">
        <v>0.281564351900982</v>
      </c>
      <c r="E794">
        <v>0.14831793568018201</v>
      </c>
      <c r="F794">
        <v>0.25042916232962897</v>
      </c>
      <c r="G794">
        <v>0.20905062257280899</v>
      </c>
      <c r="H794">
        <v>1.7657907425265189</v>
      </c>
      <c r="I794">
        <v>1.4663158969618471</v>
      </c>
    </row>
    <row r="795" spans="1:9" x14ac:dyDescent="0.35">
      <c r="A795" s="1" t="s">
        <v>807</v>
      </c>
      <c r="B795" t="str">
        <f>HYPERLINK("https://www.suredividend.com/sure-analysis-research-database/","Intapp Inc")</f>
        <v>Intapp Inc</v>
      </c>
      <c r="C795">
        <v>-2.9395138496325E-2</v>
      </c>
      <c r="D795">
        <v>-0.11243215301111301</v>
      </c>
      <c r="E795">
        <v>-0.22675073181715799</v>
      </c>
      <c r="F795">
        <v>0.37690457097032798</v>
      </c>
      <c r="G795">
        <v>0.74226281075596101</v>
      </c>
      <c r="H795">
        <v>0.36269841269841202</v>
      </c>
      <c r="I795">
        <v>0.22642857142857101</v>
      </c>
    </row>
    <row r="796" spans="1:9" x14ac:dyDescent="0.35">
      <c r="A796" s="1" t="s">
        <v>808</v>
      </c>
      <c r="B796" t="str">
        <f>HYPERLINK("https://www.suredividend.com/sure-analysis-research-database/","Innoviva Inc")</f>
        <v>Innoviva Inc</v>
      </c>
      <c r="C796">
        <v>5.9713375796177998E-2</v>
      </c>
      <c r="D796">
        <v>6.6506410256410006E-2</v>
      </c>
      <c r="E796">
        <v>0.107321131447587</v>
      </c>
      <c r="F796">
        <v>4.5283018867920003E-3</v>
      </c>
      <c r="G796">
        <v>6.0468631897200014E-3</v>
      </c>
      <c r="H796">
        <v>-0.19867549668874099</v>
      </c>
      <c r="I796">
        <v>-0.110294117647058</v>
      </c>
    </row>
    <row r="797" spans="1:9" x14ac:dyDescent="0.35">
      <c r="A797" s="1" t="s">
        <v>809</v>
      </c>
      <c r="B797" t="str">
        <f>HYPERLINK("https://www.suredividend.com/sure-analysis-research-database/","Identiv Inc")</f>
        <v>Identiv Inc</v>
      </c>
      <c r="C797">
        <v>-0.119565217391304</v>
      </c>
      <c r="D797">
        <v>-0.12799043062200899</v>
      </c>
      <c r="E797">
        <v>0.17202572347266801</v>
      </c>
      <c r="F797">
        <v>6.9060773480660014E-3</v>
      </c>
      <c r="G797">
        <v>-0.37046632124352302</v>
      </c>
      <c r="H797">
        <v>-0.59723756906077308</v>
      </c>
      <c r="I797">
        <v>0.256896551724137</v>
      </c>
    </row>
    <row r="798" spans="1:9" x14ac:dyDescent="0.35">
      <c r="A798" s="1" t="s">
        <v>810</v>
      </c>
      <c r="B798" t="str">
        <f>HYPERLINK("https://www.suredividend.com/sure-analysis-research-database/","IonQ Inc")</f>
        <v>IonQ Inc</v>
      </c>
      <c r="C798">
        <v>-0.16334894613583101</v>
      </c>
      <c r="D798">
        <v>5.4612546125461008E-2</v>
      </c>
      <c r="E798">
        <v>1.1296572280178829</v>
      </c>
      <c r="F798">
        <v>3.1420289855072459</v>
      </c>
      <c r="G798">
        <v>1.934291581108829</v>
      </c>
      <c r="H798">
        <v>0.42189054726368103</v>
      </c>
      <c r="I798">
        <v>0.84864165588615703</v>
      </c>
    </row>
    <row r="799" spans="1:9" x14ac:dyDescent="0.35">
      <c r="A799" s="1" t="s">
        <v>811</v>
      </c>
      <c r="B799" t="str">
        <f>HYPERLINK("https://www.suredividend.com/sure-analysis-research-database/","Innospec Inc")</f>
        <v>Innospec Inc</v>
      </c>
      <c r="C799">
        <v>-7.5814301759640004E-2</v>
      </c>
      <c r="D799">
        <v>-2.450108674175E-2</v>
      </c>
      <c r="E799">
        <v>-5.7237899914831997E-2</v>
      </c>
      <c r="F799">
        <v>-2.6442046976092998E-2</v>
      </c>
      <c r="G799">
        <v>0.12715350931265701</v>
      </c>
      <c r="H799">
        <v>0.190252322884571</v>
      </c>
      <c r="I799">
        <v>0.57457964432424102</v>
      </c>
    </row>
    <row r="800" spans="1:9" x14ac:dyDescent="0.35">
      <c r="A800" s="1" t="s">
        <v>812</v>
      </c>
      <c r="B800" t="str">
        <f>HYPERLINK("https://www.suredividend.com/sure-analysis-research-database/","Iovance Biotherapeutics Inc")</f>
        <v>Iovance Biotherapeutics Inc</v>
      </c>
      <c r="C800">
        <v>-0.31119544592030302</v>
      </c>
      <c r="D800">
        <v>-0.53221649484536004</v>
      </c>
      <c r="E800">
        <v>-0.35638297872340402</v>
      </c>
      <c r="F800">
        <v>-0.43192488262910811</v>
      </c>
      <c r="G800">
        <v>-0.58983050847457608</v>
      </c>
      <c r="H800">
        <v>-0.86358511837655005</v>
      </c>
      <c r="I800">
        <v>-0.66043030869971908</v>
      </c>
    </row>
    <row r="801" spans="1:9" x14ac:dyDescent="0.35">
      <c r="A801" s="1" t="s">
        <v>813</v>
      </c>
      <c r="B801" t="str">
        <f>HYPERLINK("https://www.suredividend.com/sure-analysis-IPAR/","Inter Parfums, Inc.")</f>
        <v>Inter Parfums, Inc.</v>
      </c>
      <c r="C801">
        <v>-0.115578977764943</v>
      </c>
      <c r="D801">
        <v>-7.4453216484720003E-2</v>
      </c>
      <c r="E801">
        <v>-0.15106250580348601</v>
      </c>
      <c r="F801">
        <v>0.29927013492216598</v>
      </c>
      <c r="G801">
        <v>0.64275810651712706</v>
      </c>
      <c r="H801">
        <v>0.6243357340602691</v>
      </c>
      <c r="I801">
        <v>1.358583194396848</v>
      </c>
    </row>
    <row r="802" spans="1:9" x14ac:dyDescent="0.35">
      <c r="A802" s="1" t="s">
        <v>814</v>
      </c>
      <c r="B802" t="str">
        <f>HYPERLINK("https://www.suredividend.com/sure-analysis-research-database/","Intrepid Potash Inc")</f>
        <v>Intrepid Potash Inc</v>
      </c>
      <c r="C802">
        <v>-0.115848753016894</v>
      </c>
      <c r="D802">
        <v>-8.7966804979253008E-2</v>
      </c>
      <c r="E802">
        <v>-0.19428152492668599</v>
      </c>
      <c r="F802">
        <v>-0.238656044336681</v>
      </c>
      <c r="G802">
        <v>-0.44494949494949498</v>
      </c>
      <c r="H802">
        <v>-0.46933848382423898</v>
      </c>
      <c r="I802">
        <v>-0.35352941176470498</v>
      </c>
    </row>
    <row r="803" spans="1:9" x14ac:dyDescent="0.35">
      <c r="A803" s="1" t="s">
        <v>815</v>
      </c>
      <c r="B803" t="str">
        <f>HYPERLINK("https://www.suredividend.com/sure-analysis-research-database/","Century Therapeutics Inc")</f>
        <v>Century Therapeutics Inc</v>
      </c>
      <c r="C803">
        <v>-0.27333333333333298</v>
      </c>
      <c r="D803">
        <v>-0.45771144278606901</v>
      </c>
      <c r="E803">
        <v>-0.47427652733118902</v>
      </c>
      <c r="F803">
        <v>-0.68128654970760205</v>
      </c>
      <c r="G803">
        <v>-0.83021806853582503</v>
      </c>
      <c r="H803">
        <v>-0.9153288451579491</v>
      </c>
      <c r="I803">
        <v>-0.92838370565046002</v>
      </c>
    </row>
    <row r="804" spans="1:9" x14ac:dyDescent="0.35">
      <c r="A804" s="1" t="s">
        <v>816</v>
      </c>
      <c r="B804" t="str">
        <f>HYPERLINK("https://www.suredividend.com/sure-analysis-research-database/","Irobot Corp")</f>
        <v>Irobot Corp</v>
      </c>
      <c r="C804">
        <v>9.0313390313390002E-2</v>
      </c>
      <c r="D804">
        <v>-0.20137729549248701</v>
      </c>
      <c r="E804">
        <v>-8.0711025702618011E-2</v>
      </c>
      <c r="F804">
        <v>-0.20486183253687901</v>
      </c>
      <c r="G804">
        <v>-0.31660714285714198</v>
      </c>
      <c r="H804">
        <v>-0.53420155793573509</v>
      </c>
      <c r="I804">
        <v>-0.57875619152449009</v>
      </c>
    </row>
    <row r="805" spans="1:9" x14ac:dyDescent="0.35">
      <c r="A805" s="1" t="s">
        <v>817</v>
      </c>
      <c r="B805" t="str">
        <f>HYPERLINK("https://www.suredividend.com/sure-analysis-research-database/","Iridium Communications Inc")</f>
        <v>Iridium Communications Inc</v>
      </c>
      <c r="C805">
        <v>-0.10662460567823299</v>
      </c>
      <c r="D805">
        <v>-0.29193981488426501</v>
      </c>
      <c r="E805">
        <v>-0.279799808760401</v>
      </c>
      <c r="F805">
        <v>-0.16546174640095501</v>
      </c>
      <c r="G805">
        <v>-8.0290548513158005E-2</v>
      </c>
      <c r="H805">
        <v>9.3430664449603004E-2</v>
      </c>
      <c r="I805">
        <v>1.220247739507657</v>
      </c>
    </row>
    <row r="806" spans="1:9" x14ac:dyDescent="0.35">
      <c r="A806" s="1" t="s">
        <v>818</v>
      </c>
      <c r="B806" t="str">
        <f>HYPERLINK("https://www.suredividend.com/sure-analysis-research-database/","Iradimed Corp")</f>
        <v>Iradimed Corp</v>
      </c>
      <c r="C806">
        <v>-0.182830229073003</v>
      </c>
      <c r="D806">
        <v>-0.18090128755364801</v>
      </c>
      <c r="E806">
        <v>-3.2446134347275002E-2</v>
      </c>
      <c r="F806">
        <v>0.39060928870170902</v>
      </c>
      <c r="G806">
        <v>0.39011803438693798</v>
      </c>
      <c r="H806">
        <v>9.4718849125544013E-2</v>
      </c>
      <c r="I806">
        <v>0.45552581203621001</v>
      </c>
    </row>
    <row r="807" spans="1:9" x14ac:dyDescent="0.35">
      <c r="A807" s="1" t="s">
        <v>819</v>
      </c>
      <c r="B807" t="str">
        <f>HYPERLINK("https://www.suredividend.com/sure-analysis-research-database/","IronNet Inc")</f>
        <v>IronNet Inc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 s="1" t="s">
        <v>820</v>
      </c>
      <c r="B808" t="str">
        <f>HYPERLINK("https://www.suredividend.com/sure-analysis-IRT/","Independence Realty Trust Inc")</f>
        <v>Independence Realty Trust Inc</v>
      </c>
      <c r="C808">
        <v>-0.118948364491956</v>
      </c>
      <c r="D808">
        <v>-0.22694148205079201</v>
      </c>
      <c r="E808">
        <v>-0.115532734274711</v>
      </c>
      <c r="F808">
        <v>-0.158375628317178</v>
      </c>
      <c r="G808">
        <v>-4.9189603185007001E-2</v>
      </c>
      <c r="H808">
        <v>-0.30900648370549</v>
      </c>
      <c r="I808">
        <v>0.74638177071452105</v>
      </c>
    </row>
    <row r="809" spans="1:9" x14ac:dyDescent="0.35">
      <c r="A809" s="1" t="s">
        <v>821</v>
      </c>
      <c r="B809" t="str">
        <f>HYPERLINK("https://www.suredividend.com/sure-analysis-research-database/","iRhythm Technologies Inc")</f>
        <v>iRhythm Technologies Inc</v>
      </c>
      <c r="C809">
        <v>-7.7653816414448004E-2</v>
      </c>
      <c r="D809">
        <v>-0.16948478217624799</v>
      </c>
      <c r="E809">
        <v>-0.36147434426856301</v>
      </c>
      <c r="F809">
        <v>-0.10857264866018999</v>
      </c>
      <c r="G809">
        <v>-0.283015627683324</v>
      </c>
      <c r="H809">
        <v>0.155069857518328</v>
      </c>
      <c r="I809">
        <v>-4.7881254488800002E-4</v>
      </c>
    </row>
    <row r="810" spans="1:9" x14ac:dyDescent="0.35">
      <c r="A810" s="1" t="s">
        <v>822</v>
      </c>
      <c r="B810" t="str">
        <f>HYPERLINK("https://www.suredividend.com/sure-analysis-research-database/","Ironwood Pharmaceuticals Inc")</f>
        <v>Ironwood Pharmaceuticals Inc</v>
      </c>
      <c r="C810">
        <v>0.12110311750599501</v>
      </c>
      <c r="D810">
        <v>-9.7490347490347004E-2</v>
      </c>
      <c r="E810">
        <v>-0.14922656960873501</v>
      </c>
      <c r="F810">
        <v>-0.24535916061339799</v>
      </c>
      <c r="G810">
        <v>-7.3339940535183001E-2</v>
      </c>
      <c r="H810">
        <v>-0.31551976573938501</v>
      </c>
      <c r="I810">
        <v>-0.33236699108156498</v>
      </c>
    </row>
    <row r="811" spans="1:9" x14ac:dyDescent="0.35">
      <c r="A811" s="1" t="s">
        <v>823</v>
      </c>
      <c r="B811" t="str">
        <f>HYPERLINK("https://www.suredividend.com/sure-analysis-research-database/","IVERIC bio Inc")</f>
        <v>IVERIC bio Inc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5">
      <c r="A812" s="1" t="s">
        <v>824</v>
      </c>
      <c r="B812" t="str">
        <f>HYPERLINK("https://www.suredividend.com/sure-analysis-research-database/","Inspirato Incorporated")</f>
        <v>Inspirato Incorporated</v>
      </c>
      <c r="C812">
        <v>-0.44331210191082798</v>
      </c>
      <c r="D812">
        <v>-0.62465106291604</v>
      </c>
      <c r="E812">
        <v>-0.601277372262773</v>
      </c>
      <c r="F812">
        <v>-0.70621848739495807</v>
      </c>
      <c r="G812">
        <v>-0.83352380952380911</v>
      </c>
      <c r="H812">
        <v>-0.96548864758144104</v>
      </c>
      <c r="I812">
        <v>-0.96625482625482606</v>
      </c>
    </row>
    <row r="813" spans="1:9" x14ac:dyDescent="0.35">
      <c r="A813" s="1" t="s">
        <v>825</v>
      </c>
      <c r="B813" t="str">
        <f>HYPERLINK("https://www.suredividend.com/sure-analysis-research-database/","Intra-Cellular Therapies Inc")</f>
        <v>Intra-Cellular Therapies Inc</v>
      </c>
      <c r="C813">
        <v>-2.489551153916E-2</v>
      </c>
      <c r="D813">
        <v>-0.155226700251889</v>
      </c>
      <c r="E813">
        <v>-0.108785915960803</v>
      </c>
      <c r="F813">
        <v>1.3983371126228E-2</v>
      </c>
      <c r="G813">
        <v>0.14243133915264999</v>
      </c>
      <c r="H813">
        <v>0.36539440203562301</v>
      </c>
      <c r="I813">
        <v>1.8864981172673481</v>
      </c>
    </row>
    <row r="814" spans="1:9" x14ac:dyDescent="0.35">
      <c r="A814" s="1" t="s">
        <v>826</v>
      </c>
      <c r="B814" t="str">
        <f>HYPERLINK("https://www.suredividend.com/sure-analysis-research-database/","Integer Holdings Corp")</f>
        <v>Integer Holdings Corp</v>
      </c>
      <c r="C814">
        <v>-7.4520413182488004E-2</v>
      </c>
      <c r="D814">
        <v>-0.10126582278481</v>
      </c>
      <c r="E814">
        <v>-5.4284996230208007E-2</v>
      </c>
      <c r="F814">
        <v>9.932807478819701E-2</v>
      </c>
      <c r="G814">
        <v>0.39164201183431901</v>
      </c>
      <c r="H814">
        <v>-0.15703405017921099</v>
      </c>
      <c r="I814">
        <v>8.1714668452769999E-3</v>
      </c>
    </row>
    <row r="815" spans="1:9" x14ac:dyDescent="0.35">
      <c r="A815" s="1" t="s">
        <v>827</v>
      </c>
      <c r="B815" t="str">
        <f>HYPERLINK("https://www.suredividend.com/sure-analysis-research-database/","Investors Title Co.")</f>
        <v>Investors Title Co.</v>
      </c>
      <c r="C815">
        <v>-5.1559934318553997E-2</v>
      </c>
      <c r="D815">
        <v>-3.117093459129E-2</v>
      </c>
      <c r="E815">
        <v>-2.0060262222101E-2</v>
      </c>
      <c r="F815">
        <v>-5.1691246935070007E-3</v>
      </c>
      <c r="G815">
        <v>0.123019647399828</v>
      </c>
      <c r="H815">
        <v>-0.21409149194171601</v>
      </c>
      <c r="I815">
        <v>-8.5941733216522001E-2</v>
      </c>
    </row>
    <row r="816" spans="1:9" x14ac:dyDescent="0.35">
      <c r="A816" s="1" t="s">
        <v>828</v>
      </c>
      <c r="B816" t="str">
        <f>HYPERLINK("https://www.suredividend.com/sure-analysis-research-database/","ITeos Therapeutics Inc")</f>
        <v>ITeos Therapeutics Inc</v>
      </c>
      <c r="C816">
        <v>-0.26623376623376599</v>
      </c>
      <c r="D816">
        <v>-0.34206695778748097</v>
      </c>
      <c r="E816">
        <v>-0.33821376281112697</v>
      </c>
      <c r="F816">
        <v>-0.53712237583205302</v>
      </c>
      <c r="G816">
        <v>-0.49833518312985498</v>
      </c>
      <c r="H816">
        <v>-0.67668097281831108</v>
      </c>
      <c r="I816">
        <v>-0.52545931758530207</v>
      </c>
    </row>
    <row r="817" spans="1:9" x14ac:dyDescent="0.35">
      <c r="A817" s="1" t="s">
        <v>829</v>
      </c>
      <c r="B817" t="str">
        <f>HYPERLINK("https://www.suredividend.com/sure-analysis-research-database/","Itron Inc.")</f>
        <v>Itron Inc.</v>
      </c>
      <c r="C817">
        <v>-9.1569308493842011E-2</v>
      </c>
      <c r="D817">
        <v>-0.194004762571788</v>
      </c>
      <c r="E817">
        <v>7.1907600596124999E-2</v>
      </c>
      <c r="F817">
        <v>0.13603158933859799</v>
      </c>
      <c r="G817">
        <v>0.34313725490196001</v>
      </c>
      <c r="H817">
        <v>-0.23269769302573601</v>
      </c>
      <c r="I817">
        <v>6.9914466344365003E-2</v>
      </c>
    </row>
    <row r="818" spans="1:9" x14ac:dyDescent="0.35">
      <c r="A818" s="1" t="s">
        <v>830</v>
      </c>
      <c r="B818" t="str">
        <f>HYPERLINK("https://www.suredividend.com/sure-analysis-research-database/","Invesco Mortgage Capital Inc")</f>
        <v>Invesco Mortgage Capital Inc</v>
      </c>
      <c r="C818">
        <v>-0.20791133193197001</v>
      </c>
      <c r="D818">
        <v>-0.24645269195458699</v>
      </c>
      <c r="E818">
        <v>-0.12446533241801699</v>
      </c>
      <c r="F818">
        <v>-0.23161055909832401</v>
      </c>
      <c r="G818">
        <v>-8.0676462434155008E-2</v>
      </c>
      <c r="H818">
        <v>-0.63337239900050801</v>
      </c>
      <c r="I818">
        <v>-0.8502442337707381</v>
      </c>
    </row>
    <row r="819" spans="1:9" x14ac:dyDescent="0.35">
      <c r="A819" s="1" t="s">
        <v>831</v>
      </c>
      <c r="B819" t="str">
        <f>HYPERLINK("https://www.suredividend.com/sure-analysis-research-database/","InvenTrust Properties Corp")</f>
        <v>InvenTrust Properties Corp</v>
      </c>
      <c r="C819">
        <v>4.7422205021368007E-2</v>
      </c>
      <c r="D819">
        <v>6.3918767460144008E-2</v>
      </c>
      <c r="E819">
        <v>0.15537106758284899</v>
      </c>
      <c r="F819">
        <v>0.105164384513797</v>
      </c>
      <c r="G819">
        <v>0.189941625505163</v>
      </c>
      <c r="H819">
        <v>8.9297565779614008E-2</v>
      </c>
      <c r="I819">
        <v>3.0380952380952388</v>
      </c>
    </row>
    <row r="820" spans="1:9" x14ac:dyDescent="0.35">
      <c r="A820" s="1" t="s">
        <v>832</v>
      </c>
      <c r="B820" t="str">
        <f>HYPERLINK("https://www.suredividend.com/sure-analysis-research-database/","Invivyd Inc")</f>
        <v>Invivyd Inc</v>
      </c>
      <c r="C820">
        <v>-5.7142857142857002E-2</v>
      </c>
      <c r="D820">
        <v>0.18705035971223</v>
      </c>
      <c r="E820">
        <v>0.41025641025641002</v>
      </c>
      <c r="F820">
        <v>9.9999999999999006E-2</v>
      </c>
      <c r="G820">
        <v>-0.49695121951219512</v>
      </c>
      <c r="H820">
        <v>-0.94912118408880608</v>
      </c>
      <c r="I820">
        <v>-0.92097701149425204</v>
      </c>
    </row>
    <row r="821" spans="1:9" x14ac:dyDescent="0.35">
      <c r="A821" s="1" t="s">
        <v>833</v>
      </c>
      <c r="B821" t="str">
        <f>HYPERLINK("https://www.suredividend.com/sure-analysis-JACK/","Jack In The Box, Inc.")</f>
        <v>Jack In The Box, Inc.</v>
      </c>
      <c r="C821">
        <v>-0.114396779119811</v>
      </c>
      <c r="D821">
        <v>-0.34015964847131902</v>
      </c>
      <c r="E821">
        <v>-0.25542556531746802</v>
      </c>
      <c r="F821">
        <v>-4.0269849819307001E-2</v>
      </c>
      <c r="G821">
        <v>-0.158710752913651</v>
      </c>
      <c r="H821">
        <v>-0.31260553644031103</v>
      </c>
      <c r="I821">
        <v>-0.13556774864115101</v>
      </c>
    </row>
    <row r="822" spans="1:9" x14ac:dyDescent="0.35">
      <c r="A822" s="1" t="s">
        <v>834</v>
      </c>
      <c r="B822" t="str">
        <f>HYPERLINK("https://www.suredividend.com/sure-analysis-research-database/","Janux Therapeutics Inc")</f>
        <v>Janux Therapeutics Inc</v>
      </c>
      <c r="C822">
        <v>-0.11448834853090099</v>
      </c>
      <c r="D822">
        <v>-0.29855537720706199</v>
      </c>
      <c r="E822">
        <v>-0.40300546448087399</v>
      </c>
      <c r="F822">
        <v>-0.33637053910402398</v>
      </c>
      <c r="G822">
        <v>-0.32975460122699302</v>
      </c>
      <c r="H822">
        <v>-0.58637008991954509</v>
      </c>
      <c r="I822">
        <v>-0.65248508946322004</v>
      </c>
    </row>
    <row r="823" spans="1:9" x14ac:dyDescent="0.35">
      <c r="A823" s="1" t="s">
        <v>835</v>
      </c>
      <c r="B823" t="str">
        <f>HYPERLINK("https://www.suredividend.com/sure-analysis-research-database/","Janus International Group Inc")</f>
        <v>Janus International Group Inc</v>
      </c>
      <c r="C823">
        <v>2.2749752720079001E-2</v>
      </c>
      <c r="D823">
        <v>-3.2740879326473002E-2</v>
      </c>
      <c r="E823">
        <v>0.122692725298588</v>
      </c>
      <c r="F823">
        <v>8.6134453781512008E-2</v>
      </c>
      <c r="G823">
        <v>0.21504112808460599</v>
      </c>
      <c r="H823">
        <v>-0.18066561014263</v>
      </c>
      <c r="I823">
        <v>5.8341862845445007E-2</v>
      </c>
    </row>
    <row r="824" spans="1:9" x14ac:dyDescent="0.35">
      <c r="A824" s="1" t="s">
        <v>836</v>
      </c>
      <c r="B824" t="str">
        <f>HYPERLINK("https://www.suredividend.com/sure-analysis-research-database/","Sanfilippo (John B.) &amp; Son, Inc")</f>
        <v>Sanfilippo (John B.) &amp; Son, Inc</v>
      </c>
      <c r="C824">
        <v>-2.5243099891955001E-2</v>
      </c>
      <c r="D824">
        <v>-7.2746945129118001E-2</v>
      </c>
      <c r="E824">
        <v>3.9932180158504013E-2</v>
      </c>
      <c r="F824">
        <v>0.27715268563692202</v>
      </c>
      <c r="G824">
        <v>0.37097576340306998</v>
      </c>
      <c r="H824">
        <v>0.26821687991044202</v>
      </c>
      <c r="I824">
        <v>0.689795501370702</v>
      </c>
    </row>
    <row r="825" spans="1:9" x14ac:dyDescent="0.35">
      <c r="A825" s="1" t="s">
        <v>837</v>
      </c>
      <c r="B825" t="str">
        <f>HYPERLINK("https://www.suredividend.com/sure-analysis-research-database/","John Bean Technologies Corp")</f>
        <v>John Bean Technologies Corp</v>
      </c>
      <c r="C825">
        <v>-7.6415007797449003E-2</v>
      </c>
      <c r="D825">
        <v>-0.135518693077366</v>
      </c>
      <c r="E825">
        <v>-4.2710077501689002E-2</v>
      </c>
      <c r="F825">
        <v>0.105438255542013</v>
      </c>
      <c r="G825">
        <v>0.109371367244014</v>
      </c>
      <c r="H825">
        <v>-0.32199874339457202</v>
      </c>
      <c r="I825">
        <v>-2.3820789475725E-2</v>
      </c>
    </row>
    <row r="826" spans="1:9" x14ac:dyDescent="0.35">
      <c r="A826" s="1" t="s">
        <v>838</v>
      </c>
      <c r="B826" t="str">
        <f>HYPERLINK("https://www.suredividend.com/sure-analysis-research-database/","JELD-WEN Holding Inc.")</f>
        <v>JELD-WEN Holding Inc.</v>
      </c>
      <c r="C826">
        <v>-0.101831501831501</v>
      </c>
      <c r="D826">
        <v>-0.29377880184331701</v>
      </c>
      <c r="E826">
        <v>-2.441008950366E-3</v>
      </c>
      <c r="F826">
        <v>0.27046632124352299</v>
      </c>
      <c r="G826">
        <v>0.39954337899543302</v>
      </c>
      <c r="H826">
        <v>-0.52773497688751903</v>
      </c>
      <c r="I826">
        <v>-0.42468324730173601</v>
      </c>
    </row>
    <row r="827" spans="1:9" x14ac:dyDescent="0.35">
      <c r="A827" s="1" t="s">
        <v>839</v>
      </c>
      <c r="B827" t="str">
        <f>HYPERLINK("https://www.suredividend.com/sure-analysis-JJSF/","J&amp;J Snack Foods Corp.")</f>
        <v>J&amp;J Snack Foods Corp.</v>
      </c>
      <c r="C827">
        <v>-0.111382681564245</v>
      </c>
      <c r="D827">
        <v>-2.5594263066576001E-2</v>
      </c>
      <c r="E827">
        <v>4.4710460582533001E-2</v>
      </c>
      <c r="F827">
        <v>4.326723696787E-2</v>
      </c>
      <c r="G827">
        <v>0.153370303622655</v>
      </c>
      <c r="H827">
        <v>6.0728255591746008E-2</v>
      </c>
      <c r="I827">
        <v>0.14029683562027401</v>
      </c>
    </row>
    <row r="828" spans="1:9" x14ac:dyDescent="0.35">
      <c r="A828" s="1" t="s">
        <v>840</v>
      </c>
      <c r="B828" t="str">
        <f>HYPERLINK("https://www.suredividend.com/sure-analysis-research-database/","John Marshall Bancorp Inc")</f>
        <v>John Marshall Bancorp Inc</v>
      </c>
      <c r="C828">
        <v>-1.3157894736842E-2</v>
      </c>
      <c r="D828">
        <v>-6.5420560747663004E-2</v>
      </c>
      <c r="E828">
        <v>-0.15011756706988799</v>
      </c>
      <c r="F828">
        <v>-0.360963383201857</v>
      </c>
      <c r="G828">
        <v>-0.28632317665483797</v>
      </c>
      <c r="H828">
        <v>-0.17384579372765299</v>
      </c>
      <c r="I828">
        <v>-0.17384579372765299</v>
      </c>
    </row>
    <row r="829" spans="1:9" x14ac:dyDescent="0.35">
      <c r="A829" s="1" t="s">
        <v>841</v>
      </c>
      <c r="B829" t="str">
        <f>HYPERLINK("https://www.suredividend.com/sure-analysis-research-database/","JOANN Inc")</f>
        <v>JOANN Inc</v>
      </c>
      <c r="C829">
        <v>-0.199888888888889</v>
      </c>
      <c r="D829">
        <v>-0.38974576271186401</v>
      </c>
      <c r="E829">
        <v>-0.54133757961783402</v>
      </c>
      <c r="F829">
        <v>-0.74733333333333307</v>
      </c>
      <c r="G829">
        <v>-0.83890380313199109</v>
      </c>
      <c r="H829">
        <v>-0.9323144310032051</v>
      </c>
      <c r="I829">
        <v>-0.93753198872261911</v>
      </c>
    </row>
    <row r="830" spans="1:9" x14ac:dyDescent="0.35">
      <c r="A830" s="1" t="s">
        <v>842</v>
      </c>
      <c r="B830" t="str">
        <f>HYPERLINK("https://www.suredividend.com/sure-analysis-research-database/","Joby Aviation Inc")</f>
        <v>Joby Aviation Inc</v>
      </c>
      <c r="C830">
        <v>-4.8929663608561998E-2</v>
      </c>
      <c r="D830">
        <v>-0.36852791878172497</v>
      </c>
      <c r="E830">
        <v>0.57468354430379709</v>
      </c>
      <c r="F830">
        <v>0.85671641791044706</v>
      </c>
      <c r="G830">
        <v>0.558897243107769</v>
      </c>
      <c r="H830">
        <v>-0.28175519630484902</v>
      </c>
      <c r="I830">
        <v>-0.40761904761904699</v>
      </c>
    </row>
    <row r="831" spans="1:9" x14ac:dyDescent="0.35">
      <c r="A831" s="1" t="s">
        <v>843</v>
      </c>
      <c r="B831" t="str">
        <f>HYPERLINK("https://www.suredividend.com/sure-analysis-research-database/","St. Joe Co.")</f>
        <v>St. Joe Co.</v>
      </c>
      <c r="C831">
        <v>-0.11048951048951</v>
      </c>
      <c r="D831">
        <v>-4.1963071894194001E-2</v>
      </c>
      <c r="E831">
        <v>0.252982852752351</v>
      </c>
      <c r="F831">
        <v>0.32518635433107801</v>
      </c>
      <c r="G831">
        <v>0.58277364905851703</v>
      </c>
      <c r="H831">
        <v>0.17054855659951901</v>
      </c>
      <c r="I831">
        <v>2.4130700189167791</v>
      </c>
    </row>
    <row r="832" spans="1:9" x14ac:dyDescent="0.35">
      <c r="A832" s="1" t="s">
        <v>844</v>
      </c>
      <c r="B832" t="str">
        <f>HYPERLINK("https://www.suredividend.com/sure-analysis-research-database/","Johnson Outdoors Inc")</f>
        <v>Johnson Outdoors Inc</v>
      </c>
      <c r="C832">
        <v>-3.7943777707292001E-2</v>
      </c>
      <c r="D832">
        <v>-7.1759386937731012E-2</v>
      </c>
      <c r="E832">
        <v>-0.111114897387185</v>
      </c>
      <c r="F832">
        <v>-0.18479407338884701</v>
      </c>
      <c r="G832">
        <v>0.148549727557928</v>
      </c>
      <c r="H832">
        <v>-0.48947088751038498</v>
      </c>
      <c r="I832">
        <v>-0.26485508471710201</v>
      </c>
    </row>
    <row r="833" spans="1:9" x14ac:dyDescent="0.35">
      <c r="A833" s="1" t="s">
        <v>845</v>
      </c>
      <c r="B833" t="str">
        <f>HYPERLINK("https://www.suredividend.com/sure-analysis-research-database/","James River Group Holdings Ltd")</f>
        <v>James River Group Holdings Ltd</v>
      </c>
      <c r="C833">
        <v>-3.9438502673796012E-2</v>
      </c>
      <c r="D833">
        <v>-0.19327221589090901</v>
      </c>
      <c r="E833">
        <v>-0.240943617482066</v>
      </c>
      <c r="F833">
        <v>-0.30296518706435299</v>
      </c>
      <c r="G833">
        <v>-0.326566190529749</v>
      </c>
      <c r="H833">
        <v>-0.61786894792965807</v>
      </c>
      <c r="I833">
        <v>-0.57879741826559505</v>
      </c>
    </row>
    <row r="834" spans="1:9" x14ac:dyDescent="0.35">
      <c r="A834" s="1" t="s">
        <v>846</v>
      </c>
      <c r="B834" t="str">
        <f>HYPERLINK("https://www.suredividend.com/sure-analysis-research-database/","Jackson Financial Inc")</f>
        <v>Jackson Financial Inc</v>
      </c>
      <c r="C834">
        <v>-2.7770890156210998E-2</v>
      </c>
      <c r="D834">
        <v>0.21749390632034801</v>
      </c>
      <c r="E834">
        <v>0.106489372509622</v>
      </c>
      <c r="F834">
        <v>0.18818901932738899</v>
      </c>
      <c r="G834">
        <v>0.35698687311601701</v>
      </c>
      <c r="H834">
        <v>0.58586352918336704</v>
      </c>
      <c r="I834">
        <v>0.24674085850556399</v>
      </c>
    </row>
    <row r="835" spans="1:9" x14ac:dyDescent="0.35">
      <c r="A835" s="1" t="s">
        <v>847</v>
      </c>
      <c r="B835" t="str">
        <f>HYPERLINK("https://www.suredividend.com/sure-analysis-research-database/","Joint Corp")</f>
        <v>Joint Corp</v>
      </c>
      <c r="C835">
        <v>-0.151356993736951</v>
      </c>
      <c r="D835">
        <v>-0.38362395754359302</v>
      </c>
      <c r="E835">
        <v>-0.48900062853551202</v>
      </c>
      <c r="F835">
        <v>-0.41845493562231711</v>
      </c>
      <c r="G835">
        <v>-0.47884615384615298</v>
      </c>
      <c r="H835">
        <v>-0.89786432160804008</v>
      </c>
      <c r="I835">
        <v>-2.6347305389221001E-2</v>
      </c>
    </row>
    <row r="836" spans="1:9" x14ac:dyDescent="0.35">
      <c r="A836" s="1" t="s">
        <v>848</v>
      </c>
      <c r="B836" t="str">
        <f>HYPERLINK("https://www.suredividend.com/sure-analysis-research-database/","Kadant, Inc.")</f>
        <v>Kadant, Inc.</v>
      </c>
      <c r="C836">
        <v>2.8431808085295E-2</v>
      </c>
      <c r="D836">
        <v>6.1197913621380003E-2</v>
      </c>
      <c r="E836">
        <v>0.17222699878473199</v>
      </c>
      <c r="F836">
        <v>0.284356406496792</v>
      </c>
      <c r="G836">
        <v>0.39126861964713799</v>
      </c>
      <c r="H836">
        <v>0.11326531163037599</v>
      </c>
      <c r="I836">
        <v>1.482723149065162</v>
      </c>
    </row>
    <row r="837" spans="1:9" x14ac:dyDescent="0.35">
      <c r="A837" s="1" t="s">
        <v>849</v>
      </c>
      <c r="B837" t="str">
        <f>HYPERLINK("https://www.suredividend.com/sure-analysis-KALU/","Kaiser Aluminum Corp")</f>
        <v>Kaiser Aluminum Corp</v>
      </c>
      <c r="C837">
        <v>-0.132436627004655</v>
      </c>
      <c r="D837">
        <v>-0.10242617896883301</v>
      </c>
      <c r="E837">
        <v>5.3962966745488013E-2</v>
      </c>
      <c r="F837">
        <v>-7.7901387134332006E-2</v>
      </c>
      <c r="G837">
        <v>8.1450575387165006E-2</v>
      </c>
      <c r="H837">
        <v>-0.37496447602958899</v>
      </c>
      <c r="I837">
        <v>-0.22150358435626</v>
      </c>
    </row>
    <row r="838" spans="1:9" x14ac:dyDescent="0.35">
      <c r="A838" s="1" t="s">
        <v>850</v>
      </c>
      <c r="B838" t="str">
        <f>HYPERLINK("https://www.suredividend.com/sure-analysis-research-database/","KalVista Pharmaceuticals Inc")</f>
        <v>KalVista Pharmaceuticals Inc</v>
      </c>
      <c r="C838">
        <v>-7.5356415478615005E-2</v>
      </c>
      <c r="D838">
        <v>-5.8091286307053007E-2</v>
      </c>
      <c r="E838">
        <v>0.14791403286978499</v>
      </c>
      <c r="F838">
        <v>0.34319526627218899</v>
      </c>
      <c r="G838">
        <v>0.99122807017543813</v>
      </c>
      <c r="H838">
        <v>-0.47239976757698998</v>
      </c>
      <c r="I838">
        <v>-0.53244078269824902</v>
      </c>
    </row>
    <row r="839" spans="1:9" x14ac:dyDescent="0.35">
      <c r="A839" s="1" t="s">
        <v>851</v>
      </c>
      <c r="B839" t="str">
        <f>HYPERLINK("https://www.suredividend.com/sure-analysis-research-database/","Kaman Corp.")</f>
        <v>Kaman Corp.</v>
      </c>
      <c r="C839">
        <v>-6.4891041162227006E-2</v>
      </c>
      <c r="D839">
        <v>-0.19333951592016099</v>
      </c>
      <c r="E839">
        <v>-0.111791871354713</v>
      </c>
      <c r="F839">
        <v>-0.109444682725256</v>
      </c>
      <c r="G839">
        <v>-0.30323269718586798</v>
      </c>
      <c r="H839">
        <v>-0.46123004723653599</v>
      </c>
      <c r="I839">
        <v>-0.65435334002788803</v>
      </c>
    </row>
    <row r="840" spans="1:9" x14ac:dyDescent="0.35">
      <c r="A840" s="1" t="s">
        <v>852</v>
      </c>
      <c r="B840" t="str">
        <f>HYPERLINK("https://www.suredividend.com/sure-analysis-research-database/","Openlane Inc.")</f>
        <v>Openlane Inc.</v>
      </c>
      <c r="C840">
        <v>-8.9331619537275003E-2</v>
      </c>
      <c r="D840">
        <v>-9.8600508905852008E-2</v>
      </c>
      <c r="E840">
        <v>5.1967334818113997E-2</v>
      </c>
      <c r="F840">
        <v>8.5823754789271012E-2</v>
      </c>
      <c r="G840">
        <v>9.2521202775635011E-2</v>
      </c>
      <c r="H840">
        <v>-9.8026734563972012E-2</v>
      </c>
      <c r="I840">
        <v>-0.31536963758557801</v>
      </c>
    </row>
    <row r="841" spans="1:9" x14ac:dyDescent="0.35">
      <c r="A841" s="1" t="s">
        <v>853</v>
      </c>
      <c r="B841" t="str">
        <f>HYPERLINK("https://www.suredividend.com/sure-analysis-research-database/","KB Home")</f>
        <v>KB Home</v>
      </c>
      <c r="C841">
        <v>-8.223477715003101E-2</v>
      </c>
      <c r="D841">
        <v>-0.19287759563646001</v>
      </c>
      <c r="E841">
        <v>0.11291267974453199</v>
      </c>
      <c r="F841">
        <v>0.39229255285378711</v>
      </c>
      <c r="G841">
        <v>0.67917304747320006</v>
      </c>
      <c r="H841">
        <v>0.136245880914385</v>
      </c>
      <c r="I841">
        <v>1.2841370690553069</v>
      </c>
    </row>
    <row r="842" spans="1:9" x14ac:dyDescent="0.35">
      <c r="A842" s="1" t="s">
        <v>854</v>
      </c>
      <c r="B842" t="str">
        <f>HYPERLINK("https://www.suredividend.com/sure-analysis-research-database/","Chinook Therapeutics Inc")</f>
        <v>Chinook Therapeutics Inc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 s="1" t="s">
        <v>855</v>
      </c>
      <c r="B843" t="str">
        <f>HYPERLINK("https://www.suredividend.com/sure-analysis-research-database/","Kimball Electronics Inc")</f>
        <v>Kimball Electronics Inc</v>
      </c>
      <c r="C843">
        <v>-5.6363636363635998E-2</v>
      </c>
      <c r="D843">
        <v>-0.10362694300518099</v>
      </c>
      <c r="E843">
        <v>0.14116094986807301</v>
      </c>
      <c r="F843">
        <v>0.148738379814076</v>
      </c>
      <c r="G843">
        <v>0.45459641255605299</v>
      </c>
      <c r="H843">
        <v>-9.7391304347826002E-2</v>
      </c>
      <c r="I843">
        <v>0.43608190370780298</v>
      </c>
    </row>
    <row r="844" spans="1:9" x14ac:dyDescent="0.35">
      <c r="A844" s="1" t="s">
        <v>856</v>
      </c>
      <c r="B844" t="str">
        <f>HYPERLINK("https://www.suredividend.com/sure-analysis-research-database/","Kelly Services, Inc.")</f>
        <v>Kelly Services, Inc.</v>
      </c>
      <c r="C844">
        <v>5.4794520547940002E-3</v>
      </c>
      <c r="D844">
        <v>1.1721635956641999E-2</v>
      </c>
      <c r="E844">
        <v>0.114356679156368</v>
      </c>
      <c r="F844">
        <v>0.108727832995982</v>
      </c>
      <c r="G844">
        <v>0.29526364085550899</v>
      </c>
      <c r="H844">
        <v>-3.0997518086286001E-2</v>
      </c>
      <c r="I844">
        <v>-0.14127942346389599</v>
      </c>
    </row>
    <row r="845" spans="1:9" x14ac:dyDescent="0.35">
      <c r="A845" s="1" t="s">
        <v>857</v>
      </c>
      <c r="B845" t="str">
        <f>HYPERLINK("https://www.suredividend.com/sure-analysis-research-database/","Kforce Inc.")</f>
        <v>Kforce Inc.</v>
      </c>
      <c r="C845">
        <v>1.2512855673637E-2</v>
      </c>
      <c r="D845">
        <v>-5.7518946948543002E-2</v>
      </c>
      <c r="E845">
        <v>-7.6908651930334013E-2</v>
      </c>
      <c r="F845">
        <v>0.110643146427402</v>
      </c>
      <c r="G845">
        <v>9.2312108211720003E-3</v>
      </c>
      <c r="H845">
        <v>-3.2286601748338001E-2</v>
      </c>
      <c r="I845">
        <v>0.9354838709677421</v>
      </c>
    </row>
    <row r="846" spans="1:9" x14ac:dyDescent="0.35">
      <c r="A846" s="1" t="s">
        <v>858</v>
      </c>
      <c r="B846" t="str">
        <f>HYPERLINK("https://www.suredividend.com/sure-analysis-research-database/","Korn Ferry")</f>
        <v>Korn Ferry</v>
      </c>
      <c r="C846">
        <v>4.1686654002689998E-2</v>
      </c>
      <c r="D846">
        <v>-7.2041205472791012E-2</v>
      </c>
      <c r="E846">
        <v>-3.8241986662152012E-2</v>
      </c>
      <c r="F846">
        <v>-2.4688203637756999E-2</v>
      </c>
      <c r="G846">
        <v>-3.4129659098770998E-2</v>
      </c>
      <c r="H846">
        <v>-0.33462703843665897</v>
      </c>
      <c r="I846">
        <v>0.141911615199624</v>
      </c>
    </row>
    <row r="847" spans="1:9" x14ac:dyDescent="0.35">
      <c r="A847" s="1" t="s">
        <v>859</v>
      </c>
      <c r="B847" t="str">
        <f>HYPERLINK("https://www.suredividend.com/sure-analysis-research-database/","OrthoPediatrics corp")</f>
        <v>OrthoPediatrics corp</v>
      </c>
      <c r="C847">
        <v>-0.28940416788963802</v>
      </c>
      <c r="D847">
        <v>-0.45472972972972903</v>
      </c>
      <c r="E847">
        <v>-0.49979338842975202</v>
      </c>
      <c r="F847">
        <v>-0.39063679838912602</v>
      </c>
      <c r="G847">
        <v>-0.42466730038022799</v>
      </c>
      <c r="H847">
        <v>-0.61528682663276602</v>
      </c>
      <c r="I847">
        <v>-0.23507109004739299</v>
      </c>
    </row>
    <row r="848" spans="1:9" x14ac:dyDescent="0.35">
      <c r="A848" s="1" t="s">
        <v>860</v>
      </c>
      <c r="B848" t="str">
        <f>HYPERLINK("https://www.suredividend.com/sure-analysis-KLIC/","Kulicke &amp; Soffa Industries, Inc.")</f>
        <v>Kulicke &amp; Soffa Industries, Inc.</v>
      </c>
      <c r="C848">
        <v>-4.4247937309431003E-2</v>
      </c>
      <c r="D848">
        <v>-0.216925497044413</v>
      </c>
      <c r="E848">
        <v>-6.7033248293001002E-2</v>
      </c>
      <c r="F848">
        <v>3.5996286915962003E-2</v>
      </c>
      <c r="G848">
        <v>0.227930529558624</v>
      </c>
      <c r="H848">
        <v>-5.1014280975355007E-2</v>
      </c>
      <c r="I848">
        <v>1.3130261238901819</v>
      </c>
    </row>
    <row r="849" spans="1:9" x14ac:dyDescent="0.35">
      <c r="A849" s="1" t="s">
        <v>861</v>
      </c>
      <c r="B849" t="str">
        <f>HYPERLINK("https://www.suredividend.com/sure-analysis-research-database/","Kaleyra Inc")</f>
        <v>Kaleyra Inc</v>
      </c>
      <c r="C849">
        <v>5.8479532163742007E-2</v>
      </c>
      <c r="D849">
        <v>6.3142437591775999E-2</v>
      </c>
      <c r="E849">
        <v>3.1849710982658959</v>
      </c>
      <c r="F849">
        <v>1.7394150365129211</v>
      </c>
      <c r="G849">
        <v>1.090914341824063</v>
      </c>
      <c r="H849">
        <v>-0.81074369363481902</v>
      </c>
      <c r="I849">
        <v>-0.27600000000000002</v>
      </c>
    </row>
    <row r="850" spans="1:9" x14ac:dyDescent="0.35">
      <c r="A850" s="1" t="s">
        <v>862</v>
      </c>
      <c r="B850" t="str">
        <f>HYPERLINK("https://www.suredividend.com/sure-analysis-research-database/","Kennametal Inc.")</f>
        <v>Kennametal Inc.</v>
      </c>
      <c r="C850">
        <v>-4.9309664694279998E-2</v>
      </c>
      <c r="D850">
        <v>-0.164601279095966</v>
      </c>
      <c r="E850">
        <v>-7.1791711600677002E-2</v>
      </c>
      <c r="F850">
        <v>2.3763200598115E-2</v>
      </c>
      <c r="G850">
        <v>0.113740133463962</v>
      </c>
      <c r="H850">
        <v>-0.30777162782815498</v>
      </c>
      <c r="I850">
        <v>-0.28646926636605602</v>
      </c>
    </row>
    <row r="851" spans="1:9" x14ac:dyDescent="0.35">
      <c r="A851" s="1" t="s">
        <v>863</v>
      </c>
      <c r="B851" t="str">
        <f>HYPERLINK("https://www.suredividend.com/sure-analysis-research-database/","Knowles Corp")</f>
        <v>Knowles Corp</v>
      </c>
      <c r="C851">
        <v>-3.3684210526314998E-2</v>
      </c>
      <c r="D851">
        <v>-0.23072625698324001</v>
      </c>
      <c r="E851">
        <v>-0.16036585365853601</v>
      </c>
      <c r="F851">
        <v>-0.16138855054811199</v>
      </c>
      <c r="G851">
        <v>0.15133779264214001</v>
      </c>
      <c r="H851">
        <v>-0.29744897959183603</v>
      </c>
      <c r="I851">
        <v>-4.6398891966757998E-2</v>
      </c>
    </row>
    <row r="852" spans="1:9" x14ac:dyDescent="0.35">
      <c r="A852" s="1" t="s">
        <v>864</v>
      </c>
      <c r="B852" t="str">
        <f>HYPERLINK("https://www.suredividend.com/sure-analysis-research-database/","Kiniksa Pharmaceuticals Ltd")</f>
        <v>Kiniksa Pharmaceuticals Ltd</v>
      </c>
      <c r="C852">
        <v>-4.8424737456241998E-2</v>
      </c>
      <c r="D852">
        <v>0.12250516173434201</v>
      </c>
      <c r="E852">
        <v>0.43700440528634299</v>
      </c>
      <c r="F852">
        <v>8.8785046728971001E-2</v>
      </c>
      <c r="G852">
        <v>0.20191599115696299</v>
      </c>
      <c r="H852">
        <v>0.42445414847161511</v>
      </c>
      <c r="I852">
        <v>-0.175012645422357</v>
      </c>
    </row>
    <row r="853" spans="1:9" x14ac:dyDescent="0.35">
      <c r="A853" s="1" t="s">
        <v>865</v>
      </c>
      <c r="B853" t="str">
        <f>HYPERLINK("https://www.suredividend.com/sure-analysis-research-database/","Kinsale Capital Group Inc")</f>
        <v>Kinsale Capital Group Inc</v>
      </c>
      <c r="C853">
        <v>7.1444257375009007E-2</v>
      </c>
      <c r="D853">
        <v>0.19640090696621301</v>
      </c>
      <c r="E853">
        <v>0.41136471456433499</v>
      </c>
      <c r="F853">
        <v>0.68119186935778808</v>
      </c>
      <c r="G853">
        <v>0.59522525913192004</v>
      </c>
      <c r="H853">
        <v>1.665557004348807</v>
      </c>
      <c r="I853">
        <v>6.7086339649669791</v>
      </c>
    </row>
    <row r="854" spans="1:9" x14ac:dyDescent="0.35">
      <c r="A854" s="1" t="s">
        <v>866</v>
      </c>
      <c r="B854" t="str">
        <f>HYPERLINK("https://www.suredividend.com/sure-analysis-research-database/","Kinnate Biopharma Inc")</f>
        <v>Kinnate Biopharma Inc</v>
      </c>
      <c r="C854">
        <v>-0.188235294117647</v>
      </c>
      <c r="D854">
        <v>-0.550488599348534</v>
      </c>
      <c r="E854">
        <v>-0.74725274725274704</v>
      </c>
      <c r="F854">
        <v>-0.77377049180327806</v>
      </c>
      <c r="G854">
        <v>-0.84119677790563807</v>
      </c>
      <c r="H854">
        <v>-0.9404915912031041</v>
      </c>
      <c r="I854">
        <v>-0.96464258262874703</v>
      </c>
    </row>
    <row r="855" spans="1:9" x14ac:dyDescent="0.35">
      <c r="A855" s="1" t="s">
        <v>867</v>
      </c>
      <c r="B855" t="str">
        <f>HYPERLINK("https://www.suredividend.com/sure-analysis-research-database/","Kinetik Holdings Inc")</f>
        <v>Kinetik Holdings Inc</v>
      </c>
      <c r="C855">
        <v>3.7637521713954999E-2</v>
      </c>
      <c r="D855">
        <v>2.1458028734207001E-2</v>
      </c>
      <c r="E855">
        <v>0.16583555343033399</v>
      </c>
      <c r="F855">
        <v>0.16407856231100701</v>
      </c>
      <c r="G855">
        <v>0.18291245985721799</v>
      </c>
      <c r="H855">
        <v>-0.58358362080083404</v>
      </c>
      <c r="I855">
        <v>2.55203171456888</v>
      </c>
    </row>
    <row r="856" spans="1:9" x14ac:dyDescent="0.35">
      <c r="A856" s="1" t="s">
        <v>868</v>
      </c>
      <c r="B856" t="str">
        <f>HYPERLINK("https://www.suredividend.com/sure-analysis-research-database/","Kodiak Sciences Inc")</f>
        <v>Kodiak Sciences Inc</v>
      </c>
      <c r="C856">
        <v>-0.211981566820276</v>
      </c>
      <c r="D856">
        <v>-0.75036496350364901</v>
      </c>
      <c r="E856">
        <v>-0.65800000000000003</v>
      </c>
      <c r="F856">
        <v>-0.76117318435754111</v>
      </c>
      <c r="G856">
        <v>-0.74722838137472203</v>
      </c>
      <c r="H856">
        <v>-0.98472805215682713</v>
      </c>
      <c r="I856">
        <v>-0.82865731462925807</v>
      </c>
    </row>
    <row r="857" spans="1:9" x14ac:dyDescent="0.35">
      <c r="A857" s="1" t="s">
        <v>869</v>
      </c>
      <c r="B857" t="str">
        <f>HYPERLINK("https://www.suredividend.com/sure-analysis-research-database/","Eastman Kodak Co.")</f>
        <v>Eastman Kodak Co.</v>
      </c>
      <c r="C857">
        <v>-6.6825775656323999E-2</v>
      </c>
      <c r="D857">
        <v>-0.33728813559322002</v>
      </c>
      <c r="E857">
        <v>6.8306010928961006E-2</v>
      </c>
      <c r="F857">
        <v>0.28196721311475398</v>
      </c>
      <c r="G857">
        <v>-0.136865342163355</v>
      </c>
      <c r="H857">
        <v>-0.44222539229671898</v>
      </c>
      <c r="I857">
        <v>0.45353159851301111</v>
      </c>
    </row>
    <row r="858" spans="1:9" x14ac:dyDescent="0.35">
      <c r="A858" s="1" t="s">
        <v>870</v>
      </c>
      <c r="B858" t="str">
        <f>HYPERLINK("https://www.suredividend.com/sure-analysis-research-database/","Koppers Holdings Inc")</f>
        <v>Koppers Holdings Inc</v>
      </c>
      <c r="C858">
        <v>-3.2765737874096E-2</v>
      </c>
      <c r="D858">
        <v>5.5075563560633013E-2</v>
      </c>
      <c r="E858">
        <v>0.102352017548244</v>
      </c>
      <c r="F858">
        <v>0.336379904040152</v>
      </c>
      <c r="G858">
        <v>0.71505164826115997</v>
      </c>
      <c r="H858">
        <v>0.134987526944222</v>
      </c>
      <c r="I858">
        <v>0.25339342311138402</v>
      </c>
    </row>
    <row r="859" spans="1:9" x14ac:dyDescent="0.35">
      <c r="A859" s="1" t="s">
        <v>871</v>
      </c>
      <c r="B859" t="str">
        <f>HYPERLINK("https://www.suredividend.com/sure-analysis-research-database/","Kore Group Holdings Inc")</f>
        <v>Kore Group Holdings Inc</v>
      </c>
      <c r="C859">
        <v>-0.17296449451019499</v>
      </c>
      <c r="D859">
        <v>-0.60000000000000009</v>
      </c>
      <c r="E859">
        <v>-0.48214285714285698</v>
      </c>
      <c r="F859">
        <v>-0.53968253968253899</v>
      </c>
      <c r="G859">
        <v>-0.71287128712871206</v>
      </c>
      <c r="H859">
        <v>-0.9150805270863831</v>
      </c>
      <c r="I859">
        <v>-0.91922005571030607</v>
      </c>
    </row>
    <row r="860" spans="1:9" x14ac:dyDescent="0.35">
      <c r="A860" s="1" t="s">
        <v>872</v>
      </c>
      <c r="B860" t="str">
        <f>HYPERLINK("https://www.suredividend.com/sure-analysis-research-database/","Kosmos Energy Ltd")</f>
        <v>Kosmos Energy Ltd</v>
      </c>
      <c r="C860">
        <v>7.3816155988857005E-2</v>
      </c>
      <c r="D860">
        <v>0.22966507177033499</v>
      </c>
      <c r="E860">
        <v>1.9841269841269001E-2</v>
      </c>
      <c r="F860">
        <v>0.21226415094339601</v>
      </c>
      <c r="G860">
        <v>0.35500878734622099</v>
      </c>
      <c r="H860">
        <v>1.023622047244094</v>
      </c>
      <c r="I860">
        <v>-1.9695101018448E-2</v>
      </c>
    </row>
    <row r="861" spans="1:9" x14ac:dyDescent="0.35">
      <c r="A861" s="1" t="s">
        <v>873</v>
      </c>
      <c r="B861" t="str">
        <f>HYPERLINK("https://www.suredividend.com/sure-analysis-research-database/","Karyopharm Therapeutics Inc")</f>
        <v>Karyopharm Therapeutics Inc</v>
      </c>
      <c r="C861">
        <v>-1.6528925619834E-2</v>
      </c>
      <c r="D861">
        <v>-0.237179487179487</v>
      </c>
      <c r="E861">
        <v>-0.72453703703703709</v>
      </c>
      <c r="F861">
        <v>-0.65</v>
      </c>
      <c r="G861">
        <v>-0.75156576200417502</v>
      </c>
      <c r="H861">
        <v>-0.78711985688729802</v>
      </c>
      <c r="I861">
        <v>-0.90570522979397705</v>
      </c>
    </row>
    <row r="862" spans="1:9" x14ac:dyDescent="0.35">
      <c r="A862" s="1" t="s">
        <v>874</v>
      </c>
      <c r="B862" t="str">
        <f>HYPERLINK("https://www.suredividend.com/sure-analysis-KREF/","KKR Real Estate Finance Trust Inc")</f>
        <v>KKR Real Estate Finance Trust Inc</v>
      </c>
      <c r="C862">
        <v>-9.2325955116972003E-2</v>
      </c>
      <c r="D862">
        <v>-9.8643956343573008E-2</v>
      </c>
      <c r="E862">
        <v>6.9244014040962004E-2</v>
      </c>
      <c r="F862">
        <v>-0.10123859556536401</v>
      </c>
      <c r="G862">
        <v>-0.236480473871193</v>
      </c>
      <c r="H862">
        <v>-0.35636817572752111</v>
      </c>
      <c r="I862">
        <v>-5.6389935945331003E-2</v>
      </c>
    </row>
    <row r="863" spans="1:9" x14ac:dyDescent="0.35">
      <c r="A863" s="1" t="s">
        <v>875</v>
      </c>
      <c r="B863" t="str">
        <f>HYPERLINK("https://www.suredividend.com/sure-analysis-KRG/","Kite Realty Group Trust")</f>
        <v>Kite Realty Group Trust</v>
      </c>
      <c r="C863">
        <v>-0.107295835658083</v>
      </c>
      <c r="D863">
        <v>-0.104577582712001</v>
      </c>
      <c r="E863">
        <v>3.2200385043253003E-2</v>
      </c>
      <c r="F863">
        <v>9.7546673822399999E-3</v>
      </c>
      <c r="G863">
        <v>0.22650506416214899</v>
      </c>
      <c r="H863">
        <v>1.4574522795472E-2</v>
      </c>
      <c r="I863">
        <v>0.73191166568650001</v>
      </c>
    </row>
    <row r="864" spans="1:9" x14ac:dyDescent="0.35">
      <c r="A864" s="1" t="s">
        <v>876</v>
      </c>
      <c r="B864" t="str">
        <f>HYPERLINK("https://www.suredividend.com/sure-analysis-research-database/","Kearny Financial Corp.")</f>
        <v>Kearny Financial Corp.</v>
      </c>
      <c r="C864">
        <v>-6.7321178120617012E-2</v>
      </c>
      <c r="D864">
        <v>-8.4753227449145013E-2</v>
      </c>
      <c r="E864">
        <v>-0.120509971962122</v>
      </c>
      <c r="F864">
        <v>-0.30801968762031601</v>
      </c>
      <c r="G864">
        <v>-0.333794167443071</v>
      </c>
      <c r="H864">
        <v>-0.43724665521414202</v>
      </c>
      <c r="I864">
        <v>-0.39520162977244999</v>
      </c>
    </row>
    <row r="865" spans="1:9" x14ac:dyDescent="0.35">
      <c r="A865" s="1" t="s">
        <v>877</v>
      </c>
      <c r="B865" t="str">
        <f>HYPERLINK("https://www.suredividend.com/sure-analysis-KRO/","Kronos Worldwide, Inc.")</f>
        <v>Kronos Worldwide, Inc.</v>
      </c>
      <c r="C865">
        <v>-0.14303178484107501</v>
      </c>
      <c r="D865">
        <v>-0.23494166566623301</v>
      </c>
      <c r="E865">
        <v>-0.20971342247074401</v>
      </c>
      <c r="F865">
        <v>-0.20700460412448099</v>
      </c>
      <c r="G865">
        <v>-0.140752362624566</v>
      </c>
      <c r="H865">
        <v>-0.39550205236107699</v>
      </c>
      <c r="I865">
        <v>-0.38725383075618602</v>
      </c>
    </row>
    <row r="866" spans="1:9" x14ac:dyDescent="0.35">
      <c r="A866" s="1" t="s">
        <v>878</v>
      </c>
      <c r="B866" t="str">
        <f>HYPERLINK("https://www.suredividend.com/sure-analysis-research-database/","Kronos Bio Inc")</f>
        <v>Kronos Bio Inc</v>
      </c>
      <c r="C866">
        <v>-0.193089430894308</v>
      </c>
      <c r="D866">
        <v>-0.52283653846153799</v>
      </c>
      <c r="E866">
        <v>-0.236538461538461</v>
      </c>
      <c r="F866">
        <v>-0.38734567901234501</v>
      </c>
      <c r="G866">
        <v>-0.65052816901408406</v>
      </c>
      <c r="H866">
        <v>-0.94085220500595912</v>
      </c>
      <c r="I866">
        <v>-0.96333579608422604</v>
      </c>
    </row>
    <row r="867" spans="1:9" x14ac:dyDescent="0.35">
      <c r="A867" s="1" t="s">
        <v>879</v>
      </c>
      <c r="B867" t="str">
        <f>HYPERLINK("https://www.suredividend.com/sure-analysis-research-database/","Keros Therapeutics Inc")</f>
        <v>Keros Therapeutics Inc</v>
      </c>
      <c r="C867">
        <v>-0.22689768976897601</v>
      </c>
      <c r="D867">
        <v>-0.30848708487084803</v>
      </c>
      <c r="E867">
        <v>-0.27532869296210299</v>
      </c>
      <c r="F867">
        <v>-0.41461890878800511</v>
      </c>
      <c r="G867">
        <v>-0.36011837013430398</v>
      </c>
      <c r="H867">
        <v>-0.27904590920748901</v>
      </c>
      <c r="I867">
        <v>0.39990039840637398</v>
      </c>
    </row>
    <row r="868" spans="1:9" x14ac:dyDescent="0.35">
      <c r="A868" s="1" t="s">
        <v>880</v>
      </c>
      <c r="B868" t="str">
        <f>HYPERLINK("https://www.suredividend.com/sure-analysis-research-database/","Karat Packaging Inc")</f>
        <v>Karat Packaging Inc</v>
      </c>
      <c r="C868">
        <v>3.6781609195399999E-3</v>
      </c>
      <c r="D868">
        <v>0.16575883797928001</v>
      </c>
      <c r="E868">
        <v>0.75704063810435906</v>
      </c>
      <c r="F868">
        <v>0.62498139050171209</v>
      </c>
      <c r="G868">
        <v>0.565345838890561</v>
      </c>
      <c r="H868">
        <v>7.6392826677580003E-2</v>
      </c>
      <c r="I868">
        <v>0.29039503939753902</v>
      </c>
    </row>
    <row r="869" spans="1:9" x14ac:dyDescent="0.35">
      <c r="A869" s="1" t="s">
        <v>881</v>
      </c>
      <c r="B869" t="str">
        <f>HYPERLINK("https://www.suredividend.com/sure-analysis-research-database/","Karuna Therapeutics Inc")</f>
        <v>Karuna Therapeutics Inc</v>
      </c>
      <c r="C869">
        <v>-5.4671088999446997E-2</v>
      </c>
      <c r="D869">
        <v>-0.19266358228684699</v>
      </c>
      <c r="E869">
        <v>-6.3677179150240001E-2</v>
      </c>
      <c r="F869">
        <v>-0.12972010178116999</v>
      </c>
      <c r="G869">
        <v>-0.169451189898008</v>
      </c>
      <c r="H869">
        <v>0.38167568877757102</v>
      </c>
      <c r="I869">
        <v>7.5419580419580416</v>
      </c>
    </row>
    <row r="870" spans="1:9" x14ac:dyDescent="0.35">
      <c r="A870" s="1" t="s">
        <v>882</v>
      </c>
      <c r="B870" t="str">
        <f>HYPERLINK("https://www.suredividend.com/sure-analysis-research-database/","Kura Sushi USA Inc")</f>
        <v>Kura Sushi USA Inc</v>
      </c>
      <c r="C870">
        <v>-0.20013029315960901</v>
      </c>
      <c r="D870">
        <v>-0.40438536916658502</v>
      </c>
      <c r="E870">
        <v>-5.3061854079901001E-2</v>
      </c>
      <c r="F870">
        <v>0.28754194630872398</v>
      </c>
      <c r="G870">
        <v>-0.10848097589311601</v>
      </c>
      <c r="H870">
        <v>0.34185792349726701</v>
      </c>
      <c r="I870">
        <v>2.1305456399796019</v>
      </c>
    </row>
    <row r="871" spans="1:9" x14ac:dyDescent="0.35">
      <c r="A871" s="1" t="s">
        <v>883</v>
      </c>
      <c r="B871" t="str">
        <f>HYPERLINK("https://www.suredividend.com/sure-analysis-research-database/","Krystal Biotech Inc")</f>
        <v>Krystal Biotech Inc</v>
      </c>
      <c r="C871">
        <v>-5.3174669218607001E-2</v>
      </c>
      <c r="D871">
        <v>-9.891502336263501E-2</v>
      </c>
      <c r="E871">
        <v>0.31720305626302298</v>
      </c>
      <c r="F871">
        <v>0.43625347134561898</v>
      </c>
      <c r="G871">
        <v>0.72367823057112501</v>
      </c>
      <c r="H871">
        <v>1.335385878489326</v>
      </c>
      <c r="I871">
        <v>4.6890000000000001</v>
      </c>
    </row>
    <row r="872" spans="1:9" x14ac:dyDescent="0.35">
      <c r="A872" s="1" t="s">
        <v>884</v>
      </c>
      <c r="B872" t="str">
        <f>HYPERLINK("https://www.suredividend.com/sure-analysis-KTB/","Kontoor Brands Inc")</f>
        <v>Kontoor Brands Inc</v>
      </c>
      <c r="C872">
        <v>-3.7351822858420002E-2</v>
      </c>
      <c r="D872">
        <v>0.112716875085638</v>
      </c>
      <c r="E872">
        <v>-6.9843835770382001E-2</v>
      </c>
      <c r="F872">
        <v>0.110792807719803</v>
      </c>
      <c r="G872">
        <v>0.29564015882429001</v>
      </c>
      <c r="H872">
        <v>-4.9501452027870013E-2</v>
      </c>
      <c r="I872">
        <v>6.2716049382716008E-2</v>
      </c>
    </row>
    <row r="873" spans="1:9" x14ac:dyDescent="0.35">
      <c r="A873" s="1" t="s">
        <v>885</v>
      </c>
      <c r="B873" t="str">
        <f>HYPERLINK("https://www.suredividend.com/sure-analysis-research-database/","Kratos Defense &amp; Security Solutions Inc")</f>
        <v>Kratos Defense &amp; Security Solutions Inc</v>
      </c>
      <c r="C873">
        <v>0.16095890410958899</v>
      </c>
      <c r="D873">
        <v>0.28603945371775402</v>
      </c>
      <c r="E873">
        <v>0.31804043545878602</v>
      </c>
      <c r="F873">
        <v>0.64244186046511609</v>
      </c>
      <c r="G873">
        <v>0.81089743589743501</v>
      </c>
      <c r="H873">
        <v>-0.24599644128113801</v>
      </c>
      <c r="I873">
        <v>0.25369822485207</v>
      </c>
    </row>
    <row r="874" spans="1:9" x14ac:dyDescent="0.35">
      <c r="A874" s="1" t="s">
        <v>886</v>
      </c>
      <c r="B874" t="str">
        <f>HYPERLINK("https://www.suredividend.com/sure-analysis-research-database/","Kura Oncology Inc")</f>
        <v>Kura Oncology Inc</v>
      </c>
      <c r="C874">
        <v>-0.14661274014155701</v>
      </c>
      <c r="D874">
        <v>-0.15936254980079601</v>
      </c>
      <c r="E874">
        <v>-0.26223776223776202</v>
      </c>
      <c r="F874">
        <v>-0.319903303787268</v>
      </c>
      <c r="G874">
        <v>-0.44142951687623999</v>
      </c>
      <c r="H874">
        <v>-0.53163152053274099</v>
      </c>
      <c r="I874">
        <v>-0.43808255659121098</v>
      </c>
    </row>
    <row r="875" spans="1:9" x14ac:dyDescent="0.35">
      <c r="A875" s="1" t="s">
        <v>887</v>
      </c>
      <c r="B875" t="str">
        <f>HYPERLINK("https://www.suredividend.com/sure-analysis-research-database/","Kennedy-Wilson Holdings Inc")</f>
        <v>Kennedy-Wilson Holdings Inc</v>
      </c>
      <c r="C875">
        <v>-0.162436860152149</v>
      </c>
      <c r="D875">
        <v>-0.18221635567288599</v>
      </c>
      <c r="E875">
        <v>-0.13037375425880701</v>
      </c>
      <c r="F875">
        <v>-9.2724489116687001E-2</v>
      </c>
      <c r="G875">
        <v>-2.7040146193820998E-2</v>
      </c>
      <c r="H875">
        <v>-0.32868055931794299</v>
      </c>
      <c r="I875">
        <v>-9.276676184961001E-2</v>
      </c>
    </row>
    <row r="876" spans="1:9" x14ac:dyDescent="0.35">
      <c r="A876" s="1" t="s">
        <v>888</v>
      </c>
      <c r="B876" t="str">
        <f>HYPERLINK("https://www.suredividend.com/sure-analysis-KWR/","Quaker Houghton")</f>
        <v>Quaker Houghton</v>
      </c>
      <c r="C876">
        <v>-0.143735111336668</v>
      </c>
      <c r="D876">
        <v>-0.26423239710716001</v>
      </c>
      <c r="E876">
        <v>-0.26459168735281002</v>
      </c>
      <c r="F876">
        <v>-0.12609521734921</v>
      </c>
      <c r="G876">
        <v>8.7332138278081006E-2</v>
      </c>
      <c r="H876">
        <v>-0.37435833012047098</v>
      </c>
      <c r="I876">
        <v>-0.20615595345932899</v>
      </c>
    </row>
    <row r="877" spans="1:9" x14ac:dyDescent="0.35">
      <c r="A877" s="1" t="s">
        <v>889</v>
      </c>
      <c r="B877" t="str">
        <f>HYPERLINK("https://www.suredividend.com/sure-analysis-research-database/","Kymera Therapeutics Inc")</f>
        <v>Kymera Therapeutics Inc</v>
      </c>
      <c r="C877">
        <v>-0.338057742782152</v>
      </c>
      <c r="D877">
        <v>-0.43044263775970998</v>
      </c>
      <c r="E877">
        <v>-0.61625076080340802</v>
      </c>
      <c r="F877">
        <v>-0.49479166666666602</v>
      </c>
      <c r="G877">
        <v>-0.42681818181818099</v>
      </c>
      <c r="H877">
        <v>-0.7795454545454541</v>
      </c>
      <c r="I877">
        <v>-0.62086590499098004</v>
      </c>
    </row>
    <row r="878" spans="1:9" x14ac:dyDescent="0.35">
      <c r="A878" s="1" t="s">
        <v>890</v>
      </c>
      <c r="B878" t="str">
        <f>HYPERLINK("https://www.suredividend.com/sure-analysis-research-database/","Kezar Life Sciences Inc")</f>
        <v>Kezar Life Sciences Inc</v>
      </c>
      <c r="C878">
        <v>-0.25844961240309999</v>
      </c>
      <c r="D878">
        <v>-0.60633744855967009</v>
      </c>
      <c r="E878">
        <v>-0.59806722689075609</v>
      </c>
      <c r="F878">
        <v>-0.86411931818181809</v>
      </c>
      <c r="G878">
        <v>-0.88543712574850308</v>
      </c>
      <c r="H878">
        <v>-0.89054919908466812</v>
      </c>
      <c r="I878">
        <v>-0.9592589437819421</v>
      </c>
    </row>
    <row r="879" spans="1:9" x14ac:dyDescent="0.35">
      <c r="A879" s="1" t="s">
        <v>891</v>
      </c>
      <c r="B879" t="str">
        <f>HYPERLINK("https://www.suredividend.com/sure-analysis-LADR/","Ladder Capital Corp")</f>
        <v>Ladder Capital Corp</v>
      </c>
      <c r="C879">
        <v>-7.1917036146389002E-2</v>
      </c>
      <c r="D879">
        <v>-9.5991435708338013E-2</v>
      </c>
      <c r="E879">
        <v>0.14489663483823101</v>
      </c>
      <c r="F879">
        <v>5.4125278735049007E-2</v>
      </c>
      <c r="G879">
        <v>0.145016051085331</v>
      </c>
      <c r="H879">
        <v>-2.5737106794200999E-2</v>
      </c>
      <c r="I879">
        <v>-0.13277039481768799</v>
      </c>
    </row>
    <row r="880" spans="1:9" x14ac:dyDescent="0.35">
      <c r="A880" s="1" t="s">
        <v>892</v>
      </c>
      <c r="B880" t="str">
        <f>HYPERLINK("https://www.suredividend.com/sure-analysis-LANC/","Lancaster Colony Corp.")</f>
        <v>Lancaster Colony Corp.</v>
      </c>
      <c r="C880">
        <v>2.6144927536230999E-2</v>
      </c>
      <c r="D880">
        <v>-4.4860940688675001E-2</v>
      </c>
      <c r="E880">
        <v>-8.9294515804735006E-2</v>
      </c>
      <c r="F880">
        <v>-8.1636358919816007E-2</v>
      </c>
      <c r="G880">
        <v>0.102727944973869</v>
      </c>
      <c r="H880">
        <v>7.7421443979684007E-2</v>
      </c>
      <c r="I880">
        <v>0.33215728803150602</v>
      </c>
    </row>
    <row r="881" spans="1:9" x14ac:dyDescent="0.35">
      <c r="A881" s="1" t="s">
        <v>893</v>
      </c>
      <c r="B881" t="str">
        <f>HYPERLINK("https://www.suredividend.com/sure-analysis-LAND/","Gladstone Land Corp")</f>
        <v>Gladstone Land Corp</v>
      </c>
      <c r="C881">
        <v>-7.184644711759601E-2</v>
      </c>
      <c r="D881">
        <v>-0.13976922420830701</v>
      </c>
      <c r="E881">
        <v>-0.120649175141524</v>
      </c>
      <c r="F881">
        <v>-0.20429186484232301</v>
      </c>
      <c r="G881">
        <v>-0.20342549602558899</v>
      </c>
      <c r="H881">
        <v>-0.34897574335259002</v>
      </c>
      <c r="I881">
        <v>0.40790300226341297</v>
      </c>
    </row>
    <row r="882" spans="1:9" x14ac:dyDescent="0.35">
      <c r="A882" s="1" t="s">
        <v>894</v>
      </c>
      <c r="B882" t="str">
        <f>HYPERLINK("https://www.suredividend.com/sure-analysis-research-database/","nLIGHT Inc")</f>
        <v>nLIGHT Inc</v>
      </c>
      <c r="C882">
        <v>-0.12793979303857</v>
      </c>
      <c r="D882">
        <v>-0.37322515212981711</v>
      </c>
      <c r="E882">
        <v>8.7051142546240006E-3</v>
      </c>
      <c r="F882">
        <v>-8.5798816568047012E-2</v>
      </c>
      <c r="G882">
        <v>-3.5379812695109002E-2</v>
      </c>
      <c r="H882">
        <v>-0.64766248574686403</v>
      </c>
      <c r="I882">
        <v>-0.51081794195250607</v>
      </c>
    </row>
    <row r="883" spans="1:9" x14ac:dyDescent="0.35">
      <c r="A883" s="1" t="s">
        <v>895</v>
      </c>
      <c r="B883" t="str">
        <f>HYPERLINK("https://www.suredividend.com/sure-analysis-research-database/","Laureate Education Inc")</f>
        <v>Laureate Education Inc</v>
      </c>
      <c r="C883">
        <v>1.9410496046009001E-2</v>
      </c>
      <c r="D883">
        <v>0.140788415124698</v>
      </c>
      <c r="E883">
        <v>0.177740863787375</v>
      </c>
      <c r="F883">
        <v>0.47401247401247398</v>
      </c>
      <c r="G883">
        <v>0.44565538756410111</v>
      </c>
      <c r="H883">
        <v>0.41220993924907801</v>
      </c>
      <c r="I883">
        <v>0.41220993924907801</v>
      </c>
    </row>
    <row r="884" spans="1:9" x14ac:dyDescent="0.35">
      <c r="A884" s="1" t="s">
        <v>896</v>
      </c>
      <c r="B884" t="str">
        <f>HYPERLINK("https://www.suredividend.com/sure-analysis-research-database/","CS Disco Inc")</f>
        <v>CS Disco Inc</v>
      </c>
      <c r="C884">
        <v>-0.12068965517241299</v>
      </c>
      <c r="D884">
        <v>-0.37735849056603699</v>
      </c>
      <c r="E884">
        <v>-9.3699515347334006E-2</v>
      </c>
      <c r="F884">
        <v>-0.112341772151898</v>
      </c>
      <c r="G884">
        <v>-0.39219934994582811</v>
      </c>
      <c r="H884">
        <v>-0.88375466224616606</v>
      </c>
      <c r="I884">
        <v>-0.86317073170731706</v>
      </c>
    </row>
    <row r="885" spans="1:9" x14ac:dyDescent="0.35">
      <c r="A885" s="1" t="s">
        <v>897</v>
      </c>
      <c r="B885" t="str">
        <f>HYPERLINK("https://www.suredividend.com/sure-analysis-research-database/","Luminar Technologies Inc")</f>
        <v>Luminar Technologies Inc</v>
      </c>
      <c r="C885">
        <v>-0.19373776908023399</v>
      </c>
      <c r="D885">
        <v>-0.41058655221745299</v>
      </c>
      <c r="E885">
        <v>-0.28965517241379302</v>
      </c>
      <c r="F885">
        <v>-0.16767676767676701</v>
      </c>
      <c r="G885">
        <v>-0.40029112081513801</v>
      </c>
      <c r="H885">
        <v>-0.73504823151125409</v>
      </c>
      <c r="I885">
        <v>-0.57959183673469306</v>
      </c>
    </row>
    <row r="886" spans="1:9" x14ac:dyDescent="0.35">
      <c r="A886" s="1" t="s">
        <v>898</v>
      </c>
      <c r="B886" t="str">
        <f>HYPERLINK("https://www.suredividend.com/sure-analysis-research-database/","Lakeland Bancorp, Inc.")</f>
        <v>Lakeland Bancorp, Inc.</v>
      </c>
      <c r="C886">
        <v>-0.107142857142857</v>
      </c>
      <c r="D886">
        <v>-0.14362969819324001</v>
      </c>
      <c r="E886">
        <v>-0.16838298263866699</v>
      </c>
      <c r="F886">
        <v>-0.29830218989435697</v>
      </c>
      <c r="G886">
        <v>-0.268537136525209</v>
      </c>
      <c r="H886">
        <v>-0.281754109283404</v>
      </c>
      <c r="I886">
        <v>-0.16109778387022999</v>
      </c>
    </row>
    <row r="887" spans="1:9" x14ac:dyDescent="0.35">
      <c r="A887" s="1" t="s">
        <v>899</v>
      </c>
      <c r="B887" t="str">
        <f>HYPERLINK("https://www.suredividend.com/sure-analysis-research-database/","Luther Burbank Corp")</f>
        <v>Luther Burbank Corp</v>
      </c>
      <c r="C887">
        <v>-3.6004645760743012E-2</v>
      </c>
      <c r="D887">
        <v>-7.0548712206045999E-2</v>
      </c>
      <c r="E887">
        <v>-9.2896174863387013E-2</v>
      </c>
      <c r="F887">
        <v>-0.252925292529252</v>
      </c>
      <c r="G887">
        <v>-0.28613817956635001</v>
      </c>
      <c r="H887">
        <v>-0.34251697177575802</v>
      </c>
      <c r="I887">
        <v>-6.9089277703005006E-2</v>
      </c>
    </row>
    <row r="888" spans="1:9" x14ac:dyDescent="0.35">
      <c r="A888" s="1" t="s">
        <v>900</v>
      </c>
      <c r="B888" t="str">
        <f>HYPERLINK("https://www.suredividend.com/sure-analysis-research-database/","Liberty Energy Inc")</f>
        <v>Liberty Energy Inc</v>
      </c>
      <c r="C888">
        <v>3.8503850385038001E-2</v>
      </c>
      <c r="D888">
        <v>0.26165257776738199</v>
      </c>
      <c r="E888">
        <v>0.40902882986424599</v>
      </c>
      <c r="F888">
        <v>0.18645878501090199</v>
      </c>
      <c r="G888">
        <v>0.34659962198209698</v>
      </c>
      <c r="H888">
        <v>0.25193127639963597</v>
      </c>
      <c r="I888">
        <v>-4.1006130855932001E-2</v>
      </c>
    </row>
    <row r="889" spans="1:9" x14ac:dyDescent="0.35">
      <c r="A889" s="1" t="s">
        <v>901</v>
      </c>
      <c r="B889" t="str">
        <f>HYPERLINK("https://www.suredividend.com/sure-analysis-research-database/","LendingClub Corp")</f>
        <v>LendingClub Corp</v>
      </c>
      <c r="C889">
        <v>-0.20588235294117599</v>
      </c>
      <c r="D889">
        <v>-0.45344129554655799</v>
      </c>
      <c r="E889">
        <v>-0.248956884561891</v>
      </c>
      <c r="F889">
        <v>-0.38636363636363602</v>
      </c>
      <c r="G889">
        <v>-0.50684931506849307</v>
      </c>
      <c r="H889">
        <v>-0.84210526315789402</v>
      </c>
      <c r="I889">
        <v>-0.68328445747800504</v>
      </c>
    </row>
    <row r="890" spans="1:9" x14ac:dyDescent="0.35">
      <c r="A890" s="1" t="s">
        <v>902</v>
      </c>
      <c r="B890" t="str">
        <f>HYPERLINK("https://www.suredividend.com/sure-analysis-research-database/","LCI Industries")</f>
        <v>LCI Industries</v>
      </c>
      <c r="C890">
        <v>-6.2264939406602007E-2</v>
      </c>
      <c r="D890">
        <v>-0.1328092574544</v>
      </c>
      <c r="E890">
        <v>2.7559098385578001E-2</v>
      </c>
      <c r="F890">
        <v>0.24731527060738201</v>
      </c>
      <c r="G890">
        <v>0.20554680465628999</v>
      </c>
      <c r="H890">
        <v>-0.15435698345117299</v>
      </c>
      <c r="I890">
        <v>0.66882830999155107</v>
      </c>
    </row>
    <row r="891" spans="1:9" x14ac:dyDescent="0.35">
      <c r="A891" s="1" t="s">
        <v>903</v>
      </c>
      <c r="B891" t="str">
        <f>HYPERLINK("https://www.suredividend.com/sure-analysis-research-database/","Lifetime Brands, Inc.")</f>
        <v>Lifetime Brands, Inc.</v>
      </c>
      <c r="C891">
        <v>-0.115523465703971</v>
      </c>
      <c r="D891">
        <v>-0.14943845579683701</v>
      </c>
      <c r="E891">
        <v>-1.6064257028112001E-2</v>
      </c>
      <c r="F891">
        <v>-0.33530481022274</v>
      </c>
      <c r="G891">
        <v>-0.25987463182539</v>
      </c>
      <c r="H891">
        <v>-0.72417054141382309</v>
      </c>
      <c r="I891">
        <v>-0.44464593344818198</v>
      </c>
    </row>
    <row r="892" spans="1:9" x14ac:dyDescent="0.35">
      <c r="A892" s="1" t="s">
        <v>904</v>
      </c>
      <c r="B892" t="str">
        <f>HYPERLINK("https://www.suredividend.com/sure-analysis-research-database/","Lands` End, Inc.")</f>
        <v>Lands` End, Inc.</v>
      </c>
      <c r="C892">
        <v>-4.2075736325385013E-2</v>
      </c>
      <c r="D892">
        <v>-0.207656612529002</v>
      </c>
      <c r="E892">
        <v>-0.148379052369077</v>
      </c>
      <c r="F892">
        <v>-0.100131752305665</v>
      </c>
      <c r="G892">
        <v>-0.15470297029702901</v>
      </c>
      <c r="H892">
        <v>-0.69024943310657605</v>
      </c>
      <c r="I892">
        <v>-0.527988942639944</v>
      </c>
    </row>
    <row r="893" spans="1:9" x14ac:dyDescent="0.35">
      <c r="A893" s="1" t="s">
        <v>905</v>
      </c>
      <c r="B893" t="str">
        <f>HYPERLINK("https://www.suredividend.com/sure-analysis-research-database/","Legacy Housing Corp")</f>
        <v>Legacy Housing Corp</v>
      </c>
      <c r="C893">
        <v>-0.110374230222643</v>
      </c>
      <c r="D893">
        <v>-0.21323837452869701</v>
      </c>
      <c r="E893">
        <v>-0.136154553817847</v>
      </c>
      <c r="F893">
        <v>-9.4936708860750008E-3</v>
      </c>
      <c r="G893">
        <v>0.12928442573662</v>
      </c>
      <c r="H893">
        <v>0.11190053285968</v>
      </c>
      <c r="I893">
        <v>0.56109725685785505</v>
      </c>
    </row>
    <row r="894" spans="1:9" x14ac:dyDescent="0.35">
      <c r="A894" s="1" t="s">
        <v>906</v>
      </c>
      <c r="B894" t="str">
        <f>HYPERLINK("https://www.suredividend.com/sure-analysis-research-database/","Centrus Energy Corp")</f>
        <v>Centrus Energy Corp</v>
      </c>
      <c r="C894">
        <v>-6.5826593943950004E-3</v>
      </c>
      <c r="D894">
        <v>0.67416798732171102</v>
      </c>
      <c r="E894">
        <v>0.67363751584283904</v>
      </c>
      <c r="F894">
        <v>0.62623152709359609</v>
      </c>
      <c r="G894">
        <v>0.40217679851340499</v>
      </c>
      <c r="H894">
        <v>6.8149646107178011E-2</v>
      </c>
      <c r="I894">
        <v>22.90045248868778</v>
      </c>
    </row>
    <row r="895" spans="1:9" x14ac:dyDescent="0.35">
      <c r="A895" s="1" t="s">
        <v>907</v>
      </c>
      <c r="B895" t="str">
        <f>HYPERLINK("https://www.suredividend.com/sure-analysis-research-database/","Lifecore Biomedical Inc")</f>
        <v>Lifecore Biomedical Inc</v>
      </c>
      <c r="C895">
        <v>-0.116770186335403</v>
      </c>
      <c r="D895">
        <v>-0.278904665314401</v>
      </c>
      <c r="E895">
        <v>0.85639686684073102</v>
      </c>
      <c r="F895">
        <v>9.7222222222222002E-2</v>
      </c>
      <c r="G895">
        <v>-0.13080684596577</v>
      </c>
      <c r="H895">
        <v>-0.27522935779816499</v>
      </c>
      <c r="I895">
        <v>-0.45433614735226302</v>
      </c>
    </row>
    <row r="896" spans="1:9" x14ac:dyDescent="0.35">
      <c r="A896" s="1" t="s">
        <v>908</v>
      </c>
      <c r="B896" t="str">
        <f>HYPERLINK("https://www.suredividend.com/sure-analysis-research-database/","LifeStance Health Group Inc")</f>
        <v>LifeStance Health Group Inc</v>
      </c>
      <c r="C896">
        <v>-0.121255349500713</v>
      </c>
      <c r="D896">
        <v>-0.33976420150053499</v>
      </c>
      <c r="E896">
        <v>-0.17426273458444999</v>
      </c>
      <c r="F896">
        <v>0.24696356275303599</v>
      </c>
      <c r="G896">
        <v>-0.226130653266331</v>
      </c>
      <c r="H896">
        <v>-0.46434782608695602</v>
      </c>
      <c r="I896">
        <v>-0.71872146118721403</v>
      </c>
    </row>
    <row r="897" spans="1:9" x14ac:dyDescent="0.35">
      <c r="A897" s="1" t="s">
        <v>909</v>
      </c>
      <c r="B897" t="str">
        <f>HYPERLINK("https://www.suredividend.com/sure-analysis-research-database/","LGI Homes Inc")</f>
        <v>LGI Homes Inc</v>
      </c>
      <c r="C897">
        <v>-0.16881271645502099</v>
      </c>
      <c r="D897">
        <v>-0.32065611844970199</v>
      </c>
      <c r="E897">
        <v>-0.143798024149286</v>
      </c>
      <c r="F897">
        <v>1.0799136069114E-2</v>
      </c>
      <c r="G897">
        <v>0.175879396984924</v>
      </c>
      <c r="H897">
        <v>-0.324724045884135</v>
      </c>
      <c r="I897">
        <v>1.413615265600825</v>
      </c>
    </row>
    <row r="898" spans="1:9" x14ac:dyDescent="0.35">
      <c r="A898" s="1" t="s">
        <v>910</v>
      </c>
      <c r="B898" t="str">
        <f>HYPERLINK("https://www.suredividend.com/sure-analysis-research-database/","Ligand Pharmaceuticals, Inc.")</f>
        <v>Ligand Pharmaceuticals, Inc.</v>
      </c>
      <c r="C898">
        <v>-0.112778315585672</v>
      </c>
      <c r="D898">
        <v>-0.189535740604274</v>
      </c>
      <c r="E898">
        <v>-0.260290556900726</v>
      </c>
      <c r="F898">
        <v>-0.176796407185628</v>
      </c>
      <c r="G898">
        <v>-0.38551793496480002</v>
      </c>
      <c r="H898">
        <v>-0.57784431137724501</v>
      </c>
      <c r="I898">
        <v>-0.72514619883040909</v>
      </c>
    </row>
    <row r="899" spans="1:9" x14ac:dyDescent="0.35">
      <c r="A899" s="1" t="s">
        <v>911</v>
      </c>
      <c r="B899" t="str">
        <f>HYPERLINK("https://www.suredividend.com/sure-analysis-research-database/","Li-Cycle Holdings Corp")</f>
        <v>Li-Cycle Holdings Corp</v>
      </c>
      <c r="C899">
        <v>-0.35862068965517202</v>
      </c>
      <c r="D899">
        <v>-0.50793650793650702</v>
      </c>
      <c r="E899">
        <v>-0.50444049733570107</v>
      </c>
      <c r="F899">
        <v>-0.41386554621848698</v>
      </c>
      <c r="G899">
        <v>-0.48807339449541198</v>
      </c>
      <c r="H899">
        <v>-0.75022381378692904</v>
      </c>
      <c r="I899">
        <v>-0.7128004529311851</v>
      </c>
    </row>
    <row r="900" spans="1:9" x14ac:dyDescent="0.35">
      <c r="A900" s="1" t="s">
        <v>912</v>
      </c>
      <c r="B900" t="str">
        <f>HYPERLINK("https://www.suredividend.com/sure-analysis-research-database/","AEye Inc")</f>
        <v>AEye Inc</v>
      </c>
      <c r="C900">
        <v>-8.1818181818181013E-2</v>
      </c>
      <c r="D900">
        <v>2.9791459781519998E-3</v>
      </c>
      <c r="E900">
        <v>-0.14767932489451399</v>
      </c>
      <c r="F900">
        <v>-0.57969205160216408</v>
      </c>
      <c r="G900">
        <v>-0.77455357142857106</v>
      </c>
      <c r="H900">
        <v>-0.95324074074074006</v>
      </c>
      <c r="I900">
        <v>-0.98108614232209712</v>
      </c>
    </row>
    <row r="901" spans="1:9" x14ac:dyDescent="0.35">
      <c r="A901" s="1" t="s">
        <v>913</v>
      </c>
      <c r="B901" t="str">
        <f>HYPERLINK("https://www.suredividend.com/sure-analysis-research-database/","Liberty Latin America Ltd")</f>
        <v>Liberty Latin America Ltd</v>
      </c>
      <c r="C901">
        <v>-0.121605667060212</v>
      </c>
      <c r="D901">
        <v>-0.100362756952841</v>
      </c>
      <c r="E901">
        <v>-0.14776632302405501</v>
      </c>
      <c r="F901">
        <v>-1.1952191235058999E-2</v>
      </c>
      <c r="G901">
        <v>4.9365303244005003E-2</v>
      </c>
      <c r="H901">
        <v>-0.41692789968652011</v>
      </c>
      <c r="I901">
        <v>-0.60228153549263108</v>
      </c>
    </row>
    <row r="902" spans="1:9" x14ac:dyDescent="0.35">
      <c r="A902" s="1" t="s">
        <v>914</v>
      </c>
      <c r="B902" t="str">
        <f>HYPERLINK("https://www.suredividend.com/sure-analysis-research-database/","Liberty Latin America Ltd")</f>
        <v>Liberty Latin America Ltd</v>
      </c>
      <c r="C902">
        <v>-0.12382075471698099</v>
      </c>
      <c r="D902">
        <v>-9.0575275397796001E-2</v>
      </c>
      <c r="E902">
        <v>-0.14597701149425199</v>
      </c>
      <c r="F902">
        <v>-2.2368421052631E-2</v>
      </c>
      <c r="G902">
        <v>4.7954866008462001E-2</v>
      </c>
      <c r="H902">
        <v>-0.41862284820031298</v>
      </c>
      <c r="I902">
        <v>-0.59648074729810407</v>
      </c>
    </row>
    <row r="903" spans="1:9" x14ac:dyDescent="0.35">
      <c r="A903" s="1" t="s">
        <v>915</v>
      </c>
      <c r="B903" t="str">
        <f>HYPERLINK("https://www.suredividend.com/sure-analysis-research-database/","Lindblad Expeditions Holdings Inc")</f>
        <v>Lindblad Expeditions Holdings Inc</v>
      </c>
      <c r="C903">
        <v>-0.16202531645569601</v>
      </c>
      <c r="D903">
        <v>-0.35790494665373401</v>
      </c>
      <c r="E903">
        <v>-0.244292237442922</v>
      </c>
      <c r="F903">
        <v>-0.14025974025974</v>
      </c>
      <c r="G903">
        <v>8.169934640522801E-2</v>
      </c>
      <c r="H903">
        <v>-0.56042496679946807</v>
      </c>
      <c r="I903">
        <v>-0.50744047619047605</v>
      </c>
    </row>
    <row r="904" spans="1:9" x14ac:dyDescent="0.35">
      <c r="A904" s="1" t="s">
        <v>916</v>
      </c>
      <c r="B904" t="str">
        <f>HYPERLINK("https://www.suredividend.com/sure-analysis-research-database/","LivaNova PLC")</f>
        <v>LivaNova PLC</v>
      </c>
      <c r="C904">
        <v>-0.17058823529411701</v>
      </c>
      <c r="D904">
        <v>-8.8593155893536002E-2</v>
      </c>
      <c r="E904">
        <v>0.125616341864287</v>
      </c>
      <c r="F904">
        <v>-0.136838314728123</v>
      </c>
      <c r="G904">
        <v>9.2525068368277008E-2</v>
      </c>
      <c r="H904">
        <v>-0.42853737036595502</v>
      </c>
      <c r="I904">
        <v>-0.57668874172185403</v>
      </c>
    </row>
    <row r="905" spans="1:9" x14ac:dyDescent="0.35">
      <c r="A905" s="1" t="s">
        <v>917</v>
      </c>
      <c r="B905" t="str">
        <f>HYPERLINK("https://www.suredividend.com/sure-analysis-research-database/","Lakeland Financial Corp.")</f>
        <v>Lakeland Financial Corp.</v>
      </c>
      <c r="C905">
        <v>-7.5417855686910002E-3</v>
      </c>
      <c r="D905">
        <v>-3.3617948626343999E-2</v>
      </c>
      <c r="E905">
        <v>-0.12358858883182899</v>
      </c>
      <c r="F905">
        <v>-0.30591193677512002</v>
      </c>
      <c r="G905">
        <v>-0.34175572364285201</v>
      </c>
      <c r="H905">
        <v>-0.309861929863602</v>
      </c>
      <c r="I905">
        <v>0.25525277784938999</v>
      </c>
    </row>
    <row r="906" spans="1:9" x14ac:dyDescent="0.35">
      <c r="A906" s="1" t="s">
        <v>918</v>
      </c>
      <c r="B906" t="str">
        <f>HYPERLINK("https://www.suredividend.com/sure-analysis-research-database/","LL Flooring Holdings Inc")</f>
        <v>LL Flooring Holdings Inc</v>
      </c>
      <c r="C906">
        <v>0.30564784053156102</v>
      </c>
      <c r="D906">
        <v>2.6109660574412E-2</v>
      </c>
      <c r="E906">
        <v>0.15929203539823</v>
      </c>
      <c r="F906">
        <v>-0.30071174377224202</v>
      </c>
      <c r="G906">
        <v>-0.44803370786516811</v>
      </c>
      <c r="H906">
        <v>-0.78394722374931203</v>
      </c>
      <c r="I906">
        <v>-0.70091324200913208</v>
      </c>
    </row>
    <row r="907" spans="1:9" x14ac:dyDescent="0.35">
      <c r="A907" s="1" t="s">
        <v>919</v>
      </c>
      <c r="B907" t="str">
        <f>HYPERLINK("https://www.suredividend.com/sure-analysis-research-database/","Terran Orbital Corp")</f>
        <v>Terran Orbital Corp</v>
      </c>
      <c r="C907">
        <v>-0.51178082191780805</v>
      </c>
      <c r="D907">
        <v>-0.56269938650306706</v>
      </c>
      <c r="E907">
        <v>-0.59955056179775201</v>
      </c>
      <c r="F907">
        <v>-0.54886075949367108</v>
      </c>
      <c r="G907">
        <v>-0.64886699507389101</v>
      </c>
      <c r="H907">
        <v>-0.92674203494347307</v>
      </c>
      <c r="I907">
        <v>-0.9274872838250251</v>
      </c>
    </row>
    <row r="908" spans="1:9" x14ac:dyDescent="0.35">
      <c r="A908" s="1" t="s">
        <v>920</v>
      </c>
      <c r="B908" t="str">
        <f>HYPERLINK("https://www.suredividend.com/sure-analysis-research-database/","Lemaitre Vascular Inc")</f>
        <v>Lemaitre Vascular Inc</v>
      </c>
      <c r="C908">
        <v>-0.18062368605466</v>
      </c>
      <c r="D908">
        <v>-0.29026354485816602</v>
      </c>
      <c r="E908">
        <v>-0.104604480997972</v>
      </c>
      <c r="F908">
        <v>2.6157471400550001E-2</v>
      </c>
      <c r="G908">
        <v>9.1834180612970009E-3</v>
      </c>
      <c r="H908">
        <v>-0.10739334810514301</v>
      </c>
      <c r="I908">
        <v>0.75637563981718903</v>
      </c>
    </row>
    <row r="909" spans="1:9" x14ac:dyDescent="0.35">
      <c r="A909" s="1" t="s">
        <v>921</v>
      </c>
      <c r="B909" t="str">
        <f>HYPERLINK("https://www.suredividend.com/sure-analysis-research-database/","Lemonade Inc")</f>
        <v>Lemonade Inc</v>
      </c>
      <c r="C909">
        <v>-2.7195027195027002E-2</v>
      </c>
      <c r="D909">
        <v>-0.33012306046013901</v>
      </c>
      <c r="E909">
        <v>-3.5439137134052001E-2</v>
      </c>
      <c r="F909">
        <v>-8.4795321637426008E-2</v>
      </c>
      <c r="G909">
        <v>-0.38567222767419002</v>
      </c>
      <c r="H909">
        <v>-0.8087089381207021</v>
      </c>
      <c r="I909">
        <v>-0.81962253277625707</v>
      </c>
    </row>
    <row r="910" spans="1:9" x14ac:dyDescent="0.35">
      <c r="A910" s="1" t="s">
        <v>922</v>
      </c>
      <c r="B910" t="str">
        <f>HYPERLINK("https://www.suredividend.com/sure-analysis-LNN/","Lindsay Corporation")</f>
        <v>Lindsay Corporation</v>
      </c>
      <c r="C910">
        <v>-2.7673176285138001E-2</v>
      </c>
      <c r="D910">
        <v>-0.106389040690164</v>
      </c>
      <c r="E910">
        <v>-0.12957242979664099</v>
      </c>
      <c r="F910">
        <v>-0.31285237744536698</v>
      </c>
      <c r="G910">
        <v>-0.24618765670477399</v>
      </c>
      <c r="H910">
        <v>-0.29755634638196898</v>
      </c>
      <c r="I910">
        <v>0.23676131832095401</v>
      </c>
    </row>
    <row r="911" spans="1:9" x14ac:dyDescent="0.35">
      <c r="A911" s="1" t="s">
        <v>923</v>
      </c>
      <c r="B911" t="str">
        <f>HYPERLINK("https://www.suredividend.com/sure-analysis-research-database/","Lantheus Holdings Inc")</f>
        <v>Lantheus Holdings Inc</v>
      </c>
      <c r="C911">
        <v>4.1043048912204012E-2</v>
      </c>
      <c r="D911">
        <v>-0.21628528284353499</v>
      </c>
      <c r="E911">
        <v>-0.23908875606180199</v>
      </c>
      <c r="F911">
        <v>0.32397959183673403</v>
      </c>
      <c r="G911">
        <v>-1.9901220220801E-2</v>
      </c>
      <c r="H911">
        <v>1.9006878761822861</v>
      </c>
      <c r="I911">
        <v>4.0200892857142856</v>
      </c>
    </row>
    <row r="912" spans="1:9" x14ac:dyDescent="0.35">
      <c r="A912" s="1" t="s">
        <v>924</v>
      </c>
      <c r="B912" t="str">
        <f>HYPERLINK("https://www.suredividend.com/sure-analysis-research-database/","Light &amp; Wonder Inc")</f>
        <v>Light &amp; Wonder Inc</v>
      </c>
      <c r="C912">
        <v>-2.4187356027642E-2</v>
      </c>
      <c r="D912">
        <v>0.10796280151118801</v>
      </c>
      <c r="E912">
        <v>0.24856721794661801</v>
      </c>
      <c r="F912">
        <v>0.30119453924914602</v>
      </c>
      <c r="G912">
        <v>0.65760869565217306</v>
      </c>
      <c r="H912">
        <v>-0.10188457008245</v>
      </c>
      <c r="I912">
        <v>2.3008658008657998</v>
      </c>
    </row>
    <row r="913" spans="1:9" x14ac:dyDescent="0.35">
      <c r="A913" s="1" t="s">
        <v>925</v>
      </c>
      <c r="B913" t="str">
        <f>HYPERLINK("https://www.suredividend.com/sure-analysis-research-database/","Live Oak Bancshares Inc")</f>
        <v>Live Oak Bancshares Inc</v>
      </c>
      <c r="C913">
        <v>-0.14294403892943999</v>
      </c>
      <c r="D913">
        <v>8.0847105959790007E-3</v>
      </c>
      <c r="E913">
        <v>0.217909931714063</v>
      </c>
      <c r="F913">
        <v>-6.3986394919351999E-2</v>
      </c>
      <c r="G913">
        <v>-0.14650028773056301</v>
      </c>
      <c r="H913">
        <v>-0.59855433975864802</v>
      </c>
      <c r="I913">
        <v>0.18376005544937099</v>
      </c>
    </row>
    <row r="914" spans="1:9" x14ac:dyDescent="0.35">
      <c r="A914" s="1" t="s">
        <v>926</v>
      </c>
      <c r="B914" t="str">
        <f>HYPERLINK("https://www.suredividend.com/sure-analysis-research-database/","Local Bounti Corp")</f>
        <v>Local Bounti Corp</v>
      </c>
      <c r="C914">
        <v>-0.44483985765124501</v>
      </c>
      <c r="D914">
        <v>-0.46391752577319512</v>
      </c>
      <c r="E914">
        <v>-0.75313721456490401</v>
      </c>
      <c r="F914">
        <v>-0.91366906474820109</v>
      </c>
      <c r="G914">
        <v>-0.95847750865051906</v>
      </c>
      <c r="H914">
        <v>-0.84337349397590311</v>
      </c>
      <c r="I914">
        <v>-0.84</v>
      </c>
    </row>
    <row r="915" spans="1:9" x14ac:dyDescent="0.35">
      <c r="A915" s="1" t="s">
        <v>927</v>
      </c>
      <c r="B915" t="str">
        <f>HYPERLINK("https://www.suredividend.com/sure-analysis-research-database/","El Pollo Loco Holdings Inc")</f>
        <v>El Pollo Loco Holdings Inc</v>
      </c>
      <c r="C915">
        <v>-9.481808158765101E-2</v>
      </c>
      <c r="D915">
        <v>-0.175702811244979</v>
      </c>
      <c r="E915">
        <v>-0.100766703176341</v>
      </c>
      <c r="F915">
        <v>-0.175702811244979</v>
      </c>
      <c r="G915">
        <v>-0.13349094439988099</v>
      </c>
      <c r="H915">
        <v>-0.38404057379508999</v>
      </c>
      <c r="I915">
        <v>-0.25121984586620399</v>
      </c>
    </row>
    <row r="916" spans="1:9" x14ac:dyDescent="0.35">
      <c r="A916" s="1" t="s">
        <v>928</v>
      </c>
      <c r="B916" t="str">
        <f>HYPERLINK("https://www.suredividend.com/sure-analysis-research-database/","Lovesac Company")</f>
        <v>Lovesac Company</v>
      </c>
      <c r="C916">
        <v>-0.20943396226415001</v>
      </c>
      <c r="D916">
        <v>-0.40902679830747501</v>
      </c>
      <c r="E916">
        <v>-0.41172341172341098</v>
      </c>
      <c r="F916">
        <v>-0.23852794184461601</v>
      </c>
      <c r="G916">
        <v>-0.18561710398445</v>
      </c>
      <c r="H916">
        <v>-0.76516743729858405</v>
      </c>
      <c r="I916">
        <v>-0.20152453549309099</v>
      </c>
    </row>
    <row r="917" spans="1:9" x14ac:dyDescent="0.35">
      <c r="A917" s="1" t="s">
        <v>929</v>
      </c>
      <c r="B917" t="str">
        <f>HYPERLINK("https://www.suredividend.com/sure-analysis-research-database/","Dorian LPG Ltd")</f>
        <v>Dorian LPG Ltd</v>
      </c>
      <c r="C917">
        <v>0.11766862170087899</v>
      </c>
      <c r="D917">
        <v>0.28840059159095699</v>
      </c>
      <c r="E917">
        <v>0.52892624146905209</v>
      </c>
      <c r="F917">
        <v>0.82580316775951301</v>
      </c>
      <c r="G917">
        <v>1.4382637067366131</v>
      </c>
      <c r="H917">
        <v>2.888584218648369</v>
      </c>
      <c r="I917">
        <v>5.8734642349917712</v>
      </c>
    </row>
    <row r="918" spans="1:9" x14ac:dyDescent="0.35">
      <c r="A918" s="1" t="s">
        <v>930</v>
      </c>
      <c r="B918" t="str">
        <f>HYPERLINK("https://www.suredividend.com/sure-analysis-research-database/","Open Lending Corp")</f>
        <v>Open Lending Corp</v>
      </c>
      <c r="C918">
        <v>-0.16709183673469299</v>
      </c>
      <c r="D918">
        <v>-0.39704524469067398</v>
      </c>
      <c r="E918">
        <v>-5.3623188405797002E-2</v>
      </c>
      <c r="F918">
        <v>-3.2592592592592E-2</v>
      </c>
      <c r="G918">
        <v>-6.7142857142857004E-2</v>
      </c>
      <c r="H918">
        <v>-0.81353512278697804</v>
      </c>
      <c r="I918">
        <v>-0.556687033265444</v>
      </c>
    </row>
    <row r="919" spans="1:9" x14ac:dyDescent="0.35">
      <c r="A919" s="1" t="s">
        <v>931</v>
      </c>
      <c r="B919" t="str">
        <f>HYPERLINK("https://www.suredividend.com/sure-analysis-research-database/","Liveperson Inc")</f>
        <v>Liveperson Inc</v>
      </c>
      <c r="C919">
        <v>-0.37303370786516798</v>
      </c>
      <c r="D919">
        <v>-0.41875000000000001</v>
      </c>
      <c r="E919">
        <v>-0.47358490566037698</v>
      </c>
      <c r="F919">
        <v>-0.72485207100591709</v>
      </c>
      <c r="G919">
        <v>-0.6508135168961201</v>
      </c>
      <c r="H919">
        <v>-0.95263961975895406</v>
      </c>
      <c r="I919">
        <v>-0.87023255813953404</v>
      </c>
    </row>
    <row r="920" spans="1:9" x14ac:dyDescent="0.35">
      <c r="A920" s="1" t="s">
        <v>932</v>
      </c>
      <c r="B920" t="str">
        <f>HYPERLINK("https://www.suredividend.com/sure-analysis-research-database/","Liquidia Corp")</f>
        <v>Liquidia Corp</v>
      </c>
      <c r="C920">
        <v>-4.4961240310077012E-2</v>
      </c>
      <c r="D920">
        <v>-0.215286624203821</v>
      </c>
      <c r="E920">
        <v>-8.8757396449704012E-2</v>
      </c>
      <c r="F920">
        <v>-3.2967032967032003E-2</v>
      </c>
      <c r="G920">
        <v>0.155722326454033</v>
      </c>
      <c r="H920">
        <v>0.92500000000000004</v>
      </c>
      <c r="I920">
        <v>0.81176470588235206</v>
      </c>
    </row>
    <row r="921" spans="1:9" x14ac:dyDescent="0.35">
      <c r="A921" s="1" t="s">
        <v>933</v>
      </c>
      <c r="B921" t="str">
        <f>HYPERLINK("https://www.suredividend.com/sure-analysis-research-database/","Liquidity Services Inc")</f>
        <v>Liquidity Services Inc</v>
      </c>
      <c r="C921">
        <v>9.6259625962596004E-2</v>
      </c>
      <c r="D921">
        <v>0.19987959060806701</v>
      </c>
      <c r="E921">
        <v>0.52720306513409909</v>
      </c>
      <c r="F921">
        <v>0.41749644381223311</v>
      </c>
      <c r="G921">
        <v>0.24097135740971301</v>
      </c>
      <c r="H921">
        <v>-2.6380068392769001E-2</v>
      </c>
      <c r="I921">
        <v>2.6703499079189679</v>
      </c>
    </row>
    <row r="922" spans="1:9" x14ac:dyDescent="0.35">
      <c r="A922" s="1" t="s">
        <v>934</v>
      </c>
      <c r="B922" t="str">
        <f>HYPERLINK("https://www.suredividend.com/sure-analysis-research-database/","Stride Inc")</f>
        <v>Stride Inc</v>
      </c>
      <c r="C922">
        <v>2.0950664564091E-2</v>
      </c>
      <c r="D922">
        <v>0.215013404825737</v>
      </c>
      <c r="E922">
        <v>0.18298094492299599</v>
      </c>
      <c r="F922">
        <v>0.44884910485933499</v>
      </c>
      <c r="G922">
        <v>1.6827462418666998E-2</v>
      </c>
      <c r="H922">
        <v>0.32166812481773099</v>
      </c>
      <c r="I922">
        <v>1.7089061566049011</v>
      </c>
    </row>
    <row r="923" spans="1:9" x14ac:dyDescent="0.35">
      <c r="A923" s="1" t="s">
        <v>935</v>
      </c>
      <c r="B923" t="str">
        <f>HYPERLINK("https://www.suredividend.com/sure-analysis-research-database/","Landsea Homes Corporation")</f>
        <v>Landsea Homes Corporation</v>
      </c>
      <c r="C923">
        <v>-0.21285563751317099</v>
      </c>
      <c r="D923">
        <v>-0.280346820809248</v>
      </c>
      <c r="E923">
        <v>0.20483870967741899</v>
      </c>
      <c r="F923">
        <v>0.43378119001919302</v>
      </c>
      <c r="G923">
        <v>0.63815789473684204</v>
      </c>
      <c r="H923">
        <v>-0.15402038505096199</v>
      </c>
      <c r="I923">
        <v>-0.22187499999999999</v>
      </c>
    </row>
    <row r="924" spans="1:9" x14ac:dyDescent="0.35">
      <c r="A924" s="1" t="s">
        <v>936</v>
      </c>
      <c r="B924" t="str">
        <f>HYPERLINK("https://www.suredividend.com/sure-analysis-LTC/","LTC Properties, Inc.")</f>
        <v>LTC Properties, Inc.</v>
      </c>
      <c r="C924">
        <v>2.0163377649836001E-2</v>
      </c>
      <c r="D924">
        <v>-3.8367128341687998E-2</v>
      </c>
      <c r="E924">
        <v>-2.9793621013133001E-2</v>
      </c>
      <c r="F924">
        <v>-4.3393584935816E-2</v>
      </c>
      <c r="G924">
        <v>-6.0912820632024002E-2</v>
      </c>
      <c r="H924">
        <v>6.8189630099680001E-2</v>
      </c>
      <c r="I924">
        <v>2.6439063120284999E-2</v>
      </c>
    </row>
    <row r="925" spans="1:9" x14ac:dyDescent="0.35">
      <c r="A925" s="1" t="s">
        <v>937</v>
      </c>
      <c r="B925" t="str">
        <f>HYPERLINK("https://www.suredividend.com/sure-analysis-research-database/","Latch Inc")</f>
        <v>Latch Inc</v>
      </c>
      <c r="C925">
        <v>-6.4415528551457005E-2</v>
      </c>
      <c r="D925">
        <v>0.24285714285714199</v>
      </c>
      <c r="E925">
        <v>0.24285714285714199</v>
      </c>
      <c r="F925">
        <v>0.24285714285714199</v>
      </c>
      <c r="G925">
        <v>0.24285714285714199</v>
      </c>
      <c r="H925">
        <v>0.24285714285714199</v>
      </c>
      <c r="I925">
        <v>0.24285714285714199</v>
      </c>
    </row>
    <row r="926" spans="1:9" x14ac:dyDescent="0.35">
      <c r="A926" s="1" t="s">
        <v>938</v>
      </c>
      <c r="B926" t="str">
        <f>HYPERLINK("https://www.suredividend.com/sure-analysis-research-database/","Life Time Group Holdings Inc")</f>
        <v>Life Time Group Holdings Inc</v>
      </c>
      <c r="C926">
        <v>-3.4620505992009998E-2</v>
      </c>
      <c r="D926">
        <v>-0.32808155699721903</v>
      </c>
      <c r="E926">
        <v>-0.17613636363636301</v>
      </c>
      <c r="F926">
        <v>0.212374581939799</v>
      </c>
      <c r="G926">
        <v>0.51515151515151503</v>
      </c>
      <c r="H926">
        <v>-0.14504716981131999</v>
      </c>
      <c r="I926">
        <v>-0.183098591549295</v>
      </c>
    </row>
    <row r="927" spans="1:9" x14ac:dyDescent="0.35">
      <c r="A927" s="1" t="s">
        <v>939</v>
      </c>
      <c r="B927" t="str">
        <f>HYPERLINK("https://www.suredividend.com/sure-analysis-research-database/","Livent Corp")</f>
        <v>Livent Corp</v>
      </c>
      <c r="C927">
        <v>-0.11496531219028699</v>
      </c>
      <c r="D927">
        <v>-0.36935028248587498</v>
      </c>
      <c r="E927">
        <v>-0.17885057471264301</v>
      </c>
      <c r="F927">
        <v>-0.101157523905385</v>
      </c>
      <c r="G927">
        <v>-0.33556547619047611</v>
      </c>
      <c r="H927">
        <v>-0.32603773584905599</v>
      </c>
      <c r="I927">
        <v>0.11624999999999901</v>
      </c>
    </row>
    <row r="928" spans="1:9" x14ac:dyDescent="0.35">
      <c r="A928" s="1" t="s">
        <v>940</v>
      </c>
      <c r="B928" t="str">
        <f>HYPERLINK("https://www.suredividend.com/sure-analysis-research-database/","Pulmonx Corp")</f>
        <v>Pulmonx Corp</v>
      </c>
      <c r="C928">
        <v>-0.22950819672131101</v>
      </c>
      <c r="D928">
        <v>-0.40727002967359011</v>
      </c>
      <c r="E928">
        <v>-0.26697247706422</v>
      </c>
      <c r="F928">
        <v>-5.2194543297745997E-2</v>
      </c>
      <c r="G928">
        <v>-0.42143374366401098</v>
      </c>
      <c r="H928">
        <v>-0.79929665913087111</v>
      </c>
      <c r="I928">
        <v>-0.79674383108623703</v>
      </c>
    </row>
    <row r="929" spans="1:9" x14ac:dyDescent="0.35">
      <c r="A929" s="1" t="s">
        <v>941</v>
      </c>
      <c r="B929" t="str">
        <f>HYPERLINK("https://www.suredividend.com/sure-analysis-research-database/","Lulus Fashion Lounge Holdings Inc")</f>
        <v>Lulus Fashion Lounge Holdings Inc</v>
      </c>
      <c r="C929">
        <v>6.862745098039201E-2</v>
      </c>
      <c r="D929">
        <v>-0.15175097276264499</v>
      </c>
      <c r="E929">
        <v>4.8076923076923003E-2</v>
      </c>
      <c r="F929">
        <v>-0.131474103585657</v>
      </c>
      <c r="G929">
        <v>-0.56136820925553299</v>
      </c>
      <c r="H929">
        <v>-0.83307810107197511</v>
      </c>
      <c r="I929">
        <v>-0.83307810107197511</v>
      </c>
    </row>
    <row r="930" spans="1:9" x14ac:dyDescent="0.35">
      <c r="A930" s="1" t="s">
        <v>942</v>
      </c>
      <c r="B930" t="str">
        <f>HYPERLINK("https://www.suredividend.com/sure-analysis-research-database/","LiveVox Holdings Inc")</f>
        <v>LiveVox Holdings Inc</v>
      </c>
      <c r="C930">
        <v>9.6969696969697011E-2</v>
      </c>
      <c r="D930">
        <v>0.39230769230769202</v>
      </c>
      <c r="E930">
        <v>0.218855218855218</v>
      </c>
      <c r="F930">
        <v>0.218855218855218</v>
      </c>
      <c r="G930">
        <v>0.26573426573426501</v>
      </c>
      <c r="H930">
        <v>-0.47076023391812799</v>
      </c>
      <c r="I930">
        <v>-0.62680412371134009</v>
      </c>
    </row>
    <row r="931" spans="1:9" x14ac:dyDescent="0.35">
      <c r="A931" s="1" t="s">
        <v>943</v>
      </c>
      <c r="B931" t="str">
        <f>HYPERLINK("https://www.suredividend.com/sure-analysis-research-database/","Lightwave Logic Inc")</f>
        <v>Lightwave Logic Inc</v>
      </c>
      <c r="C931">
        <v>-0.12810707456978901</v>
      </c>
      <c r="D931">
        <v>-0.42205323193916311</v>
      </c>
      <c r="E931">
        <v>-5.1975051975052013E-2</v>
      </c>
      <c r="F931">
        <v>5.8004640371229002E-2</v>
      </c>
      <c r="G931">
        <v>-0.293023255813953</v>
      </c>
      <c r="H931">
        <v>-0.49107142857142799</v>
      </c>
      <c r="I931">
        <v>3.9836065573770489</v>
      </c>
    </row>
    <row r="932" spans="1:9" x14ac:dyDescent="0.35">
      <c r="A932" s="1" t="s">
        <v>944</v>
      </c>
      <c r="B932" t="str">
        <f>HYPERLINK("https://www.suredividend.com/sure-analysis-research-database/","Luxfer Holdings PLC")</f>
        <v>Luxfer Holdings PLC</v>
      </c>
      <c r="C932">
        <v>-0.23580873567642499</v>
      </c>
      <c r="D932">
        <v>-0.28566074507158301</v>
      </c>
      <c r="E932">
        <v>-0.37783987047579198</v>
      </c>
      <c r="F932">
        <v>-0.27854952874824901</v>
      </c>
      <c r="G932">
        <v>-0.33254892073230502</v>
      </c>
      <c r="H932">
        <v>-0.52146382859065299</v>
      </c>
      <c r="I932">
        <v>-0.49749273658179011</v>
      </c>
    </row>
    <row r="933" spans="1:9" x14ac:dyDescent="0.35">
      <c r="A933" s="1" t="s">
        <v>945</v>
      </c>
      <c r="B933" t="str">
        <f>HYPERLINK("https://www.suredividend.com/sure-analysis-LXP/","LXP Industrial Trust")</f>
        <v>LXP Industrial Trust</v>
      </c>
      <c r="C933">
        <v>-0.120961918814554</v>
      </c>
      <c r="D933">
        <v>-0.17059973538181999</v>
      </c>
      <c r="E933">
        <v>-9.3596909597082001E-2</v>
      </c>
      <c r="F933">
        <v>-0.12797940370401101</v>
      </c>
      <c r="G933">
        <v>-3.6277276794933012E-2</v>
      </c>
      <c r="H933">
        <v>-0.36145466708222701</v>
      </c>
      <c r="I933">
        <v>0.338837442820484</v>
      </c>
    </row>
    <row r="934" spans="1:9" x14ac:dyDescent="0.35">
      <c r="A934" s="1" t="s">
        <v>946</v>
      </c>
      <c r="B934" t="str">
        <f>HYPERLINK("https://www.suredividend.com/sure-analysis-research-database/","Lexicon Pharmaceuticals Inc")</f>
        <v>Lexicon Pharmaceuticals Inc</v>
      </c>
      <c r="C934">
        <v>-0.15</v>
      </c>
      <c r="D934">
        <v>-0.46153846153846101</v>
      </c>
      <c r="E934">
        <v>-0.50622406639004103</v>
      </c>
      <c r="F934">
        <v>-0.37696335078533999</v>
      </c>
      <c r="G934">
        <v>-0.43601895734597101</v>
      </c>
      <c r="H934">
        <v>-0.8068181818181811</v>
      </c>
      <c r="I934">
        <v>-0.86049237983587301</v>
      </c>
    </row>
    <row r="935" spans="1:9" x14ac:dyDescent="0.35">
      <c r="A935" s="1" t="s">
        <v>947</v>
      </c>
      <c r="B935" t="str">
        <f>HYPERLINK("https://www.suredividend.com/sure-analysis-research-database/","LSB Industries, Inc.")</f>
        <v>LSB Industries, Inc.</v>
      </c>
      <c r="C935">
        <v>-9.5684803001876012E-2</v>
      </c>
      <c r="D935">
        <v>-4.0796019900497013E-2</v>
      </c>
      <c r="E935">
        <v>6.2630480167010002E-3</v>
      </c>
      <c r="F935">
        <v>-0.27518796992481198</v>
      </c>
      <c r="G935">
        <v>-0.37034617896799399</v>
      </c>
      <c r="H935">
        <v>4.1036717062635002E-2</v>
      </c>
      <c r="I935">
        <v>0.45720591347461897</v>
      </c>
    </row>
    <row r="936" spans="1:9" x14ac:dyDescent="0.35">
      <c r="A936" s="1" t="s">
        <v>948</v>
      </c>
      <c r="B936" t="str">
        <f>HYPERLINK("https://www.suredividend.com/sure-analysis-research-database/","Lyell Immunopharma Inc")</f>
        <v>Lyell Immunopharma Inc</v>
      </c>
      <c r="C936">
        <v>-2.9585798816568001E-2</v>
      </c>
      <c r="D936">
        <v>-0.44027303754266212</v>
      </c>
      <c r="E936">
        <v>-0.305084745762711</v>
      </c>
      <c r="F936">
        <v>-0.527377521613832</v>
      </c>
      <c r="G936">
        <v>-0.74923547400611601</v>
      </c>
      <c r="H936">
        <v>-0.87650602409638512</v>
      </c>
      <c r="I936">
        <v>-0.90290112492599106</v>
      </c>
    </row>
    <row r="937" spans="1:9" x14ac:dyDescent="0.35">
      <c r="A937" s="1" t="s">
        <v>949</v>
      </c>
      <c r="B937" t="str">
        <f>HYPERLINK("https://www.suredividend.com/sure-analysis-research-database/","LegalZoom.com Inc.")</f>
        <v>LegalZoom.com Inc.</v>
      </c>
      <c r="C937">
        <v>-3.1372549019607003E-2</v>
      </c>
      <c r="D937">
        <v>-0.240584166026133</v>
      </c>
      <c r="E937">
        <v>7.6252723311546006E-2</v>
      </c>
      <c r="F937">
        <v>0.27648578811369501</v>
      </c>
      <c r="G937">
        <v>0.28981723237597901</v>
      </c>
      <c r="H937">
        <v>-0.60590347028320701</v>
      </c>
      <c r="I937">
        <v>-0.7389696169088501</v>
      </c>
    </row>
    <row r="938" spans="1:9" x14ac:dyDescent="0.35">
      <c r="A938" s="1" t="s">
        <v>950</v>
      </c>
      <c r="B938" t="str">
        <f>HYPERLINK("https://www.suredividend.com/sure-analysis-research-database/","La-Z-Boy Inc.")</f>
        <v>La-Z-Boy Inc.</v>
      </c>
      <c r="C938">
        <v>-7.6127819548872003E-2</v>
      </c>
      <c r="D938">
        <v>-1.746689414249E-3</v>
      </c>
      <c r="E938">
        <v>6.7986832146077009E-2</v>
      </c>
      <c r="F938">
        <v>0.31603609392990001</v>
      </c>
      <c r="G938">
        <v>0.33997337319780602</v>
      </c>
      <c r="H938">
        <v>-6.9302118607961011E-2</v>
      </c>
      <c r="I938">
        <v>0.150452144467764</v>
      </c>
    </row>
    <row r="939" spans="1:9" x14ac:dyDescent="0.35">
      <c r="A939" s="1" t="s">
        <v>951</v>
      </c>
      <c r="B939" t="str">
        <f>HYPERLINK("https://www.suredividend.com/sure-analysis-MAC/","Macerich Co.")</f>
        <v>Macerich Co.</v>
      </c>
      <c r="C939">
        <v>-0.112019623875715</v>
      </c>
      <c r="D939">
        <v>-6.3171242980254005E-2</v>
      </c>
      <c r="E939">
        <v>0.171862354731151</v>
      </c>
      <c r="F939">
        <v>8.8998717972529999E-3</v>
      </c>
      <c r="G939">
        <v>0.275875842947437</v>
      </c>
      <c r="H939">
        <v>-0.32138572285542899</v>
      </c>
      <c r="I939">
        <v>-0.70531411453132409</v>
      </c>
    </row>
    <row r="940" spans="1:9" x14ac:dyDescent="0.35">
      <c r="A940" s="1" t="s">
        <v>952</v>
      </c>
      <c r="B940" t="str">
        <f>HYPERLINK("https://www.suredividend.com/sure-analysis-research-database/","WM Technology Inc")</f>
        <v>WM Technology Inc</v>
      </c>
      <c r="C940">
        <v>-0.21290322580645099</v>
      </c>
      <c r="D940">
        <v>0.22293504410585399</v>
      </c>
      <c r="E940">
        <v>0.8079430942501481</v>
      </c>
      <c r="F940">
        <v>0.207920792079207</v>
      </c>
      <c r="G940">
        <v>-0.25609756097560898</v>
      </c>
      <c r="H940">
        <v>-0.91146589259796806</v>
      </c>
      <c r="I940">
        <v>-0.8756371049949031</v>
      </c>
    </row>
    <row r="941" spans="1:9" x14ac:dyDescent="0.35">
      <c r="A941" s="1" t="s">
        <v>953</v>
      </c>
      <c r="B941" t="str">
        <f>HYPERLINK("https://www.suredividend.com/sure-analysis-research-database/","Marathon Digital Holdings Inc")</f>
        <v>Marathon Digital Holdings Inc</v>
      </c>
      <c r="C941">
        <v>-0.21326530612244901</v>
      </c>
      <c r="D941">
        <v>-0.57332595462091807</v>
      </c>
      <c r="E941">
        <v>-0.35588972431077698</v>
      </c>
      <c r="F941">
        <v>1.2543859649122799</v>
      </c>
      <c r="G941">
        <v>-0.25145631067961099</v>
      </c>
      <c r="H941">
        <v>-0.8422990386582121</v>
      </c>
      <c r="I941">
        <v>2.1048646907216488</v>
      </c>
    </row>
    <row r="942" spans="1:9" x14ac:dyDescent="0.35">
      <c r="A942" s="1" t="s">
        <v>954</v>
      </c>
      <c r="B942" t="str">
        <f>HYPERLINK("https://www.suredividend.com/sure-analysis-research-database/","908 Devices Inc")</f>
        <v>908 Devices Inc</v>
      </c>
      <c r="C942">
        <v>-0.11477987421383599</v>
      </c>
      <c r="D942">
        <v>-0.22876712328767099</v>
      </c>
      <c r="E942">
        <v>-0.32412965186074411</v>
      </c>
      <c r="F942">
        <v>-0.26115485564304403</v>
      </c>
      <c r="G942">
        <v>-0.58994901675163802</v>
      </c>
      <c r="H942">
        <v>-0.82428214731585503</v>
      </c>
      <c r="I942">
        <v>-0.88510204081632604</v>
      </c>
    </row>
    <row r="943" spans="1:9" x14ac:dyDescent="0.35">
      <c r="A943" s="1" t="s">
        <v>955</v>
      </c>
      <c r="B943" t="str">
        <f>HYPERLINK("https://www.suredividend.com/sure-analysis-research-database/","Mativ Holdings Inc")</f>
        <v>Mativ Holdings Inc</v>
      </c>
      <c r="C943">
        <v>-0.13989637305699401</v>
      </c>
      <c r="D943">
        <v>-0.155474155474155</v>
      </c>
      <c r="E943">
        <v>-0.35083345554089002</v>
      </c>
      <c r="F943">
        <v>-0.33477598781758411</v>
      </c>
      <c r="G943">
        <v>-0.37153349612887299</v>
      </c>
      <c r="H943">
        <v>-0.61905745405310808</v>
      </c>
      <c r="I943">
        <v>-0.52476891530652003</v>
      </c>
    </row>
    <row r="944" spans="1:9" x14ac:dyDescent="0.35">
      <c r="A944" s="1" t="s">
        <v>956</v>
      </c>
      <c r="B944" t="str">
        <f>HYPERLINK("https://www.suredividend.com/sure-analysis-MATW/","Matthews International Corp.")</f>
        <v>Matthews International Corp.</v>
      </c>
      <c r="C944">
        <v>-1.4944275582573E-2</v>
      </c>
      <c r="D944">
        <v>-0.18387475866700201</v>
      </c>
      <c r="E944">
        <v>7.2238963989423005E-2</v>
      </c>
      <c r="F944">
        <v>0.31475746798469201</v>
      </c>
      <c r="G944">
        <v>0.70302770211685106</v>
      </c>
      <c r="H944">
        <v>0.16445841754622301</v>
      </c>
      <c r="I944">
        <v>-1.3122000857713E-2</v>
      </c>
    </row>
    <row r="945" spans="1:9" x14ac:dyDescent="0.35">
      <c r="A945" s="1" t="s">
        <v>957</v>
      </c>
      <c r="B945" t="str">
        <f>HYPERLINK("https://www.suredividend.com/sure-analysis-research-database/","Matson Inc")</f>
        <v>Matson Inc</v>
      </c>
      <c r="C945">
        <v>2.4664196387216002E-2</v>
      </c>
      <c r="D945">
        <v>0.12809464317584901</v>
      </c>
      <c r="E945">
        <v>0.41453862446549111</v>
      </c>
      <c r="F945">
        <v>0.43361917151749102</v>
      </c>
      <c r="G945">
        <v>0.29561520126032897</v>
      </c>
      <c r="H945">
        <v>0.10191293779527701</v>
      </c>
      <c r="I945">
        <v>1.59548656940558</v>
      </c>
    </row>
    <row r="946" spans="1:9" x14ac:dyDescent="0.35">
      <c r="A946" s="1" t="s">
        <v>958</v>
      </c>
      <c r="B946" t="str">
        <f>HYPERLINK("https://www.suredividend.com/sure-analysis-research-database/","MediaAlpha Inc")</f>
        <v>MediaAlpha Inc</v>
      </c>
      <c r="C946">
        <v>0.18318695106649899</v>
      </c>
      <c r="D946">
        <v>-3.4800409416581003E-2</v>
      </c>
      <c r="E946">
        <v>-7.8201368523949003E-2</v>
      </c>
      <c r="F946">
        <v>-5.2261306532662997E-2</v>
      </c>
      <c r="G946">
        <v>-2.7835051546391001E-2</v>
      </c>
      <c r="H946">
        <v>-0.51190476190476109</v>
      </c>
      <c r="I946">
        <v>-0.70401757689893207</v>
      </c>
    </row>
    <row r="947" spans="1:9" x14ac:dyDescent="0.35">
      <c r="A947" s="1" t="s">
        <v>959</v>
      </c>
      <c r="B947" t="str">
        <f>HYPERLINK("https://www.suredividend.com/sure-analysis-research-database/","MBIA Inc.")</f>
        <v>MBIA Inc.</v>
      </c>
      <c r="C947">
        <v>-0.23362175525339901</v>
      </c>
      <c r="D947">
        <v>-0.26102502979737702</v>
      </c>
      <c r="E947">
        <v>-0.40038684719535711</v>
      </c>
      <c r="F947">
        <v>-0.51750972762645908</v>
      </c>
      <c r="G947">
        <v>-0.37183383991894597</v>
      </c>
      <c r="H947">
        <v>-0.53696788648244909</v>
      </c>
      <c r="I947">
        <v>-0.35146443514644299</v>
      </c>
    </row>
    <row r="948" spans="1:9" x14ac:dyDescent="0.35">
      <c r="A948" s="1" t="s">
        <v>960</v>
      </c>
      <c r="B948" t="str">
        <f>HYPERLINK("https://www.suredividend.com/sure-analysis-research-database/","Merchants Bancorp")</f>
        <v>Merchants Bancorp</v>
      </c>
      <c r="C948">
        <v>-3.6032821976453001E-2</v>
      </c>
      <c r="D948">
        <v>-6.7016391996260003E-3</v>
      </c>
      <c r="E948">
        <v>6.1276752854487998E-2</v>
      </c>
      <c r="F948">
        <v>0.12756696754593499</v>
      </c>
      <c r="G948">
        <v>0.161286440626974</v>
      </c>
      <c r="H948">
        <v>-1.684795459919E-3</v>
      </c>
      <c r="I948">
        <v>0.89543538192812411</v>
      </c>
    </row>
    <row r="949" spans="1:9" x14ac:dyDescent="0.35">
      <c r="A949" s="1" t="s">
        <v>961</v>
      </c>
      <c r="B949" t="str">
        <f>HYPERLINK("https://www.suredividend.com/sure-analysis-research-database/","Malibu Boats Inc")</f>
        <v>Malibu Boats Inc</v>
      </c>
      <c r="C949">
        <v>1.8321882156984999E-2</v>
      </c>
      <c r="D949">
        <v>-0.12158764367816099</v>
      </c>
      <c r="E949">
        <v>-0.12190305206463201</v>
      </c>
      <c r="F949">
        <v>-8.2363977485928011E-2</v>
      </c>
      <c r="G949">
        <v>3.6887852448589997E-2</v>
      </c>
      <c r="H949">
        <v>-0.29747199080723902</v>
      </c>
      <c r="I949">
        <v>2.3007738966743001E-2</v>
      </c>
    </row>
    <row r="950" spans="1:9" x14ac:dyDescent="0.35">
      <c r="A950" s="1" t="s">
        <v>962</v>
      </c>
      <c r="B950" t="str">
        <f>HYPERLINK("https://www.suredividend.com/sure-analysis-research-database/","Mercantile Bank Corp.")</f>
        <v>Mercantile Bank Corp.</v>
      </c>
      <c r="C950">
        <v>-5.2403100775193001E-2</v>
      </c>
      <c r="D950">
        <v>7.8886515683747008E-2</v>
      </c>
      <c r="E950">
        <v>0.109912579856684</v>
      </c>
      <c r="F950">
        <v>-3.5435742534568999E-2</v>
      </c>
      <c r="G950">
        <v>1.3786972041241E-2</v>
      </c>
      <c r="H950">
        <v>-3.5981812829099998E-4</v>
      </c>
      <c r="I950">
        <v>0.194575937269127</v>
      </c>
    </row>
    <row r="951" spans="1:9" x14ac:dyDescent="0.35">
      <c r="A951" s="1" t="s">
        <v>963</v>
      </c>
      <c r="B951" t="str">
        <f>HYPERLINK("https://www.suredividend.com/sure-analysis-research-database/","Moelis &amp; Co")</f>
        <v>Moelis &amp; Co</v>
      </c>
      <c r="C951">
        <v>-9.9339116067740013E-2</v>
      </c>
      <c r="D951">
        <v>-9.0290873287385012E-2</v>
      </c>
      <c r="E951">
        <v>8.0193399451110009E-2</v>
      </c>
      <c r="F951">
        <v>0.186205095704256</v>
      </c>
      <c r="G951">
        <v>0.255762657690214</v>
      </c>
      <c r="H951">
        <v>-0.28949177726438802</v>
      </c>
      <c r="I951">
        <v>0.22898384087745</v>
      </c>
    </row>
    <row r="952" spans="1:9" x14ac:dyDescent="0.35">
      <c r="A952" s="1" t="s">
        <v>964</v>
      </c>
      <c r="B952" t="str">
        <f>HYPERLINK("https://www.suredividend.com/sure-analysis-research-database/","Metropolitan Bank Holding Corp")</f>
        <v>Metropolitan Bank Holding Corp</v>
      </c>
      <c r="C952">
        <v>-0.17163974815220301</v>
      </c>
      <c r="D952">
        <v>-0.25996576179995101</v>
      </c>
      <c r="E952">
        <v>1.7142857142857001E-2</v>
      </c>
      <c r="F952">
        <v>-0.48423385034941102</v>
      </c>
      <c r="G952">
        <v>-0.54123711340206104</v>
      </c>
      <c r="H952">
        <v>-0.654763262977752</v>
      </c>
      <c r="I952">
        <v>-0.254679802955665</v>
      </c>
    </row>
    <row r="953" spans="1:9" x14ac:dyDescent="0.35">
      <c r="A953" s="1" t="s">
        <v>965</v>
      </c>
      <c r="B953" t="str">
        <f>HYPERLINK("https://www.suredividend.com/sure-analysis-research-database/","Macatawa Bank Corp.")</f>
        <v>Macatawa Bank Corp.</v>
      </c>
      <c r="C953">
        <v>-4.9356223175964997E-2</v>
      </c>
      <c r="D953">
        <v>-3.5215715312411001E-2</v>
      </c>
      <c r="E953">
        <v>-7.1804219833637009E-2</v>
      </c>
      <c r="F953">
        <v>-0.16911275121210101</v>
      </c>
      <c r="G953">
        <v>-5.5286026550087998E-2</v>
      </c>
      <c r="H953">
        <v>0.17430317167888201</v>
      </c>
      <c r="I953">
        <v>-3.8753634509395E-2</v>
      </c>
    </row>
    <row r="954" spans="1:9" x14ac:dyDescent="0.35">
      <c r="A954" s="1" t="s">
        <v>966</v>
      </c>
      <c r="B954" t="str">
        <f>HYPERLINK("https://www.suredividend.com/sure-analysis-research-database/","MetroCity Bankshares Inc")</f>
        <v>MetroCity Bankshares Inc</v>
      </c>
      <c r="C954">
        <v>2.9896907216494E-2</v>
      </c>
      <c r="D954">
        <v>8.0402961104412002E-2</v>
      </c>
      <c r="E954">
        <v>0.30167106420404499</v>
      </c>
      <c r="F954">
        <v>-3.0130044124714001E-2</v>
      </c>
      <c r="G954">
        <v>-1.8099792120225999E-2</v>
      </c>
      <c r="H954">
        <v>8.6629914581690011E-3</v>
      </c>
      <c r="I954">
        <v>0.69945648013473105</v>
      </c>
    </row>
    <row r="955" spans="1:9" x14ac:dyDescent="0.35">
      <c r="A955" s="1" t="s">
        <v>967</v>
      </c>
      <c r="B955" t="str">
        <f>HYPERLINK("https://www.suredividend.com/sure-analysis-research-database/","MasterCraft Boat Holdings Inc")</f>
        <v>MasterCraft Boat Holdings Inc</v>
      </c>
      <c r="C955">
        <v>4.5944678856071001E-2</v>
      </c>
      <c r="D955">
        <v>-0.20717839374555799</v>
      </c>
      <c r="E955">
        <v>-0.235697156560466</v>
      </c>
      <c r="F955">
        <v>-0.13761113258600699</v>
      </c>
      <c r="G955">
        <v>0.102817597627286</v>
      </c>
      <c r="H955">
        <v>-0.165981308411215</v>
      </c>
      <c r="I955">
        <v>-0.33343292500746902</v>
      </c>
    </row>
    <row r="956" spans="1:9" x14ac:dyDescent="0.35">
      <c r="A956" s="1" t="s">
        <v>968</v>
      </c>
      <c r="B956" t="str">
        <f>HYPERLINK("https://www.suredividend.com/sure-analysis-research-database/","Seres Therapeutics Inc")</f>
        <v>Seres Therapeutics Inc</v>
      </c>
      <c r="C956">
        <v>-0.47552447552447502</v>
      </c>
      <c r="D956">
        <v>-0.66814159292035402</v>
      </c>
      <c r="E956">
        <v>-0.74402730375426607</v>
      </c>
      <c r="F956">
        <v>-0.7321428571428571</v>
      </c>
      <c r="G956">
        <v>-0.78165938864628803</v>
      </c>
      <c r="H956">
        <v>-0.76228209191759111</v>
      </c>
      <c r="I956">
        <v>-0.7560975609756091</v>
      </c>
    </row>
    <row r="957" spans="1:9" x14ac:dyDescent="0.35">
      <c r="A957" s="1" t="s">
        <v>969</v>
      </c>
      <c r="B957" t="str">
        <f>HYPERLINK("https://www.suredividend.com/sure-analysis-research-database/","Monarch Casino &amp; Resort, Inc.")</f>
        <v>Monarch Casino &amp; Resort, Inc.</v>
      </c>
      <c r="C957">
        <v>-7.1504157218441999E-2</v>
      </c>
      <c r="D957">
        <v>-0.13234984580915901</v>
      </c>
      <c r="E957">
        <v>-0.17295278209419801</v>
      </c>
      <c r="F957">
        <v>-0.13134730267921699</v>
      </c>
      <c r="G957">
        <v>0.123098303101228</v>
      </c>
      <c r="H957">
        <v>-1.9513939440379002E-2</v>
      </c>
      <c r="I957">
        <v>0.47930490492419198</v>
      </c>
    </row>
    <row r="958" spans="1:9" x14ac:dyDescent="0.35">
      <c r="A958" s="1" t="s">
        <v>970</v>
      </c>
      <c r="B958" t="str">
        <f>HYPERLINK("https://www.suredividend.com/sure-analysis-research-database/","Marcus Corp.")</f>
        <v>Marcus Corp.</v>
      </c>
      <c r="C958">
        <v>4.4996642041638002E-2</v>
      </c>
      <c r="D958">
        <v>3.1672888087359997E-2</v>
      </c>
      <c r="E958">
        <v>-0.105978338935332</v>
      </c>
      <c r="F958">
        <v>9.325707701279401E-2</v>
      </c>
      <c r="G958">
        <v>9.7505924839182009E-2</v>
      </c>
      <c r="H958">
        <v>-0.15666699185934299</v>
      </c>
      <c r="I958">
        <v>-0.62520293478627409</v>
      </c>
    </row>
    <row r="959" spans="1:9" x14ac:dyDescent="0.35">
      <c r="A959" s="1" t="s">
        <v>971</v>
      </c>
      <c r="B959" t="str">
        <f>HYPERLINK("https://www.suredividend.com/sure-analysis-MCY/","Mercury General Corp.")</f>
        <v>Mercury General Corp.</v>
      </c>
      <c r="C959">
        <v>2.5526043463262999E-2</v>
      </c>
      <c r="D959">
        <v>4.6908398156201001E-2</v>
      </c>
      <c r="E959">
        <v>1.304383382401E-2</v>
      </c>
      <c r="F959">
        <v>-0.102113792655635</v>
      </c>
      <c r="G959">
        <v>1.7931062818637999E-2</v>
      </c>
      <c r="H959">
        <v>-0.41240646530767111</v>
      </c>
      <c r="I959">
        <v>-0.23752417199690101</v>
      </c>
    </row>
    <row r="960" spans="1:9" x14ac:dyDescent="0.35">
      <c r="A960" s="1" t="s">
        <v>972</v>
      </c>
      <c r="B960" t="str">
        <f>HYPERLINK("https://www.suredividend.com/sure-analysis-research-database/","Pediatrix Medical Group Inc")</f>
        <v>Pediatrix Medical Group Inc</v>
      </c>
      <c r="C960">
        <v>-7.5412411626080006E-2</v>
      </c>
      <c r="D960">
        <v>-0.14710144927536201</v>
      </c>
      <c r="E960">
        <v>-0.194938440492476</v>
      </c>
      <c r="F960">
        <v>-0.207940780619111</v>
      </c>
      <c r="G960">
        <v>-0.308054085831863</v>
      </c>
      <c r="H960">
        <v>-0.55144817073170704</v>
      </c>
      <c r="I960">
        <v>-0.7383281458425961</v>
      </c>
    </row>
    <row r="961" spans="1:9" x14ac:dyDescent="0.35">
      <c r="A961" s="1" t="s">
        <v>973</v>
      </c>
      <c r="B961" t="str">
        <f>HYPERLINK("https://www.suredividend.com/sure-analysis-MDC/","M.D.C. Holdings, Inc.")</f>
        <v>M.D.C. Holdings, Inc.</v>
      </c>
      <c r="C961">
        <v>-0.11003460207612401</v>
      </c>
      <c r="D961">
        <v>-0.200772296754199</v>
      </c>
      <c r="E961">
        <v>4.2071826785945003E-2</v>
      </c>
      <c r="F961">
        <v>0.26520840848719301</v>
      </c>
      <c r="G961">
        <v>0.47915268858429899</v>
      </c>
      <c r="H961">
        <v>-0.11109472670425299</v>
      </c>
      <c r="I961">
        <v>1.041053856734736</v>
      </c>
    </row>
    <row r="962" spans="1:9" x14ac:dyDescent="0.35">
      <c r="A962" s="1" t="s">
        <v>974</v>
      </c>
      <c r="B962" t="str">
        <f>HYPERLINK("https://www.suredividend.com/sure-analysis-research-database/","Madrigal Pharmaceuticals Inc")</f>
        <v>Madrigal Pharmaceuticals Inc</v>
      </c>
      <c r="C962">
        <v>-0.20194439706634801</v>
      </c>
      <c r="D962">
        <v>-0.37826106214288802</v>
      </c>
      <c r="E962">
        <v>-0.41461278618791397</v>
      </c>
      <c r="F962">
        <v>-0.51638242894056807</v>
      </c>
      <c r="G962">
        <v>1.1698871541196469</v>
      </c>
      <c r="H962">
        <v>0.62898920738075903</v>
      </c>
      <c r="I962">
        <v>-0.25800824611481099</v>
      </c>
    </row>
    <row r="963" spans="1:9" x14ac:dyDescent="0.35">
      <c r="A963" s="1" t="s">
        <v>975</v>
      </c>
      <c r="B963" t="str">
        <f>HYPERLINK("https://www.suredividend.com/sure-analysis-research-database/","Veradigm Inc")</f>
        <v>Veradigm Inc</v>
      </c>
      <c r="C963">
        <v>0.106470106470106</v>
      </c>
      <c r="D963">
        <v>3.6042944785275997E-2</v>
      </c>
      <c r="E963">
        <v>9.9267697314890005E-2</v>
      </c>
      <c r="F963">
        <v>-0.23412698412698399</v>
      </c>
      <c r="G963">
        <v>-4.2523033309709003E-2</v>
      </c>
      <c r="H963">
        <v>-5.1929824561403007E-2</v>
      </c>
      <c r="I963">
        <v>-1.478196600147E-3</v>
      </c>
    </row>
    <row r="964" spans="1:9" x14ac:dyDescent="0.35">
      <c r="A964" s="1" t="s">
        <v>976</v>
      </c>
      <c r="B964" t="str">
        <f>HYPERLINK("https://www.suredividend.com/sure-analysis-research-database/","Mimedx Group Inc")</f>
        <v>Mimedx Group Inc</v>
      </c>
      <c r="C964">
        <v>-0.159151193633952</v>
      </c>
      <c r="D964">
        <v>-5.5141579731743003E-2</v>
      </c>
      <c r="E964">
        <v>0.91540785498489408</v>
      </c>
      <c r="F964">
        <v>1.2805755395683449</v>
      </c>
      <c r="G964">
        <v>1.193771626297577</v>
      </c>
      <c r="H964">
        <v>-6.2130177514792002E-2</v>
      </c>
      <c r="I964">
        <v>0.200757575757575</v>
      </c>
    </row>
    <row r="965" spans="1:9" x14ac:dyDescent="0.35">
      <c r="A965" s="1" t="s">
        <v>977</v>
      </c>
      <c r="B965" t="str">
        <f>HYPERLINK("https://www.suredividend.com/sure-analysis-research-database/","23andMe Holding Co")</f>
        <v>23andMe Holding Co</v>
      </c>
      <c r="C965">
        <v>-0.22981818181818101</v>
      </c>
      <c r="D965">
        <v>-0.52135593220338905</v>
      </c>
      <c r="E965">
        <v>-0.61490909090909107</v>
      </c>
      <c r="F965">
        <v>-0.60777777777777708</v>
      </c>
      <c r="G965">
        <v>-0.70986301369863003</v>
      </c>
      <c r="H965">
        <v>-0.90801302931596106</v>
      </c>
      <c r="I965">
        <v>-0.91355102040816305</v>
      </c>
    </row>
    <row r="966" spans="1:9" x14ac:dyDescent="0.35">
      <c r="A966" s="1" t="s">
        <v>978</v>
      </c>
      <c r="B966" t="str">
        <f>HYPERLINK("https://www.suredividend.com/sure-analysis-MED/","Medifast Inc")</f>
        <v>Medifast Inc</v>
      </c>
      <c r="C966">
        <v>-8.7617850408548012E-2</v>
      </c>
      <c r="D966">
        <v>-0.189436994863902</v>
      </c>
      <c r="E966">
        <v>-0.23025608991728799</v>
      </c>
      <c r="F966">
        <v>-0.334218840010714</v>
      </c>
      <c r="G966">
        <v>-0.32620923533381802</v>
      </c>
      <c r="H966">
        <v>-0.57579767337472809</v>
      </c>
      <c r="I966">
        <v>-0.57237033977645102</v>
      </c>
    </row>
    <row r="967" spans="1:9" x14ac:dyDescent="0.35">
      <c r="A967" s="1" t="s">
        <v>979</v>
      </c>
      <c r="B967" t="str">
        <f>HYPERLINK("https://www.suredividend.com/sure-analysis-research-database/","Medpace Holdings Inc")</f>
        <v>Medpace Holdings Inc</v>
      </c>
      <c r="C967">
        <v>-0.146010429316379</v>
      </c>
      <c r="D967">
        <v>-1.6898976193413E-2</v>
      </c>
      <c r="E967">
        <v>0.24440512126574299</v>
      </c>
      <c r="F967">
        <v>0.125653217833435</v>
      </c>
      <c r="G967">
        <v>0.56213249705997603</v>
      </c>
      <c r="H967">
        <v>0.27806286080821002</v>
      </c>
      <c r="I967">
        <v>3.4599888080581982</v>
      </c>
    </row>
    <row r="968" spans="1:9" x14ac:dyDescent="0.35">
      <c r="A968" s="1" t="s">
        <v>980</v>
      </c>
      <c r="B968" t="str">
        <f>HYPERLINK("https://www.suredividend.com/sure-analysis-research-database/","Montrose Environmental Group Inc")</f>
        <v>Montrose Environmental Group Inc</v>
      </c>
      <c r="C968">
        <v>-0.240109555690809</v>
      </c>
      <c r="D968">
        <v>-0.43938033228558598</v>
      </c>
      <c r="E968">
        <v>-0.21968750000000001</v>
      </c>
      <c r="F968">
        <v>-0.43748592025230898</v>
      </c>
      <c r="G968">
        <v>-0.262551683402244</v>
      </c>
      <c r="H968">
        <v>-0.60048000000000001</v>
      </c>
      <c r="I968">
        <v>0.13500000000000001</v>
      </c>
    </row>
    <row r="969" spans="1:9" x14ac:dyDescent="0.35">
      <c r="A969" s="1" t="s">
        <v>981</v>
      </c>
      <c r="B969" t="str">
        <f>HYPERLINK("https://www.suredividend.com/sure-analysis-research-database/","Methode Electronics, Inc.")</f>
        <v>Methode Electronics, Inc.</v>
      </c>
      <c r="C969">
        <v>0.11153321861941</v>
      </c>
      <c r="D969">
        <v>-0.24828620135169399</v>
      </c>
      <c r="E969">
        <v>-0.41405145603618798</v>
      </c>
      <c r="F969">
        <v>-0.43042584084902502</v>
      </c>
      <c r="G969">
        <v>-0.29368262010519403</v>
      </c>
      <c r="H969">
        <v>-0.39451042260104802</v>
      </c>
      <c r="I969">
        <v>-8.5698740124480005E-2</v>
      </c>
    </row>
    <row r="970" spans="1:9" x14ac:dyDescent="0.35">
      <c r="A970" s="1" t="s">
        <v>982</v>
      </c>
      <c r="B970" t="str">
        <f>HYPERLINK("https://www.suredividend.com/sure-analysis-research-database/","Ramaco Resources Inc")</f>
        <v>Ramaco Resources Inc</v>
      </c>
      <c r="C970">
        <v>0.10222222222222201</v>
      </c>
      <c r="D970">
        <v>0.211558660446029</v>
      </c>
      <c r="E970">
        <v>0.26705155060542501</v>
      </c>
      <c r="F970">
        <v>0.26705155060542501</v>
      </c>
      <c r="G970">
        <v>0.26705155060542501</v>
      </c>
      <c r="H970">
        <v>0.26705155060542501</v>
      </c>
      <c r="I970">
        <v>0.26705155060542501</v>
      </c>
    </row>
    <row r="971" spans="1:9" x14ac:dyDescent="0.35">
      <c r="A971" s="1" t="s">
        <v>983</v>
      </c>
      <c r="B971" t="str">
        <f>HYPERLINK("https://www.suredividend.com/sure-analysis-research-database/","MFA Financial Inc")</f>
        <v>MFA Financial Inc</v>
      </c>
      <c r="C971">
        <v>-0.128012019550788</v>
      </c>
      <c r="D971">
        <v>-0.16552157176787399</v>
      </c>
      <c r="E971">
        <v>-1.2491923325436E-2</v>
      </c>
      <c r="F971">
        <v>3.1496062992125012E-2</v>
      </c>
      <c r="G971">
        <v>0.25477210218798302</v>
      </c>
      <c r="H971">
        <v>-0.34939622266683601</v>
      </c>
      <c r="I971">
        <v>-0.38758882299513803</v>
      </c>
    </row>
    <row r="972" spans="1:9" x14ac:dyDescent="0.35">
      <c r="A972" s="1" t="s">
        <v>984</v>
      </c>
      <c r="B972" t="str">
        <f>HYPERLINK("https://www.suredividend.com/sure-analysis-MGEE/","MGE Energy, Inc.")</f>
        <v>MGE Energy, Inc.</v>
      </c>
      <c r="C972">
        <v>-3.4179951364496003E-2</v>
      </c>
      <c r="D972">
        <v>-7.9484439179532004E-2</v>
      </c>
      <c r="E972">
        <v>-3.8842900761100002E-2</v>
      </c>
      <c r="F972">
        <v>4.4947811076242003E-2</v>
      </c>
      <c r="G972">
        <v>0.15489745014668399</v>
      </c>
      <c r="H972">
        <v>2.9025112544199998E-3</v>
      </c>
      <c r="I972">
        <v>0.30588699483417398</v>
      </c>
    </row>
    <row r="973" spans="1:9" x14ac:dyDescent="0.35">
      <c r="A973" s="1" t="s">
        <v>985</v>
      </c>
      <c r="B973" t="str">
        <f>HYPERLINK("https://www.suredividend.com/sure-analysis-research-database/","Magnite Inc")</f>
        <v>Magnite Inc</v>
      </c>
      <c r="C973">
        <v>-0.131513647642679</v>
      </c>
      <c r="D973">
        <v>-0.53947368421052599</v>
      </c>
      <c r="E973">
        <v>-0.24650161463939699</v>
      </c>
      <c r="F973">
        <v>-0.33899905571293598</v>
      </c>
      <c r="G973">
        <v>0.10062893081761</v>
      </c>
      <c r="H973">
        <v>-0.76557267247153304</v>
      </c>
      <c r="I973">
        <v>1.0172910662824199</v>
      </c>
    </row>
    <row r="974" spans="1:9" x14ac:dyDescent="0.35">
      <c r="A974" s="1" t="s">
        <v>986</v>
      </c>
      <c r="B974" t="str">
        <f>HYPERLINK("https://www.suredividend.com/sure-analysis-research-database/","Macrogenics Inc")</f>
        <v>Macrogenics Inc</v>
      </c>
      <c r="C974">
        <v>8.7982832618025003E-2</v>
      </c>
      <c r="D974">
        <v>3.0487804878047999E-2</v>
      </c>
      <c r="E974">
        <v>-0.21879815100153999</v>
      </c>
      <c r="F974">
        <v>-0.24441132637853899</v>
      </c>
      <c r="G974">
        <v>0.44034090909090912</v>
      </c>
      <c r="H974">
        <v>-0.74316109422492405</v>
      </c>
      <c r="I974">
        <v>-0.72815013404825701</v>
      </c>
    </row>
    <row r="975" spans="1:9" x14ac:dyDescent="0.35">
      <c r="A975" s="1" t="s">
        <v>987</v>
      </c>
      <c r="B975" t="str">
        <f>HYPERLINK("https://www.suredividend.com/sure-analysis-research-database/","MGP Ingredients, Inc.")</f>
        <v>MGP Ingredients, Inc.</v>
      </c>
      <c r="C975">
        <v>-8.7182340938601013E-2</v>
      </c>
      <c r="D975">
        <v>-0.112366532556631</v>
      </c>
      <c r="E975">
        <v>1.4969825221412001E-2</v>
      </c>
      <c r="F975">
        <v>-7.1655691980603009E-2</v>
      </c>
      <c r="G975">
        <v>3.3212972836310002E-3</v>
      </c>
      <c r="H975">
        <v>0.55832640620670504</v>
      </c>
      <c r="I975">
        <v>0.38601173082474799</v>
      </c>
    </row>
    <row r="976" spans="1:9" x14ac:dyDescent="0.35">
      <c r="A976" s="1" t="s">
        <v>988</v>
      </c>
      <c r="B976" t="str">
        <f>HYPERLINK("https://www.suredividend.com/sure-analysis-MGRC/","McGrath Rentcorp")</f>
        <v>McGrath Rentcorp</v>
      </c>
      <c r="C976">
        <v>2.6244004901806998E-2</v>
      </c>
      <c r="D976">
        <v>0.11142300041875999</v>
      </c>
      <c r="E976">
        <v>0.14505700196728899</v>
      </c>
      <c r="F976">
        <v>6.2357194082623003E-2</v>
      </c>
      <c r="G976">
        <v>0.25400163153614103</v>
      </c>
      <c r="H976">
        <v>0.41546901474959003</v>
      </c>
      <c r="I976">
        <v>1.3422049911405991</v>
      </c>
    </row>
    <row r="977" spans="1:9" x14ac:dyDescent="0.35">
      <c r="A977" s="1" t="s">
        <v>989</v>
      </c>
      <c r="B977" t="str">
        <f>HYPERLINK("https://www.suredividend.com/sure-analysis-research-database/","MeiraGTx Holdings plc")</f>
        <v>MeiraGTx Holdings plc</v>
      </c>
      <c r="C977">
        <v>-0.23943661971830901</v>
      </c>
      <c r="D977">
        <v>-0.34644478063540002</v>
      </c>
      <c r="E977">
        <v>-0.186440677966101</v>
      </c>
      <c r="F977">
        <v>-0.33742331288343502</v>
      </c>
      <c r="G977">
        <v>-0.45038167938931212</v>
      </c>
      <c r="H977">
        <v>-0.69747899159663806</v>
      </c>
      <c r="I977">
        <v>-0.69142857142857106</v>
      </c>
    </row>
    <row r="978" spans="1:9" x14ac:dyDescent="0.35">
      <c r="A978" s="1" t="s">
        <v>990</v>
      </c>
      <c r="B978" t="str">
        <f>HYPERLINK("https://www.suredividend.com/sure-analysis-research-database/","Magnolia Oil &amp; Gas Corp")</f>
        <v>Magnolia Oil &amp; Gas Corp</v>
      </c>
      <c r="C978">
        <v>2.0399305555555001E-2</v>
      </c>
      <c r="D978">
        <v>0.15428425538600499</v>
      </c>
      <c r="E978">
        <v>2.0549907538438002E-2</v>
      </c>
      <c r="F978">
        <v>1.8692641668037999E-2</v>
      </c>
      <c r="G978">
        <v>9.1118361512435006E-2</v>
      </c>
      <c r="H978">
        <v>0.20043299327022199</v>
      </c>
      <c r="I978">
        <v>0.71865519434474001</v>
      </c>
    </row>
    <row r="979" spans="1:9" x14ac:dyDescent="0.35">
      <c r="A979" s="1" t="s">
        <v>991</v>
      </c>
      <c r="B979" t="str">
        <f>HYPERLINK("https://www.suredividend.com/sure-analysis-research-database/","MI Homes Inc.")</f>
        <v>MI Homes Inc.</v>
      </c>
      <c r="C979">
        <v>-9.9820345834269006E-2</v>
      </c>
      <c r="D979">
        <v>-0.12849222741602301</v>
      </c>
      <c r="E979">
        <v>0.30336530645423498</v>
      </c>
      <c r="F979">
        <v>0.73603291468168008</v>
      </c>
      <c r="G979">
        <v>1.099240638910709</v>
      </c>
      <c r="H979">
        <v>0.35285183935200798</v>
      </c>
      <c r="I979">
        <v>2.6015274034141962</v>
      </c>
    </row>
    <row r="980" spans="1:9" x14ac:dyDescent="0.35">
      <c r="A980" s="1" t="s">
        <v>992</v>
      </c>
      <c r="B980" t="str">
        <f>HYPERLINK("https://www.suredividend.com/sure-analysis-research-database/","Mirion Technologies Inc.")</f>
        <v>Mirion Technologies Inc.</v>
      </c>
      <c r="C980">
        <v>-8.0206985769728012E-2</v>
      </c>
      <c r="D980">
        <v>-0.12974296205630301</v>
      </c>
      <c r="E980">
        <v>-0.15558194774346701</v>
      </c>
      <c r="F980">
        <v>7.564296520423601E-2</v>
      </c>
      <c r="G980">
        <v>-2.2008253094909998E-2</v>
      </c>
      <c r="H980">
        <v>-0.28828828828828801</v>
      </c>
      <c r="I980">
        <v>-0.28542713567839101</v>
      </c>
    </row>
    <row r="981" spans="1:9" x14ac:dyDescent="0.35">
      <c r="A981" s="1" t="s">
        <v>993</v>
      </c>
      <c r="B981" t="str">
        <f>HYPERLINK("https://www.suredividend.com/sure-analysis-research-database/","Mirum Pharmaceuticals Inc")</f>
        <v>Mirum Pharmaceuticals Inc</v>
      </c>
      <c r="C981">
        <v>-0.14398782343987801</v>
      </c>
      <c r="D981">
        <v>7.1238095238095003E-2</v>
      </c>
      <c r="E981">
        <v>0.12525010004001599</v>
      </c>
      <c r="F981">
        <v>0.44205128205128202</v>
      </c>
      <c r="G981">
        <v>0.47071129707112902</v>
      </c>
      <c r="H981">
        <v>0.64252336448598102</v>
      </c>
      <c r="I981">
        <v>1.1286903860711579</v>
      </c>
    </row>
    <row r="982" spans="1:9" x14ac:dyDescent="0.35">
      <c r="A982" s="1" t="s">
        <v>994</v>
      </c>
      <c r="B982" t="str">
        <f>HYPERLINK("https://www.suredividend.com/sure-analysis-research-database/","Mitek Systems Inc")</f>
        <v>Mitek Systems Inc</v>
      </c>
      <c r="C982">
        <v>-0.12248322147651</v>
      </c>
      <c r="D982">
        <v>-1.3207547169811E-2</v>
      </c>
      <c r="E982">
        <v>0.13081081081081</v>
      </c>
      <c r="F982">
        <v>7.9463364293085009E-2</v>
      </c>
      <c r="G982">
        <v>6.4089521871820002E-2</v>
      </c>
      <c r="H982">
        <v>-0.44597457627118597</v>
      </c>
      <c r="I982">
        <v>0.32572877059569</v>
      </c>
    </row>
    <row r="983" spans="1:9" x14ac:dyDescent="0.35">
      <c r="A983" s="1" t="s">
        <v>995</v>
      </c>
      <c r="B983" t="str">
        <f>HYPERLINK("https://www.suredividend.com/sure-analysis-research-database/","Markforged Holding Corporation")</f>
        <v>Markforged Holding Corporation</v>
      </c>
      <c r="C983">
        <v>2.5000000000000001E-2</v>
      </c>
      <c r="D983">
        <v>2.5000000000000001E-2</v>
      </c>
      <c r="E983">
        <v>0.56548300878197799</v>
      </c>
      <c r="F983">
        <v>6.0344827586205997E-2</v>
      </c>
      <c r="G983">
        <v>-0.30898876404494302</v>
      </c>
      <c r="H983">
        <v>-0.8188512518409421</v>
      </c>
      <c r="I983">
        <v>-0.88138862102217908</v>
      </c>
    </row>
    <row r="984" spans="1:9" x14ac:dyDescent="0.35">
      <c r="A984" s="1" t="s">
        <v>996</v>
      </c>
      <c r="B984" t="str">
        <f>HYPERLINK("https://www.suredividend.com/sure-analysis-research-database/","Marketwise Inc")</f>
        <v>Marketwise Inc</v>
      </c>
      <c r="C984">
        <v>-0.17142857142857101</v>
      </c>
      <c r="D984">
        <v>-0.17930722209644501</v>
      </c>
      <c r="E984">
        <v>-8.4884821710318012E-2</v>
      </c>
      <c r="F984">
        <v>-0.123019233095439</v>
      </c>
      <c r="G984">
        <v>-0.39863968148639611</v>
      </c>
      <c r="H984">
        <v>-0.79190585533869107</v>
      </c>
      <c r="I984">
        <v>-0.85307528624987305</v>
      </c>
    </row>
    <row r="985" spans="1:9" x14ac:dyDescent="0.35">
      <c r="A985" s="1" t="s">
        <v>997</v>
      </c>
      <c r="B985" t="str">
        <f>HYPERLINK("https://www.suredividend.com/sure-analysis-research-database/","MoneyLion Inc")</f>
        <v>MoneyLion Inc</v>
      </c>
      <c r="C985">
        <v>1.497005988023E-3</v>
      </c>
      <c r="D985">
        <v>0.80810810810810807</v>
      </c>
      <c r="E985">
        <v>0.49664429530201298</v>
      </c>
      <c r="F985">
        <v>7.9032258064515012E-2</v>
      </c>
      <c r="G985">
        <v>-0.31581100429535602</v>
      </c>
      <c r="H985">
        <v>-0.88850000000000007</v>
      </c>
      <c r="I985">
        <v>-0.93173469387755103</v>
      </c>
    </row>
    <row r="986" spans="1:9" x14ac:dyDescent="0.35">
      <c r="A986" s="1" t="s">
        <v>998</v>
      </c>
      <c r="B986" t="str">
        <f>HYPERLINK("https://www.suredividend.com/sure-analysis-research-database/","Mesa Laboratories, Inc.")</f>
        <v>Mesa Laboratories, Inc.</v>
      </c>
      <c r="C986">
        <v>-0.17459930030103299</v>
      </c>
      <c r="D986">
        <v>-0.168982103421385</v>
      </c>
      <c r="E986">
        <v>-0.38164224117964002</v>
      </c>
      <c r="F986">
        <v>-0.38625736778519598</v>
      </c>
      <c r="G986">
        <v>-0.19289781903408601</v>
      </c>
      <c r="H986">
        <v>-0.66940839907962202</v>
      </c>
      <c r="I986">
        <v>-0.40444811800908897</v>
      </c>
    </row>
    <row r="987" spans="1:9" x14ac:dyDescent="0.35">
      <c r="A987" s="1" t="s">
        <v>999</v>
      </c>
      <c r="B987" t="str">
        <f>HYPERLINK("https://www.suredividend.com/sure-analysis-MLI/","Mueller Industries, Inc.")</f>
        <v>Mueller Industries, Inc.</v>
      </c>
      <c r="C987">
        <v>-1.7997293640054E-2</v>
      </c>
      <c r="D987">
        <v>-0.16166267348395699</v>
      </c>
      <c r="E987">
        <v>6.5817185255681004E-2</v>
      </c>
      <c r="F987">
        <v>0.245037520973657</v>
      </c>
      <c r="G987">
        <v>0.245146468138697</v>
      </c>
      <c r="H987">
        <v>0.72641435371867702</v>
      </c>
      <c r="I987">
        <v>2.0256914853697778</v>
      </c>
    </row>
    <row r="988" spans="1:9" x14ac:dyDescent="0.35">
      <c r="A988" s="1" t="s">
        <v>1000</v>
      </c>
      <c r="B988" t="str">
        <f>HYPERLINK("https://www.suredividend.com/sure-analysis-research-database/","MillerKnoll Inc")</f>
        <v>MillerKnoll Inc</v>
      </c>
      <c r="C988">
        <v>0.34763476347634698</v>
      </c>
      <c r="D988">
        <v>0.46363028101701298</v>
      </c>
      <c r="E988">
        <v>0.42812175758070298</v>
      </c>
      <c r="F988">
        <v>0.23241916336344801</v>
      </c>
      <c r="G988">
        <v>0.47646395921343598</v>
      </c>
      <c r="H988">
        <v>-0.35594111461619299</v>
      </c>
      <c r="I988">
        <v>-0.248551544763324</v>
      </c>
    </row>
    <row r="989" spans="1:9" x14ac:dyDescent="0.35">
      <c r="A989" s="1" t="s">
        <v>1001</v>
      </c>
      <c r="B989" t="str">
        <f>HYPERLINK("https://www.suredividend.com/sure-analysis-research-database/","MeridianLink Inc")</f>
        <v>MeridianLink Inc</v>
      </c>
      <c r="C989">
        <v>-1.6374269005847999E-2</v>
      </c>
      <c r="D989">
        <v>-0.235801908223534</v>
      </c>
      <c r="E989">
        <v>5.1249999999999997E-2</v>
      </c>
      <c r="F989">
        <v>0.225054624908958</v>
      </c>
      <c r="G989">
        <v>-1.4645577035735E-2</v>
      </c>
      <c r="H989">
        <v>-0.25211204979991098</v>
      </c>
      <c r="I989">
        <v>-0.31626016260162598</v>
      </c>
    </row>
    <row r="990" spans="1:9" x14ac:dyDescent="0.35">
      <c r="A990" s="1" t="s">
        <v>1002</v>
      </c>
      <c r="B990" t="str">
        <f>HYPERLINK("https://www.suredividend.com/sure-analysis-MLR/","Miller Industries Inc.")</f>
        <v>Miller Industries Inc.</v>
      </c>
      <c r="C990">
        <v>-4.3367993913264007E-2</v>
      </c>
      <c r="D990">
        <v>3.4325796173104002E-2</v>
      </c>
      <c r="E990">
        <v>0.10648283954238701</v>
      </c>
      <c r="F990">
        <v>0.43638876935907012</v>
      </c>
      <c r="G990">
        <v>0.7101147028154321</v>
      </c>
      <c r="H990">
        <v>0.15380615322496699</v>
      </c>
      <c r="I990">
        <v>0.64248515144653606</v>
      </c>
    </row>
    <row r="991" spans="1:9" x14ac:dyDescent="0.35">
      <c r="A991" s="1" t="s">
        <v>1003</v>
      </c>
      <c r="B991" t="str">
        <f>HYPERLINK("https://www.suredividend.com/sure-analysis-research-database/","Mineralys Therapeutics Inc")</f>
        <v>Mineralys Therapeutics Inc</v>
      </c>
      <c r="C991">
        <v>-0.2128583840139</v>
      </c>
      <c r="D991">
        <v>-0.41623711340206099</v>
      </c>
      <c r="E991">
        <v>-0.31363636363636299</v>
      </c>
      <c r="F991">
        <v>-0.50867678958785201</v>
      </c>
      <c r="G991">
        <v>-0.50867678958785201</v>
      </c>
      <c r="H991">
        <v>-0.50867678958785201</v>
      </c>
      <c r="I991">
        <v>-0.50867678958785201</v>
      </c>
    </row>
    <row r="992" spans="1:9" x14ac:dyDescent="0.35">
      <c r="A992" s="1" t="s">
        <v>1004</v>
      </c>
      <c r="B992" t="str">
        <f>HYPERLINK("https://www.suredividend.com/sure-analysis-research-database/","Marcus &amp; Millichap Inc")</f>
        <v>Marcus &amp; Millichap Inc</v>
      </c>
      <c r="C992">
        <v>-8.235666772252101E-2</v>
      </c>
      <c r="D992">
        <v>-0.15131097114398701</v>
      </c>
      <c r="E992">
        <v>-8.5106853329712004E-2</v>
      </c>
      <c r="F992">
        <v>-0.14565202645913</v>
      </c>
      <c r="G992">
        <v>-0.14812407924180901</v>
      </c>
      <c r="H992">
        <v>-0.330957698143448</v>
      </c>
      <c r="I992">
        <v>-6.4518212348230006E-2</v>
      </c>
    </row>
    <row r="993" spans="1:9" x14ac:dyDescent="0.35">
      <c r="A993" s="1" t="s">
        <v>1005</v>
      </c>
      <c r="B993" t="str">
        <f>HYPERLINK("https://www.suredividend.com/sure-analysis-MMS/","Maximus Inc.")</f>
        <v>Maximus Inc.</v>
      </c>
      <c r="C993">
        <v>-3.4902699309478001E-2</v>
      </c>
      <c r="D993">
        <v>-0.110468742586757</v>
      </c>
      <c r="E993">
        <v>-7.4551180799013003E-2</v>
      </c>
      <c r="F993">
        <v>5.9213726373691003E-2</v>
      </c>
      <c r="G993">
        <v>0.39298379775187198</v>
      </c>
      <c r="H993">
        <v>-8.1182712799972009E-2</v>
      </c>
      <c r="I993">
        <v>0.32967544295126711</v>
      </c>
    </row>
    <row r="994" spans="1:9" x14ac:dyDescent="0.35">
      <c r="A994" s="1" t="s">
        <v>1006</v>
      </c>
      <c r="B994" t="str">
        <f>HYPERLINK("https://www.suredividend.com/sure-analysis-research-database/","Merit Medical Systems, Inc.")</f>
        <v>Merit Medical Systems, Inc.</v>
      </c>
      <c r="C994">
        <v>-5.1789906103286001E-2</v>
      </c>
      <c r="D994">
        <v>-0.23722412368700499</v>
      </c>
      <c r="E994">
        <v>-0.165741577384794</v>
      </c>
      <c r="F994">
        <v>-8.4820164259416006E-2</v>
      </c>
      <c r="G994">
        <v>0.18110380116958999</v>
      </c>
      <c r="H994">
        <v>-7.1274608420750007E-2</v>
      </c>
      <c r="I994">
        <v>4.1915202321457012E-2</v>
      </c>
    </row>
    <row r="995" spans="1:9" x14ac:dyDescent="0.35">
      <c r="A995" s="1" t="s">
        <v>1007</v>
      </c>
      <c r="B995" t="str">
        <f>HYPERLINK("https://www.suredividend.com/sure-analysis-research-database/","Mannkind Corp")</f>
        <v>Mannkind Corp</v>
      </c>
      <c r="C995">
        <v>-8.2758620689655005E-2</v>
      </c>
      <c r="D995">
        <v>-5.4502369668246002E-2</v>
      </c>
      <c r="E995">
        <v>-9.9255583126550001E-3</v>
      </c>
      <c r="F995">
        <v>-0.242884250474383</v>
      </c>
      <c r="G995">
        <v>0.30392156862745101</v>
      </c>
      <c r="H995">
        <v>-0.216110019646365</v>
      </c>
      <c r="I995">
        <v>1.418181818181818</v>
      </c>
    </row>
    <row r="996" spans="1:9" x14ac:dyDescent="0.35">
      <c r="A996" s="1" t="s">
        <v>1008</v>
      </c>
      <c r="B996" t="str">
        <f>HYPERLINK("https://www.suredividend.com/sure-analysis-research-database/","Monro Inc")</f>
        <v>Monro Inc</v>
      </c>
      <c r="C996">
        <v>-0.13024357239512799</v>
      </c>
      <c r="D996">
        <v>-0.36547816193510602</v>
      </c>
      <c r="E996">
        <v>-0.44071856026904599</v>
      </c>
      <c r="F996">
        <v>-0.41054687768675702</v>
      </c>
      <c r="G996">
        <v>-0.40896959331314903</v>
      </c>
      <c r="H996">
        <v>-0.52733322915421799</v>
      </c>
      <c r="I996">
        <v>-0.57252878073436608</v>
      </c>
    </row>
    <row r="997" spans="1:9" x14ac:dyDescent="0.35">
      <c r="A997" s="1" t="s">
        <v>1009</v>
      </c>
      <c r="B997" t="str">
        <f>HYPERLINK("https://www.suredividend.com/sure-analysis-research-database/","Montauk Renewables Inc")</f>
        <v>Montauk Renewables Inc</v>
      </c>
      <c r="C997">
        <v>5.7471264367815002E-2</v>
      </c>
      <c r="D997">
        <v>0.25247524752475198</v>
      </c>
      <c r="E997">
        <v>0.40751043115438002</v>
      </c>
      <c r="F997">
        <v>-8.2502266545784006E-2</v>
      </c>
      <c r="G997">
        <v>-0.29673384294649002</v>
      </c>
      <c r="H997">
        <v>-0.16501650165016499</v>
      </c>
      <c r="I997">
        <v>-0.13725490196078399</v>
      </c>
    </row>
    <row r="998" spans="1:9" x14ac:dyDescent="0.35">
      <c r="A998" s="1" t="s">
        <v>1010</v>
      </c>
      <c r="B998" t="str">
        <f>HYPERLINK("https://www.suredividend.com/sure-analysis-research-database/","Momentus Inc")</f>
        <v>Momentus Inc</v>
      </c>
      <c r="C998">
        <v>-8.7976539589442002E-2</v>
      </c>
      <c r="D998">
        <v>-0.80695220360024811</v>
      </c>
      <c r="E998">
        <v>-0.85860422823368909</v>
      </c>
      <c r="F998">
        <v>-0.9202461854083851</v>
      </c>
      <c r="G998">
        <v>-0.94543859649122808</v>
      </c>
      <c r="H998">
        <v>-0.99414863593602998</v>
      </c>
      <c r="I998">
        <v>-0.68297655453618711</v>
      </c>
    </row>
    <row r="999" spans="1:9" x14ac:dyDescent="0.35">
      <c r="A999" s="1" t="s">
        <v>1011</v>
      </c>
      <c r="B999" t="str">
        <f>HYPERLINK("https://www.suredividend.com/sure-analysis-research-database/","Modine Manufacturing Co.")</f>
        <v>Modine Manufacturing Co.</v>
      </c>
      <c r="C999">
        <v>-3.5547656076420002E-3</v>
      </c>
      <c r="D999">
        <v>0.18997081453966499</v>
      </c>
      <c r="E999">
        <v>1.064917127071823</v>
      </c>
      <c r="F999">
        <v>1.2583081570996979</v>
      </c>
      <c r="G999">
        <v>2.2452966714905931</v>
      </c>
      <c r="H999">
        <v>2.7066115702479339</v>
      </c>
      <c r="I999">
        <v>2.4848484848484849</v>
      </c>
    </row>
    <row r="1000" spans="1:9" x14ac:dyDescent="0.35">
      <c r="A1000" s="1" t="s">
        <v>1012</v>
      </c>
      <c r="B1000" t="str">
        <f>HYPERLINK("https://www.suredividend.com/sure-analysis-research-database/","Topgolf Callaway Brands Corp")</f>
        <v>Topgolf Callaway Brands Corp</v>
      </c>
      <c r="C1000">
        <v>-0.22009864364981499</v>
      </c>
      <c r="D1000">
        <v>-0.35393258426966201</v>
      </c>
      <c r="E1000">
        <v>-0.43526785714285698</v>
      </c>
      <c r="F1000">
        <v>-0.35949367088607598</v>
      </c>
      <c r="G1000">
        <v>-0.27548682703321797</v>
      </c>
      <c r="H1000">
        <v>-0.53865791393143603</v>
      </c>
      <c r="I1000">
        <v>-0.45444273373786498</v>
      </c>
    </row>
    <row r="1001" spans="1:9" x14ac:dyDescent="0.35">
      <c r="A1001" s="1" t="s">
        <v>1013</v>
      </c>
      <c r="B1001" t="str">
        <f>HYPERLINK("https://www.suredividend.com/sure-analysis-research-database/","Model N Inc")</f>
        <v>Model N Inc</v>
      </c>
      <c r="C1001">
        <v>-0.10942956926658901</v>
      </c>
      <c r="D1001">
        <v>-0.31838431838431802</v>
      </c>
      <c r="E1001">
        <v>-0.32440388578157198</v>
      </c>
      <c r="F1001">
        <v>-0.43417159763313601</v>
      </c>
      <c r="G1001">
        <v>-0.31737061273051698</v>
      </c>
      <c r="H1001">
        <v>-0.30327868852459</v>
      </c>
      <c r="I1001">
        <v>0.53102068045363504</v>
      </c>
    </row>
    <row r="1002" spans="1:9" x14ac:dyDescent="0.35">
      <c r="A1002" s="1" t="s">
        <v>1014</v>
      </c>
      <c r="B1002" t="str">
        <f>HYPERLINK("https://www.suredividend.com/sure-analysis-research-database/","ModivCare Inc")</f>
        <v>ModivCare Inc</v>
      </c>
      <c r="C1002">
        <v>1.8439716312056001E-2</v>
      </c>
      <c r="D1002">
        <v>-0.33419881305637911</v>
      </c>
      <c r="E1002">
        <v>-0.54825720397634303</v>
      </c>
      <c r="F1002">
        <v>-0.59991084364203706</v>
      </c>
      <c r="G1002">
        <v>-0.59685569904548008</v>
      </c>
      <c r="H1002">
        <v>-0.78805053725351204</v>
      </c>
      <c r="I1002">
        <v>-0.44392812887236599</v>
      </c>
    </row>
    <row r="1003" spans="1:9" x14ac:dyDescent="0.35">
      <c r="A1003" s="1" t="s">
        <v>1015</v>
      </c>
      <c r="B1003" t="str">
        <f>HYPERLINK("https://www.suredividend.com/sure-analysis-research-database/","MidWestOne Financial Group Inc")</f>
        <v>MidWestOne Financial Group Inc</v>
      </c>
      <c r="C1003">
        <v>-4.2897998093422013E-2</v>
      </c>
      <c r="D1003">
        <v>-4.7840333066210002E-2</v>
      </c>
      <c r="E1003">
        <v>-4.1687546233326003E-2</v>
      </c>
      <c r="F1003">
        <v>-0.33186930192320402</v>
      </c>
      <c r="G1003">
        <v>-0.26622937640459698</v>
      </c>
      <c r="H1003">
        <v>-0.276187729795977</v>
      </c>
      <c r="I1003">
        <v>-0.27077810300622401</v>
      </c>
    </row>
    <row r="1004" spans="1:9" x14ac:dyDescent="0.35">
      <c r="A1004" s="1" t="s">
        <v>1016</v>
      </c>
      <c r="B1004" t="str">
        <f>HYPERLINK("https://www.suredividend.com/sure-analysis-research-database/","Morphic Holding Inc")</f>
        <v>Morphic Holding Inc</v>
      </c>
      <c r="C1004">
        <v>-0.59357384441939109</v>
      </c>
      <c r="D1004">
        <v>-0.63295435262175404</v>
      </c>
      <c r="E1004">
        <v>-0.37557736720554202</v>
      </c>
      <c r="F1004">
        <v>-0.191401869158878</v>
      </c>
      <c r="G1004">
        <v>-0.22166246851385399</v>
      </c>
      <c r="H1004">
        <v>-0.63182978723404204</v>
      </c>
      <c r="I1004">
        <v>0.20166666666666599</v>
      </c>
    </row>
    <row r="1005" spans="1:9" x14ac:dyDescent="0.35">
      <c r="A1005" s="1" t="s">
        <v>1017</v>
      </c>
      <c r="B1005" t="str">
        <f>HYPERLINK("https://www.suredividend.com/sure-analysis-research-database/","Movado Group, Inc.")</f>
        <v>Movado Group, Inc.</v>
      </c>
      <c r="C1005">
        <v>3.5048471290081998E-2</v>
      </c>
      <c r="D1005">
        <v>3.7842364605686997E-2</v>
      </c>
      <c r="E1005">
        <v>8.6760779523798001E-2</v>
      </c>
      <c r="F1005">
        <v>-0.105419366897294</v>
      </c>
      <c r="G1005">
        <v>-4.4945366471252003E-2</v>
      </c>
      <c r="H1005">
        <v>-0.103107139280094</v>
      </c>
      <c r="I1005">
        <v>-0.17363736492721701</v>
      </c>
    </row>
    <row r="1006" spans="1:9" x14ac:dyDescent="0.35">
      <c r="A1006" s="1" t="s">
        <v>1018</v>
      </c>
      <c r="B1006" t="str">
        <f>HYPERLINK("https://www.suredividend.com/sure-analysis-research-database/","Motorcar Parts of America Inc.")</f>
        <v>Motorcar Parts of America Inc.</v>
      </c>
      <c r="C1006">
        <v>1.3422818791946E-2</v>
      </c>
      <c r="D1006">
        <v>-5.2697616060225001E-2</v>
      </c>
      <c r="E1006">
        <v>0.49504950495049499</v>
      </c>
      <c r="F1006">
        <v>-0.36340640809443497</v>
      </c>
      <c r="G1006">
        <v>-0.5275344180225281</v>
      </c>
      <c r="H1006">
        <v>-0.61282051282051209</v>
      </c>
      <c r="I1006">
        <v>-0.65062471078204509</v>
      </c>
    </row>
    <row r="1007" spans="1:9" x14ac:dyDescent="0.35">
      <c r="A1007" s="1" t="s">
        <v>1019</v>
      </c>
      <c r="B1007" t="str">
        <f>HYPERLINK("https://www.suredividend.com/sure-analysis-research-database/","Mid Penn Bancorp, Inc.")</f>
        <v>Mid Penn Bancorp, Inc.</v>
      </c>
      <c r="C1007">
        <v>-5.1502145922745997E-2</v>
      </c>
      <c r="D1007">
        <v>-0.11198221285639</v>
      </c>
      <c r="E1007">
        <v>-0.14662296094802499</v>
      </c>
      <c r="F1007">
        <v>-0.31256869128838899</v>
      </c>
      <c r="G1007">
        <v>-0.34343000878067398</v>
      </c>
      <c r="H1007">
        <v>-0.244134345714481</v>
      </c>
      <c r="I1007">
        <v>-0.12711856968569199</v>
      </c>
    </row>
    <row r="1008" spans="1:9" x14ac:dyDescent="0.35">
      <c r="A1008" s="1" t="s">
        <v>1020</v>
      </c>
      <c r="B1008" t="str">
        <f>HYPERLINK("https://www.suredividend.com/sure-analysis-research-database/","MultiPlan Corp")</f>
        <v>MultiPlan Corp</v>
      </c>
      <c r="C1008">
        <v>0</v>
      </c>
      <c r="D1008">
        <v>-0.154228855721393</v>
      </c>
      <c r="E1008">
        <v>0.54545454545454508</v>
      </c>
      <c r="F1008">
        <v>0.47826086956521702</v>
      </c>
      <c r="G1008">
        <v>-0.35606060606060602</v>
      </c>
      <c r="H1008">
        <v>-0.63362068965517204</v>
      </c>
      <c r="I1008">
        <v>-0.82510288065843607</v>
      </c>
    </row>
    <row r="1009" spans="1:9" x14ac:dyDescent="0.35">
      <c r="A1009" s="1" t="s">
        <v>1021</v>
      </c>
      <c r="B1009" t="str">
        <f>HYPERLINK("https://www.suredividend.com/sure-analysis-research-database/","Marine Products Corp")</f>
        <v>Marine Products Corp</v>
      </c>
      <c r="C1009">
        <v>7.1428571428571008E-2</v>
      </c>
      <c r="D1009">
        <v>-0.17263717499603901</v>
      </c>
      <c r="E1009">
        <v>8.5492128257438002E-2</v>
      </c>
      <c r="F1009">
        <v>0.23257135364307799</v>
      </c>
      <c r="G1009">
        <v>0.71207926562727608</v>
      </c>
      <c r="H1009">
        <v>0.194500216026634</v>
      </c>
      <c r="I1009">
        <v>-0.24089477509488799</v>
      </c>
    </row>
    <row r="1010" spans="1:9" x14ac:dyDescent="0.35">
      <c r="A1010" s="1" t="s">
        <v>1022</v>
      </c>
      <c r="B1010" t="str">
        <f>HYPERLINK("https://www.suredividend.com/sure-analysis-research-database/","Marqeta Inc")</f>
        <v>Marqeta Inc</v>
      </c>
      <c r="C1010">
        <v>-0.12577639751552799</v>
      </c>
      <c r="D1010">
        <v>9.5330739299611014E-2</v>
      </c>
      <c r="E1010">
        <v>0.27664399092970499</v>
      </c>
      <c r="F1010">
        <v>-7.8559738134206011E-2</v>
      </c>
      <c r="G1010">
        <v>-0.133846153846153</v>
      </c>
      <c r="H1010">
        <v>-0.74988893824966607</v>
      </c>
      <c r="I1010">
        <v>-0.81553079947575302</v>
      </c>
    </row>
    <row r="1011" spans="1:9" x14ac:dyDescent="0.35">
      <c r="A1011" s="1" t="s">
        <v>1023</v>
      </c>
      <c r="B1011" t="str">
        <f>HYPERLINK("https://www.suredividend.com/sure-analysis-research-database/","MRC Global Inc")</f>
        <v>MRC Global Inc</v>
      </c>
      <c r="C1011">
        <v>-1.3779527559055E-2</v>
      </c>
      <c r="D1011">
        <v>-4.9335863377609007E-2</v>
      </c>
      <c r="E1011">
        <v>5.9196617336152002E-2</v>
      </c>
      <c r="F1011">
        <v>-0.13471502590673501</v>
      </c>
      <c r="G1011">
        <v>0.153049482163406</v>
      </c>
      <c r="H1011">
        <v>0.170560747663551</v>
      </c>
      <c r="I1011">
        <v>-0.42775556824671601</v>
      </c>
    </row>
    <row r="1012" spans="1:9" x14ac:dyDescent="0.35">
      <c r="A1012" s="1" t="s">
        <v>1024</v>
      </c>
      <c r="B1012" t="str">
        <f>HYPERLINK("https://www.suredividend.com/sure-analysis-research-database/","Mersana Therapeutics Inc")</f>
        <v>Mersana Therapeutics Inc</v>
      </c>
      <c r="C1012">
        <v>9.1549295774648001E-2</v>
      </c>
      <c r="D1012">
        <v>-0.57534246575342407</v>
      </c>
      <c r="E1012">
        <v>-0.62650602409638501</v>
      </c>
      <c r="F1012">
        <v>-0.73549488054607504</v>
      </c>
      <c r="G1012">
        <v>-0.76443768996960404</v>
      </c>
      <c r="H1012">
        <v>-0.8174322732626621</v>
      </c>
      <c r="I1012">
        <v>-0.80625000000000002</v>
      </c>
    </row>
    <row r="1013" spans="1:9" x14ac:dyDescent="0.35">
      <c r="A1013" s="1" t="s">
        <v>1025</v>
      </c>
      <c r="B1013" t="str">
        <f>HYPERLINK("https://www.suredividend.com/sure-analysis-research-database/","Marten Transport, Ltd.")</f>
        <v>Marten Transport, Ltd.</v>
      </c>
      <c r="C1013">
        <v>-5.5718475073312998E-2</v>
      </c>
      <c r="D1013">
        <v>-5.1075889370772003E-2</v>
      </c>
      <c r="E1013">
        <v>-4.4065985176095002E-2</v>
      </c>
      <c r="F1013">
        <v>-9.2714145060710015E-3</v>
      </c>
      <c r="G1013">
        <v>-7.8613099424800002E-4</v>
      </c>
      <c r="H1013">
        <v>0.275997120420577</v>
      </c>
      <c r="I1013">
        <v>0.71287225271071808</v>
      </c>
    </row>
    <row r="1014" spans="1:9" x14ac:dyDescent="0.35">
      <c r="A1014" s="1" t="s">
        <v>1026</v>
      </c>
      <c r="B1014" t="str">
        <f>HYPERLINK("https://www.suredividend.com/sure-analysis-research-database/","Midland States Bancorp Inc")</f>
        <v>Midland States Bancorp Inc</v>
      </c>
      <c r="C1014">
        <v>-5.7957681692732008E-2</v>
      </c>
      <c r="D1014">
        <v>-7.4778402950420007E-3</v>
      </c>
      <c r="E1014">
        <v>6.0931008402490001E-2</v>
      </c>
      <c r="F1014">
        <v>-0.18881772560016799</v>
      </c>
      <c r="G1014">
        <v>-0.147455270541415</v>
      </c>
      <c r="H1014">
        <v>-8.7262679383189004E-2</v>
      </c>
      <c r="I1014">
        <v>-9.3343958208823005E-2</v>
      </c>
    </row>
    <row r="1015" spans="1:9" x14ac:dyDescent="0.35">
      <c r="A1015" s="1" t="s">
        <v>1027</v>
      </c>
      <c r="B1015" t="str">
        <f>HYPERLINK("https://www.suredividend.com/sure-analysis-MSEX/","Middlesex Water Co.")</f>
        <v>Middlesex Water Co.</v>
      </c>
      <c r="C1015">
        <v>-0.109652720809406</v>
      </c>
      <c r="D1015">
        <v>-0.18868241875299699</v>
      </c>
      <c r="E1015">
        <v>-0.16502543902839301</v>
      </c>
      <c r="F1015">
        <v>-0.159173428227601</v>
      </c>
      <c r="G1015">
        <v>-0.18069809253129299</v>
      </c>
      <c r="H1015">
        <v>-0.36080911828564899</v>
      </c>
      <c r="I1015">
        <v>0.59359429908280203</v>
      </c>
    </row>
    <row r="1016" spans="1:9" x14ac:dyDescent="0.35">
      <c r="A1016" s="1" t="s">
        <v>1028</v>
      </c>
      <c r="B1016" t="str">
        <f>HYPERLINK("https://www.suredividend.com/sure-analysis-research-database/","Madison Square Garden Entertainment Corp.")</f>
        <v>Madison Square Garden Entertainment Corp.</v>
      </c>
      <c r="C1016">
        <v>-2.412213740458E-2</v>
      </c>
      <c r="D1016">
        <v>-7.8962536023054003E-2</v>
      </c>
      <c r="E1016">
        <v>-1.249999999999E-3</v>
      </c>
      <c r="F1016">
        <v>-1.249999999999E-3</v>
      </c>
      <c r="G1016">
        <v>-1.249999999999E-3</v>
      </c>
      <c r="H1016">
        <v>-1.249999999999E-3</v>
      </c>
      <c r="I1016">
        <v>-1.249999999999E-3</v>
      </c>
    </row>
    <row r="1017" spans="1:9" x14ac:dyDescent="0.35">
      <c r="A1017" s="1" t="s">
        <v>1029</v>
      </c>
      <c r="B1017" t="str">
        <f>HYPERLINK("https://www.suredividend.com/sure-analysis-research-database/","Microstrategy Inc.")</f>
        <v>Microstrategy Inc.</v>
      </c>
      <c r="C1017">
        <v>-6.6201068137801009E-2</v>
      </c>
      <c r="D1017">
        <v>-0.30649871420476799</v>
      </c>
      <c r="E1017">
        <v>-4.6531835205992002E-2</v>
      </c>
      <c r="F1017">
        <v>1.247792611428975</v>
      </c>
      <c r="G1017">
        <v>0.52032869905881207</v>
      </c>
      <c r="H1017">
        <v>-0.5756217910248711</v>
      </c>
      <c r="I1017">
        <v>1.4858995390985079</v>
      </c>
    </row>
    <row r="1018" spans="1:9" x14ac:dyDescent="0.35">
      <c r="A1018" s="1" t="s">
        <v>1030</v>
      </c>
      <c r="B1018" t="str">
        <f>HYPERLINK("https://www.suredividend.com/sure-analysis-research-database/","Matador Resources Co")</f>
        <v>Matador Resources Co</v>
      </c>
      <c r="C1018">
        <v>3.1676413255359998E-2</v>
      </c>
      <c r="D1018">
        <v>0.21906743548597599</v>
      </c>
      <c r="E1018">
        <v>0.210020824323114</v>
      </c>
      <c r="F1018">
        <v>0.119264890928508</v>
      </c>
      <c r="G1018">
        <v>6.8368160576525006E-2</v>
      </c>
      <c r="H1018">
        <v>0.54962534251087602</v>
      </c>
      <c r="I1018">
        <v>1.048306623535368</v>
      </c>
    </row>
    <row r="1019" spans="1:9" x14ac:dyDescent="0.35">
      <c r="A1019" s="1" t="s">
        <v>1031</v>
      </c>
      <c r="B1019" t="str">
        <f>HYPERLINK("https://www.suredividend.com/sure-analysis-research-database/","Meritage Homes Corp.")</f>
        <v>Meritage Homes Corp.</v>
      </c>
      <c r="C1019">
        <v>-0.123099596649084</v>
      </c>
      <c r="D1019">
        <v>-0.22327762414332</v>
      </c>
      <c r="E1019">
        <v>-5.4420386044063997E-2</v>
      </c>
      <c r="F1019">
        <v>0.23439535373807199</v>
      </c>
      <c r="G1019">
        <v>0.70734027948729905</v>
      </c>
      <c r="H1019">
        <v>0.120961736583411</v>
      </c>
      <c r="I1019">
        <v>2.2480405451996228</v>
      </c>
    </row>
    <row r="1020" spans="1:9" x14ac:dyDescent="0.35">
      <c r="A1020" s="1" t="s">
        <v>1032</v>
      </c>
      <c r="B1020" t="str">
        <f>HYPERLINK("https://www.suredividend.com/sure-analysis-research-database/","Materion Corp")</f>
        <v>Materion Corp</v>
      </c>
      <c r="C1020">
        <v>-0.100723427935447</v>
      </c>
      <c r="D1020">
        <v>-0.19744865484084301</v>
      </c>
      <c r="E1020">
        <v>-0.146640380561777</v>
      </c>
      <c r="F1020">
        <v>0.111995467609232</v>
      </c>
      <c r="G1020">
        <v>0.213088747150567</v>
      </c>
      <c r="H1020">
        <v>0.36128535888176899</v>
      </c>
      <c r="I1020">
        <v>0.80425272191694408</v>
      </c>
    </row>
    <row r="1021" spans="1:9" x14ac:dyDescent="0.35">
      <c r="A1021" s="1" t="s">
        <v>1033</v>
      </c>
      <c r="B1021" t="str">
        <f>HYPERLINK("https://www.suredividend.com/sure-analysis-research-database/","MACOM Technology Solutions Holdings Inc")</f>
        <v>MACOM Technology Solutions Holdings Inc</v>
      </c>
      <c r="C1021">
        <v>2.2062596203181E-2</v>
      </c>
      <c r="D1021">
        <v>0.21704597525584199</v>
      </c>
      <c r="E1021">
        <v>0.260959012501978</v>
      </c>
      <c r="F1021">
        <v>0.26516354398221598</v>
      </c>
      <c r="G1021">
        <v>0.58189398451459207</v>
      </c>
      <c r="H1021">
        <v>0.23938404106392799</v>
      </c>
      <c r="I1021">
        <v>4.0913738019169328</v>
      </c>
    </row>
    <row r="1022" spans="1:9" x14ac:dyDescent="0.35">
      <c r="A1022" s="1" t="s">
        <v>1034</v>
      </c>
      <c r="B1022" t="str">
        <f>HYPERLINK("https://www.suredividend.com/sure-analysis-research-database/","Matterport Inc")</f>
        <v>Matterport Inc</v>
      </c>
      <c r="C1022">
        <v>-0.11063829787234</v>
      </c>
      <c r="D1022">
        <v>-0.40114613180515701</v>
      </c>
      <c r="E1022">
        <v>-0.24</v>
      </c>
      <c r="F1022">
        <v>-0.253571428571428</v>
      </c>
      <c r="G1022">
        <v>-0.38529411764705801</v>
      </c>
      <c r="H1022">
        <v>-0.88924218335983007</v>
      </c>
      <c r="I1022">
        <v>-0.80578374159015709</v>
      </c>
    </row>
    <row r="1023" spans="1:9" x14ac:dyDescent="0.35">
      <c r="A1023" s="1" t="s">
        <v>1035</v>
      </c>
      <c r="B1023" t="str">
        <f>HYPERLINK("https://www.suredividend.com/sure-analysis-research-database/","Manitowoc Co., Inc.")</f>
        <v>Manitowoc Co., Inc.</v>
      </c>
      <c r="C1023">
        <v>-6.6398390342051999E-2</v>
      </c>
      <c r="D1023">
        <v>-0.27987584066218302</v>
      </c>
      <c r="E1023">
        <v>-7.5697211155378002E-2</v>
      </c>
      <c r="F1023">
        <v>0.51965065502183405</v>
      </c>
      <c r="G1023">
        <v>0.74436090225563911</v>
      </c>
      <c r="H1023">
        <v>-0.28870720490546697</v>
      </c>
      <c r="I1023">
        <v>-0.33871733966745798</v>
      </c>
    </row>
    <row r="1024" spans="1:9" x14ac:dyDescent="0.35">
      <c r="A1024" s="1" t="s">
        <v>1036</v>
      </c>
      <c r="B1024" t="str">
        <f>HYPERLINK("https://www.suredividend.com/sure-analysis-research-database/","Minerals Technologies, Inc.")</f>
        <v>Minerals Technologies, Inc.</v>
      </c>
      <c r="C1024">
        <v>-0.12706093189964099</v>
      </c>
      <c r="D1024">
        <v>-0.103969684706228</v>
      </c>
      <c r="E1024">
        <v>-0.186325049027632</v>
      </c>
      <c r="F1024">
        <v>-0.19572417846964599</v>
      </c>
      <c r="G1024">
        <v>-6.521251014717401E-2</v>
      </c>
      <c r="H1024">
        <v>-0.317427664988845</v>
      </c>
      <c r="I1024">
        <v>-0.130771509434635</v>
      </c>
    </row>
    <row r="1025" spans="1:9" x14ac:dyDescent="0.35">
      <c r="A1025" s="1" t="s">
        <v>1037</v>
      </c>
      <c r="B1025" t="str">
        <f>HYPERLINK("https://www.suredividend.com/sure-analysis-research-database/","Mullen Automotive Inc")</f>
        <v>Mullen Automotive Inc</v>
      </c>
      <c r="C1025">
        <v>-0.42279411764705799</v>
      </c>
      <c r="D1025">
        <v>-0.72151270043990301</v>
      </c>
      <c r="E1025">
        <v>-0.98257298257298209</v>
      </c>
      <c r="F1025">
        <v>-0.99390054390054405</v>
      </c>
      <c r="G1025">
        <v>-0.99245482506728111</v>
      </c>
      <c r="H1025">
        <v>-0.94794429708222805</v>
      </c>
      <c r="I1025">
        <v>-0.90088383838383812</v>
      </c>
    </row>
    <row r="1026" spans="1:9" x14ac:dyDescent="0.35">
      <c r="A1026" s="1" t="s">
        <v>1038</v>
      </c>
      <c r="B1026" t="str">
        <f>HYPERLINK("https://www.suredividend.com/sure-analysis-research-database/","Murphy Oil Corp.")</f>
        <v>Murphy Oil Corp.</v>
      </c>
      <c r="C1026">
        <v>2.6292532037118999E-2</v>
      </c>
      <c r="D1026">
        <v>0.19329902866229701</v>
      </c>
      <c r="E1026">
        <v>0.205338260212938</v>
      </c>
      <c r="F1026">
        <v>0.103176054548434</v>
      </c>
      <c r="G1026">
        <v>0.13000810102686</v>
      </c>
      <c r="H1026">
        <v>0.7181876357072311</v>
      </c>
      <c r="I1026">
        <v>0.54786897264154</v>
      </c>
    </row>
    <row r="1027" spans="1:9" x14ac:dyDescent="0.35">
      <c r="A1027" s="1" t="s">
        <v>1039</v>
      </c>
      <c r="B1027" t="str">
        <f>HYPERLINK("https://www.suredividend.com/sure-analysis-research-database/","Murphy USA Inc")</f>
        <v>Murphy USA Inc</v>
      </c>
      <c r="C1027">
        <v>7.7969147820877008E-2</v>
      </c>
      <c r="D1027">
        <v>0.16203977567737199</v>
      </c>
      <c r="E1027">
        <v>0.32211803397212901</v>
      </c>
      <c r="F1027">
        <v>0.29251502780372601</v>
      </c>
      <c r="G1027">
        <v>0.30695740186107401</v>
      </c>
      <c r="H1027">
        <v>1.192856581403128</v>
      </c>
      <c r="I1027">
        <v>3.6253858986651291</v>
      </c>
    </row>
    <row r="1028" spans="1:9" x14ac:dyDescent="0.35">
      <c r="A1028" s="1" t="s">
        <v>1040</v>
      </c>
      <c r="B1028" t="str">
        <f>HYPERLINK("https://www.suredividend.com/sure-analysis-research-database/","MVB Financial Corp.")</f>
        <v>MVB Financial Corp.</v>
      </c>
      <c r="C1028">
        <v>1.8256503879500001E-3</v>
      </c>
      <c r="D1028">
        <v>1.1641947883155999E-2</v>
      </c>
      <c r="E1028">
        <v>0.27741792808049698</v>
      </c>
      <c r="F1028">
        <v>3.6790719424120003E-2</v>
      </c>
      <c r="G1028">
        <v>-0.13522074524666799</v>
      </c>
      <c r="H1028">
        <v>-0.45359000082148199</v>
      </c>
      <c r="I1028">
        <v>0.30397847098870601</v>
      </c>
    </row>
    <row r="1029" spans="1:9" x14ac:dyDescent="0.35">
      <c r="A1029" s="1" t="s">
        <v>1041</v>
      </c>
      <c r="B1029" t="str">
        <f>HYPERLINK("https://www.suredividend.com/sure-analysis-research-database/","Microvision Inc.")</f>
        <v>Microvision Inc.</v>
      </c>
      <c r="C1029">
        <v>-6.7567567567567002E-2</v>
      </c>
      <c r="D1029">
        <v>-0.50120481927710803</v>
      </c>
      <c r="E1029">
        <v>-5.045871559633E-2</v>
      </c>
      <c r="F1029">
        <v>-0.11914893617021199</v>
      </c>
      <c r="G1029">
        <v>-0.33225806451612899</v>
      </c>
      <c r="H1029">
        <v>-0.7745098039215681</v>
      </c>
      <c r="I1029">
        <v>0.62992125984251901</v>
      </c>
    </row>
    <row r="1030" spans="1:9" x14ac:dyDescent="0.35">
      <c r="A1030" s="1" t="s">
        <v>1042</v>
      </c>
      <c r="B1030" t="str">
        <f>HYPERLINK("https://www.suredividend.com/sure-analysis-research-database/","Microvast Holdings Inc")</f>
        <v>Microvast Holdings Inc</v>
      </c>
      <c r="C1030">
        <v>-0.197044334975369</v>
      </c>
      <c r="D1030">
        <v>-0.30042918454935602</v>
      </c>
      <c r="E1030">
        <v>0.2734375</v>
      </c>
      <c r="F1030">
        <v>6.535947712418301E-2</v>
      </c>
      <c r="G1030">
        <v>3.8216560509554E-2</v>
      </c>
      <c r="H1030">
        <v>-0.7858081471747701</v>
      </c>
      <c r="I1030">
        <v>-0.83316274309109506</v>
      </c>
    </row>
    <row r="1031" spans="1:9" x14ac:dyDescent="0.35">
      <c r="A1031" s="1" t="s">
        <v>1043</v>
      </c>
      <c r="B1031" t="str">
        <f>HYPERLINK("https://www.suredividend.com/sure-analysis-MWA/","Mueller Water Products Inc")</f>
        <v>Mueller Water Products Inc</v>
      </c>
      <c r="C1031">
        <v>-1.5455950540958E-2</v>
      </c>
      <c r="D1031">
        <v>-0.20220427077462499</v>
      </c>
      <c r="E1031">
        <v>-5.1659967247282002E-2</v>
      </c>
      <c r="F1031">
        <v>0.19953299186501899</v>
      </c>
      <c r="G1031">
        <v>0.25624919882066399</v>
      </c>
      <c r="H1031">
        <v>-0.16999472288638501</v>
      </c>
      <c r="I1031">
        <v>0.30051755290370602</v>
      </c>
    </row>
    <row r="1032" spans="1:9" x14ac:dyDescent="0.35">
      <c r="A1032" s="1" t="s">
        <v>1044</v>
      </c>
      <c r="B1032" t="str">
        <f>HYPERLINK("https://www.suredividend.com/sure-analysis-research-database/","MaxCyte Inc")</f>
        <v>MaxCyte Inc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35">
      <c r="A1033" s="1" t="s">
        <v>1045</v>
      </c>
      <c r="B1033" t="str">
        <f>HYPERLINK("https://www.suredividend.com/sure-analysis-research-database/","MaxLinear Inc")</f>
        <v>MaxLinear Inc</v>
      </c>
      <c r="C1033">
        <v>-2.0901068276823E-2</v>
      </c>
      <c r="D1033">
        <v>-0.34736842105263099</v>
      </c>
      <c r="E1033">
        <v>-0.33100602983179911</v>
      </c>
      <c r="F1033">
        <v>-0.37908689248895411</v>
      </c>
      <c r="G1033">
        <v>-0.29780146568954002</v>
      </c>
      <c r="H1033">
        <v>-0.5641025641025641</v>
      </c>
      <c r="I1033">
        <v>0.24219210371243299</v>
      </c>
    </row>
    <row r="1034" spans="1:9" x14ac:dyDescent="0.35">
      <c r="A1034" s="1" t="s">
        <v>1046</v>
      </c>
      <c r="B1034" t="str">
        <f>HYPERLINK("https://www.suredividend.com/sure-analysis-research-database/","Myers Industries Inc.")</f>
        <v>Myers Industries Inc.</v>
      </c>
      <c r="C1034">
        <v>-3.3821871476887998E-2</v>
      </c>
      <c r="D1034">
        <v>-0.10834122335167901</v>
      </c>
      <c r="E1034">
        <v>-0.14411692740973001</v>
      </c>
      <c r="F1034">
        <v>-0.21241751980443599</v>
      </c>
      <c r="G1034">
        <v>3.2169482951738999E-2</v>
      </c>
      <c r="H1034">
        <v>-0.111240167381373</v>
      </c>
      <c r="I1034">
        <v>0.27580072498827601</v>
      </c>
    </row>
    <row r="1035" spans="1:9" x14ac:dyDescent="0.35">
      <c r="A1035" s="1" t="s">
        <v>1047</v>
      </c>
      <c r="B1035" t="str">
        <f>HYPERLINK("https://www.suredividend.com/sure-analysis-research-database/","First Western Financial Inc")</f>
        <v>First Western Financial Inc</v>
      </c>
      <c r="C1035">
        <v>-0.105398457583547</v>
      </c>
      <c r="D1035">
        <v>-6.7024128686327011E-2</v>
      </c>
      <c r="E1035">
        <v>-2.7389603130240001E-2</v>
      </c>
      <c r="F1035">
        <v>-0.38188277087033701</v>
      </c>
      <c r="G1035">
        <v>-0.342155009451795</v>
      </c>
      <c r="H1035">
        <v>-0.38144329896907198</v>
      </c>
      <c r="I1035">
        <v>9.2278719397363013E-2</v>
      </c>
    </row>
    <row r="1036" spans="1:9" x14ac:dyDescent="0.35">
      <c r="A1036" s="1" t="s">
        <v>1048</v>
      </c>
      <c r="B1036" t="str">
        <f>HYPERLINK("https://www.suredividend.com/sure-analysis-research-database/","Myriad Genetics, Inc.")</f>
        <v>Myriad Genetics, Inc.</v>
      </c>
      <c r="C1036">
        <v>-0.12462372065021</v>
      </c>
      <c r="D1036">
        <v>-0.35377777777777702</v>
      </c>
      <c r="E1036">
        <v>-0.347103726986978</v>
      </c>
      <c r="F1036">
        <v>2.0675396278419999E-3</v>
      </c>
      <c r="G1036">
        <v>-0.22204387372926701</v>
      </c>
      <c r="H1036">
        <v>-0.54190296156269602</v>
      </c>
      <c r="I1036">
        <v>-0.66681943171402303</v>
      </c>
    </row>
    <row r="1037" spans="1:9" x14ac:dyDescent="0.35">
      <c r="A1037" s="1" t="s">
        <v>1049</v>
      </c>
      <c r="B1037" t="str">
        <f>HYPERLINK("https://www.suredividend.com/sure-analysis-research-database/","PLAYSTUDIOS Inc")</f>
        <v>PLAYSTUDIOS Inc</v>
      </c>
      <c r="C1037">
        <v>-0.148809523809523</v>
      </c>
      <c r="D1037">
        <v>-0.39789473684210502</v>
      </c>
      <c r="E1037">
        <v>-0.30413625304136199</v>
      </c>
      <c r="F1037">
        <v>-0.26288659793814401</v>
      </c>
      <c r="G1037">
        <v>-0.16618075801749199</v>
      </c>
      <c r="H1037">
        <v>-0.370044052863436</v>
      </c>
      <c r="I1037">
        <v>-0.72097560975609709</v>
      </c>
    </row>
    <row r="1038" spans="1:9" x14ac:dyDescent="0.35">
      <c r="A1038" s="1" t="s">
        <v>1050</v>
      </c>
      <c r="B1038" t="str">
        <f>HYPERLINK("https://www.suredividend.com/sure-analysis-research-database/","MYR Group Inc")</f>
        <v>MYR Group Inc</v>
      </c>
      <c r="C1038">
        <v>-5.7022634939059007E-2</v>
      </c>
      <c r="D1038">
        <v>-0.10079557246627401</v>
      </c>
      <c r="E1038">
        <v>5.4176804541768007E-2</v>
      </c>
      <c r="F1038">
        <v>0.41175192788095999</v>
      </c>
      <c r="G1038">
        <v>0.52737955346651</v>
      </c>
      <c r="H1038">
        <v>0.23708004187684301</v>
      </c>
      <c r="I1038">
        <v>3.0479601370289631</v>
      </c>
    </row>
    <row r="1039" spans="1:9" x14ac:dyDescent="0.35">
      <c r="A1039" s="1" t="s">
        <v>1051</v>
      </c>
      <c r="B1039" t="str">
        <f>HYPERLINK("https://www.suredividend.com/sure-analysis-research-database/","N-able Inc")</f>
        <v>N-able Inc</v>
      </c>
      <c r="C1039">
        <v>-4.6337817638266013E-2</v>
      </c>
      <c r="D1039">
        <v>-0.125428375599725</v>
      </c>
      <c r="E1039">
        <v>-5.3412462908011007E-2</v>
      </c>
      <c r="F1039">
        <v>0.24124513618676999</v>
      </c>
      <c r="G1039">
        <v>0.31546391752577302</v>
      </c>
      <c r="H1039">
        <v>-1.6191210485736001E-2</v>
      </c>
      <c r="I1039">
        <v>-0.20250000000000001</v>
      </c>
    </row>
    <row r="1040" spans="1:9" x14ac:dyDescent="0.35">
      <c r="A1040" s="1" t="s">
        <v>1052</v>
      </c>
      <c r="B1040" t="str">
        <f>HYPERLINK("https://www.suredividend.com/sure-analysis-research-database/","Duckhorn Portfolio Inc (The)")</f>
        <v>Duckhorn Portfolio Inc (The)</v>
      </c>
      <c r="C1040">
        <v>-0.16300675675675599</v>
      </c>
      <c r="D1040">
        <v>-0.22213500784929299</v>
      </c>
      <c r="E1040">
        <v>-0.32813559322033897</v>
      </c>
      <c r="F1040">
        <v>-0.40193120096559998</v>
      </c>
      <c r="G1040">
        <v>-0.30407303370786498</v>
      </c>
      <c r="H1040">
        <v>-0.49593082400813798</v>
      </c>
      <c r="I1040">
        <v>-0.42316647264260698</v>
      </c>
    </row>
    <row r="1041" spans="1:9" x14ac:dyDescent="0.35">
      <c r="A1041" s="1" t="s">
        <v>1053</v>
      </c>
      <c r="B1041" t="str">
        <f>HYPERLINK("https://www.suredividend.com/sure-analysis-research-database/","Inari Medical Inc")</f>
        <v>Inari Medical Inc</v>
      </c>
      <c r="C1041">
        <v>-0.17012323414487501</v>
      </c>
      <c r="D1041">
        <v>-3.4952813701502002E-2</v>
      </c>
      <c r="E1041">
        <v>-0.139607354315986</v>
      </c>
      <c r="F1041">
        <v>-0.131214600377596</v>
      </c>
      <c r="G1041">
        <v>-0.23718745683105399</v>
      </c>
      <c r="H1041">
        <v>-0.35902495647127097</v>
      </c>
      <c r="I1041">
        <v>0.29898847330040002</v>
      </c>
    </row>
    <row r="1042" spans="1:9" x14ac:dyDescent="0.35">
      <c r="A1042" s="1" t="s">
        <v>1054</v>
      </c>
      <c r="B1042" t="str">
        <f>HYPERLINK("https://www.suredividend.com/sure-analysis-research-database/","Nordic American Tankers Ltd")</f>
        <v>Nordic American Tankers Ltd</v>
      </c>
      <c r="C1042">
        <v>0.103174603174603</v>
      </c>
      <c r="D1042">
        <v>0.17949878373027001</v>
      </c>
      <c r="E1042">
        <v>0.26073285766114401</v>
      </c>
      <c r="F1042">
        <v>0.52507040193102406</v>
      </c>
      <c r="G1042">
        <v>0.550762365191521</v>
      </c>
      <c r="H1042">
        <v>1.0041332243956349</v>
      </c>
      <c r="I1042">
        <v>1.6435907189045269</v>
      </c>
    </row>
    <row r="1043" spans="1:9" x14ac:dyDescent="0.35">
      <c r="A1043" s="1" t="s">
        <v>1055</v>
      </c>
      <c r="B1043" t="str">
        <f>HYPERLINK("https://www.suredividend.com/sure-analysis-research-database/","Nature`s Sunshine Products, Inc.")</f>
        <v>Nature`s Sunshine Products, Inc.</v>
      </c>
      <c r="C1043">
        <v>9.9132589838910011E-3</v>
      </c>
      <c r="D1043">
        <v>0.21279761904761901</v>
      </c>
      <c r="E1043">
        <v>0.58406219630709399</v>
      </c>
      <c r="F1043">
        <v>0.95913461538461509</v>
      </c>
      <c r="G1043">
        <v>1</v>
      </c>
      <c r="H1043">
        <v>6.0507482108001998E-2</v>
      </c>
      <c r="I1043">
        <v>1.186921404996377</v>
      </c>
    </row>
    <row r="1044" spans="1:9" x14ac:dyDescent="0.35">
      <c r="A1044" s="1" t="s">
        <v>1056</v>
      </c>
      <c r="B1044" t="str">
        <f>HYPERLINK("https://www.suredividend.com/sure-analysis-research-database/","Nautilus Biotechnology Inc")</f>
        <v>Nautilus Biotechnology Inc</v>
      </c>
      <c r="C1044">
        <v>-0.27411167512690299</v>
      </c>
      <c r="D1044">
        <v>-0.163742690058479</v>
      </c>
      <c r="E1044">
        <v>1.060070671378E-2</v>
      </c>
      <c r="F1044">
        <v>0.58888888888888802</v>
      </c>
      <c r="G1044">
        <v>0.40196078431372501</v>
      </c>
      <c r="H1044">
        <v>-0.49912434325744298</v>
      </c>
      <c r="I1044">
        <v>-0.74</v>
      </c>
    </row>
    <row r="1045" spans="1:9" x14ac:dyDescent="0.35">
      <c r="A1045" s="1" t="s">
        <v>1057</v>
      </c>
      <c r="B1045" t="str">
        <f>HYPERLINK("https://www.suredividend.com/sure-analysis-NAVI/","Navient Corp")</f>
        <v>Navient Corp</v>
      </c>
      <c r="C1045">
        <v>-3.2438478747203001E-2</v>
      </c>
      <c r="D1045">
        <v>-8.8341308151177009E-2</v>
      </c>
      <c r="E1045">
        <v>0.10146883734552301</v>
      </c>
      <c r="F1045">
        <v>9.3766793745930013E-2</v>
      </c>
      <c r="G1045">
        <v>0.22838782972982499</v>
      </c>
      <c r="H1045">
        <v>-5.5393267629472998E-2</v>
      </c>
      <c r="I1045">
        <v>0.78179683396331301</v>
      </c>
    </row>
    <row r="1046" spans="1:9" x14ac:dyDescent="0.35">
      <c r="A1046" s="1" t="s">
        <v>1058</v>
      </c>
      <c r="B1046" t="str">
        <f>HYPERLINK("https://www.suredividend.com/sure-analysis-research-database/","National Bank Holdings Corp")</f>
        <v>National Bank Holdings Corp</v>
      </c>
      <c r="C1046">
        <v>-2.7379400260755998E-2</v>
      </c>
      <c r="D1046">
        <v>-7.5671640404052012E-2</v>
      </c>
      <c r="E1046">
        <v>-6.3555226391172004E-2</v>
      </c>
      <c r="F1046">
        <v>-0.274419645136739</v>
      </c>
      <c r="G1046">
        <v>-0.21786948065904399</v>
      </c>
      <c r="H1046">
        <v>-0.24269533460735099</v>
      </c>
      <c r="I1046">
        <v>-5.9146989364955008E-2</v>
      </c>
    </row>
    <row r="1047" spans="1:9" x14ac:dyDescent="0.35">
      <c r="A1047" s="1" t="s">
        <v>1059</v>
      </c>
      <c r="B1047" t="str">
        <f>HYPERLINK("https://www.suredividend.com/sure-analysis-research-database/","Northeast Bank")</f>
        <v>Northeast Bank</v>
      </c>
      <c r="C1047">
        <v>-3.9111111111111013E-2</v>
      </c>
      <c r="D1047">
        <v>1.9515565060135E-2</v>
      </c>
      <c r="E1047">
        <v>0.24373673280370001</v>
      </c>
      <c r="F1047">
        <v>2.8294752462532002E-2</v>
      </c>
      <c r="G1047">
        <v>8.2239163842599008E-2</v>
      </c>
      <c r="H1047">
        <v>0.22340425531914801</v>
      </c>
      <c r="I1047">
        <v>1.041972836661063</v>
      </c>
    </row>
    <row r="1048" spans="1:9" x14ac:dyDescent="0.35">
      <c r="A1048" s="1" t="s">
        <v>1060</v>
      </c>
      <c r="B1048" t="str">
        <f>HYPERLINK("https://www.suredividend.com/sure-analysis-research-database/","Nabors Industries Ltd")</f>
        <v>Nabors Industries Ltd</v>
      </c>
      <c r="C1048">
        <v>-0.13233137829912001</v>
      </c>
      <c r="D1048">
        <v>9.1588267847260013E-2</v>
      </c>
      <c r="E1048">
        <v>-5.5457524577760004E-3</v>
      </c>
      <c r="F1048">
        <v>-0.23581067992509799</v>
      </c>
      <c r="G1048">
        <v>1.8152099105299E-2</v>
      </c>
      <c r="H1048">
        <v>-1.9307258866423E-2</v>
      </c>
      <c r="I1048">
        <v>-0.59910682287330108</v>
      </c>
    </row>
    <row r="1049" spans="1:9" x14ac:dyDescent="0.35">
      <c r="A1049" s="1" t="s">
        <v>1061</v>
      </c>
      <c r="B1049" t="str">
        <f>HYPERLINK("https://www.suredividend.com/sure-analysis-research-database/","NBT Bancorp. Inc.")</f>
        <v>NBT Bancorp. Inc.</v>
      </c>
      <c r="C1049">
        <v>-7.6219512195120007E-3</v>
      </c>
      <c r="D1049">
        <v>4.2081101759750003E-3</v>
      </c>
      <c r="E1049">
        <v>-6.5952310467220004E-3</v>
      </c>
      <c r="F1049">
        <v>-0.223709879752541</v>
      </c>
      <c r="G1049">
        <v>-0.19398971377349</v>
      </c>
      <c r="H1049">
        <v>-4.6491939854293E-2</v>
      </c>
      <c r="I1049">
        <v>5.2481820033692013E-2</v>
      </c>
    </row>
    <row r="1050" spans="1:9" x14ac:dyDescent="0.35">
      <c r="A1050" s="1" t="s">
        <v>1062</v>
      </c>
      <c r="B1050" t="str">
        <f>HYPERLINK("https://www.suredividend.com/sure-analysis-NC/","Nacco Industries Inc.")</f>
        <v>Nacco Industries Inc.</v>
      </c>
      <c r="C1050">
        <v>9.9145820622330003E-2</v>
      </c>
      <c r="D1050">
        <v>5.2278037383177003E-2</v>
      </c>
      <c r="E1050">
        <v>-5.8166486391020003E-3</v>
      </c>
      <c r="F1050">
        <v>-3.3955019787431998E-2</v>
      </c>
      <c r="G1050">
        <v>-0.282006317069039</v>
      </c>
      <c r="H1050">
        <v>-2.07269940151E-2</v>
      </c>
      <c r="I1050">
        <v>0.322289178734742</v>
      </c>
    </row>
    <row r="1051" spans="1:9" x14ac:dyDescent="0.35">
      <c r="A1051" s="1" t="s">
        <v>1063</v>
      </c>
      <c r="B1051" t="str">
        <f>HYPERLINK("https://www.suredividend.com/sure-analysis-research-database/","Noodles &amp; Company")</f>
        <v>Noodles &amp; Company</v>
      </c>
      <c r="C1051">
        <v>-0.15267175572519001</v>
      </c>
      <c r="D1051">
        <v>-0.29299363057324801</v>
      </c>
      <c r="E1051">
        <v>-0.56976744186046502</v>
      </c>
      <c r="F1051">
        <v>-0.595628415300546</v>
      </c>
      <c r="G1051">
        <v>-0.561264822134387</v>
      </c>
      <c r="H1051">
        <v>-0.82669789227166202</v>
      </c>
      <c r="I1051">
        <v>-0.80577427821522307</v>
      </c>
    </row>
    <row r="1052" spans="1:9" x14ac:dyDescent="0.35">
      <c r="A1052" s="1" t="s">
        <v>1064</v>
      </c>
      <c r="B1052" t="str">
        <f>HYPERLINK("https://www.suredividend.com/sure-analysis-research-database/","Noble Corp Plc")</f>
        <v>Noble Corp Plc</v>
      </c>
      <c r="C1052">
        <v>-8.0739483116393007E-2</v>
      </c>
      <c r="D1052">
        <v>8.7272606834420015E-3</v>
      </c>
      <c r="E1052">
        <v>0.224128878941114</v>
      </c>
      <c r="F1052">
        <v>0.29976474604842701</v>
      </c>
      <c r="G1052">
        <v>0.56694652831147208</v>
      </c>
      <c r="H1052">
        <v>0.64091201438533907</v>
      </c>
      <c r="I1052">
        <v>0.64091201438533907</v>
      </c>
    </row>
    <row r="1053" spans="1:9" x14ac:dyDescent="0.35">
      <c r="A1053" s="1" t="s">
        <v>1065</v>
      </c>
      <c r="B1053" t="str">
        <f>HYPERLINK("https://www.suredividend.com/sure-analysis-research-database/","Neogenomics Inc.")</f>
        <v>Neogenomics Inc.</v>
      </c>
      <c r="C1053">
        <v>-7.1322436849925008E-2</v>
      </c>
      <c r="D1053">
        <v>-0.27578215527230598</v>
      </c>
      <c r="E1053">
        <v>-0.184073107049608</v>
      </c>
      <c r="F1053">
        <v>0.35281385281385202</v>
      </c>
      <c r="G1053">
        <v>0.77304964539007104</v>
      </c>
      <c r="H1053">
        <v>-0.71184877823881909</v>
      </c>
      <c r="I1053">
        <v>-7.3387694588584004E-2</v>
      </c>
    </row>
    <row r="1054" spans="1:9" x14ac:dyDescent="0.35">
      <c r="A1054" s="1" t="s">
        <v>1066</v>
      </c>
      <c r="B1054" t="str">
        <f>HYPERLINK("https://www.suredividend.com/sure-analysis-research-database/","Neogen Corp.")</f>
        <v>Neogen Corp.</v>
      </c>
      <c r="C1054">
        <v>-0.25481695568400697</v>
      </c>
      <c r="D1054">
        <v>-0.31970096745822302</v>
      </c>
      <c r="E1054">
        <v>-3.9130434782607998E-2</v>
      </c>
      <c r="F1054">
        <v>1.5758371634930001E-2</v>
      </c>
      <c r="G1054">
        <v>0.36540158870255901</v>
      </c>
      <c r="H1054">
        <v>-0.62305068226120808</v>
      </c>
      <c r="I1054">
        <v>-0.52230971128608905</v>
      </c>
    </row>
    <row r="1055" spans="1:9" x14ac:dyDescent="0.35">
      <c r="A1055" s="1" t="s">
        <v>1067</v>
      </c>
      <c r="B1055" t="str">
        <f>HYPERLINK("https://www.suredividend.com/sure-analysis-research-database/","Eneti Inc")</f>
        <v>Eneti Inc</v>
      </c>
      <c r="C1055">
        <v>-1.9493177387914E-2</v>
      </c>
      <c r="D1055">
        <v>-0.24910243108686</v>
      </c>
      <c r="E1055">
        <v>7.0269695196553003E-2</v>
      </c>
      <c r="F1055">
        <v>4.1724062206780002E-3</v>
      </c>
      <c r="G1055">
        <v>0.27879188488330697</v>
      </c>
      <c r="H1055">
        <v>-0.36401567834113002</v>
      </c>
      <c r="I1055">
        <v>-0.67999999999999905</v>
      </c>
    </row>
    <row r="1056" spans="1:9" x14ac:dyDescent="0.35">
      <c r="A1056" s="1" t="s">
        <v>1068</v>
      </c>
      <c r="B1056" t="str">
        <f>HYPERLINK("https://www.suredividend.com/sure-analysis-research-database/","NexTier Oilfield Solutions Inc")</f>
        <v>NexTier Oilfield Solutions Inc</v>
      </c>
      <c r="C1056">
        <v>-0.10989932885905999</v>
      </c>
      <c r="D1056">
        <v>0.407161803713527</v>
      </c>
      <c r="E1056">
        <v>0.16210295728367999</v>
      </c>
      <c r="F1056">
        <v>0.14826839826839799</v>
      </c>
      <c r="G1056">
        <v>0.13233724653148299</v>
      </c>
      <c r="H1056">
        <v>1.947222222222222</v>
      </c>
      <c r="I1056">
        <v>-0.13599348534201899</v>
      </c>
    </row>
    <row r="1057" spans="1:9" x14ac:dyDescent="0.35">
      <c r="A1057" s="1" t="s">
        <v>1069</v>
      </c>
      <c r="B1057" t="str">
        <f>HYPERLINK("https://www.suredividend.com/sure-analysis-research-database/","NextDecade Corporation")</f>
        <v>NextDecade Corporation</v>
      </c>
      <c r="C1057">
        <v>-0.211072664359861</v>
      </c>
      <c r="D1057">
        <v>-0.24876441515650699</v>
      </c>
      <c r="E1057">
        <v>-0.19292035398230101</v>
      </c>
      <c r="F1057">
        <v>-7.6923076923077011E-2</v>
      </c>
      <c r="G1057">
        <v>-0.23102866779089301</v>
      </c>
      <c r="H1057">
        <v>0.42946708463949801</v>
      </c>
      <c r="I1057">
        <v>-0.105882352941176</v>
      </c>
    </row>
    <row r="1058" spans="1:9" x14ac:dyDescent="0.35">
      <c r="A1058" s="1" t="s">
        <v>1070</v>
      </c>
      <c r="B1058" t="str">
        <f>HYPERLINK("https://www.suredividend.com/sure-analysis-research-database/","Northfield Bancorp Inc")</f>
        <v>Northfield Bancorp Inc</v>
      </c>
      <c r="C1058">
        <v>-0.117302052785923</v>
      </c>
      <c r="D1058">
        <v>-0.17690596857111601</v>
      </c>
      <c r="E1058">
        <v>-0.13553772808209999</v>
      </c>
      <c r="F1058">
        <v>-0.39179632248939111</v>
      </c>
      <c r="G1058">
        <v>-0.35945635365386502</v>
      </c>
      <c r="H1058">
        <v>-0.43173594285894001</v>
      </c>
      <c r="I1058">
        <v>-0.23099196075759601</v>
      </c>
    </row>
    <row r="1059" spans="1:9" x14ac:dyDescent="0.35">
      <c r="A1059" s="1" t="s">
        <v>1071</v>
      </c>
      <c r="B1059" t="str">
        <f>HYPERLINK("https://www.suredividend.com/sure-analysis-research-database/","Novagold Resources Inc.")</f>
        <v>Novagold Resources Inc.</v>
      </c>
      <c r="C1059">
        <v>-7.5794621026894007E-2</v>
      </c>
      <c r="D1059">
        <v>-0.122969837587006</v>
      </c>
      <c r="E1059">
        <v>-0.39228295819935599</v>
      </c>
      <c r="F1059">
        <v>-0.36789297658862802</v>
      </c>
      <c r="G1059">
        <v>-0.15056179775280901</v>
      </c>
      <c r="H1059">
        <v>-0.50458715596330206</v>
      </c>
      <c r="I1059">
        <v>-0.12093023255813901</v>
      </c>
    </row>
    <row r="1060" spans="1:9" x14ac:dyDescent="0.35">
      <c r="A1060" s="1" t="s">
        <v>1072</v>
      </c>
      <c r="B1060" t="str">
        <f>HYPERLINK("https://www.suredividend.com/sure-analysis-research-database/","Ngm Biopharmaceuticals Inc")</f>
        <v>Ngm Biopharmaceuticals Inc</v>
      </c>
      <c r="C1060">
        <v>-0.12977099236641201</v>
      </c>
      <c r="D1060">
        <v>-0.58992805755395605</v>
      </c>
      <c r="E1060">
        <v>-0.68333333333333302</v>
      </c>
      <c r="F1060">
        <v>-0.77290836653386408</v>
      </c>
      <c r="G1060">
        <v>-0.90129870129870104</v>
      </c>
      <c r="H1060">
        <v>-0.94207317073170704</v>
      </c>
      <c r="I1060">
        <v>-0.92244897959183603</v>
      </c>
    </row>
    <row r="1061" spans="1:9" x14ac:dyDescent="0.35">
      <c r="A1061" s="1" t="s">
        <v>1073</v>
      </c>
      <c r="B1061" t="str">
        <f>HYPERLINK("https://www.suredividend.com/sure-analysis-research-database/","NeoGames SA")</f>
        <v>NeoGames SA</v>
      </c>
      <c r="C1061">
        <v>-5.0881704628948997E-2</v>
      </c>
      <c r="D1061">
        <v>-4.7030616008852007E-2</v>
      </c>
      <c r="E1061">
        <v>0.73973063973063902</v>
      </c>
      <c r="F1061">
        <v>1.1193601312551269</v>
      </c>
      <c r="G1061">
        <v>0.51436107854630708</v>
      </c>
      <c r="H1061">
        <v>-0.38282369804108901</v>
      </c>
      <c r="I1061">
        <v>0.18129858253315001</v>
      </c>
    </row>
    <row r="1062" spans="1:9" x14ac:dyDescent="0.35">
      <c r="A1062" s="1" t="s">
        <v>1074</v>
      </c>
      <c r="B1062" t="str">
        <f>HYPERLINK("https://www.suredividend.com/sure-analysis-research-database/","Natural Grocers by Vitamin Cottage Inc")</f>
        <v>Natural Grocers by Vitamin Cottage Inc</v>
      </c>
      <c r="C1062">
        <v>-4.6118370484240006E-3</v>
      </c>
      <c r="D1062">
        <v>5.6806404491630998E-2</v>
      </c>
      <c r="E1062">
        <v>0.19789835901799999</v>
      </c>
      <c r="F1062">
        <v>0.45342312008978602</v>
      </c>
      <c r="G1062">
        <v>0.22506125306265301</v>
      </c>
      <c r="H1062">
        <v>0.183253536054968</v>
      </c>
      <c r="I1062">
        <v>-0.11471756414025</v>
      </c>
    </row>
    <row r="1063" spans="1:9" x14ac:dyDescent="0.35">
      <c r="A1063" s="1" t="s">
        <v>1075</v>
      </c>
      <c r="B1063" t="str">
        <f>HYPERLINK("https://www.suredividend.com/sure-analysis-research-database/","Ingevity Corp")</f>
        <v>Ingevity Corp</v>
      </c>
      <c r="C1063">
        <v>-0.20319589662655299</v>
      </c>
      <c r="D1063">
        <v>-0.32962655601659702</v>
      </c>
      <c r="E1063">
        <v>-0.44458195819581903</v>
      </c>
      <c r="F1063">
        <v>-0.42660420215786399</v>
      </c>
      <c r="G1063">
        <v>-0.34207525655644211</v>
      </c>
      <c r="H1063">
        <v>-0.48184733803720298</v>
      </c>
      <c r="I1063">
        <v>-0.52566059894304107</v>
      </c>
    </row>
    <row r="1064" spans="1:9" x14ac:dyDescent="0.35">
      <c r="A1064" s="1" t="s">
        <v>1076</v>
      </c>
      <c r="B1064" t="str">
        <f>HYPERLINK("https://www.suredividend.com/sure-analysis-NHC/","National Healthcare Corp.")</f>
        <v>National Healthcare Corp.</v>
      </c>
      <c r="C1064">
        <v>-4.0109086668281002E-2</v>
      </c>
      <c r="D1064">
        <v>0.12311785914842401</v>
      </c>
      <c r="E1064">
        <v>0.14474212098248099</v>
      </c>
      <c r="F1064">
        <v>0.12122699257929299</v>
      </c>
      <c r="G1064">
        <v>0.10004403603072499</v>
      </c>
      <c r="H1064">
        <v>-3.6244415621847E-2</v>
      </c>
      <c r="I1064">
        <v>1.4506494737839999E-2</v>
      </c>
    </row>
    <row r="1065" spans="1:9" x14ac:dyDescent="0.35">
      <c r="A1065" s="1" t="s">
        <v>1077</v>
      </c>
      <c r="B1065" t="str">
        <f>HYPERLINK("https://www.suredividend.com/sure-analysis-NHI/","National Health Investors, Inc.")</f>
        <v>National Health Investors, Inc.</v>
      </c>
      <c r="C1065">
        <v>-6.5907345789600006E-3</v>
      </c>
      <c r="D1065">
        <v>-5.9431152745880997E-2</v>
      </c>
      <c r="E1065">
        <v>2.4794752258755999E-2</v>
      </c>
      <c r="F1065">
        <v>3.1803725579280001E-3</v>
      </c>
      <c r="G1065">
        <v>2.0056177006848998E-2</v>
      </c>
      <c r="H1065">
        <v>2.7895635604679998E-3</v>
      </c>
      <c r="I1065">
        <v>-4.7321358372468002E-2</v>
      </c>
    </row>
    <row r="1066" spans="1:9" x14ac:dyDescent="0.35">
      <c r="A1066" s="1" t="s">
        <v>1078</v>
      </c>
      <c r="B1066" t="str">
        <f>HYPERLINK("https://www.suredividend.com/sure-analysis-research-database/","Nicolet Bankshares Inc.")</f>
        <v>Nicolet Bankshares Inc.</v>
      </c>
      <c r="C1066">
        <v>-3.6097560975608997E-2</v>
      </c>
      <c r="D1066">
        <v>-2.639269766368E-2</v>
      </c>
      <c r="E1066">
        <v>0.13705677227791099</v>
      </c>
      <c r="F1066">
        <v>-0.127006868067713</v>
      </c>
      <c r="G1066">
        <v>-5.6661678994900003E-2</v>
      </c>
      <c r="H1066">
        <v>-8.3123425692695013E-2</v>
      </c>
      <c r="I1066">
        <v>0.38043912175648598</v>
      </c>
    </row>
    <row r="1067" spans="1:9" x14ac:dyDescent="0.35">
      <c r="A1067" s="1" t="s">
        <v>1079</v>
      </c>
      <c r="B1067" t="str">
        <f>HYPERLINK("https://www.suredividend.com/sure-analysis-NJR/","New Jersey Resources Corporation")</f>
        <v>New Jersey Resources Corporation</v>
      </c>
      <c r="C1067">
        <v>-2.471495236063E-2</v>
      </c>
      <c r="D1067">
        <v>-8.0271216097987E-2</v>
      </c>
      <c r="E1067">
        <v>-0.19748692218581201</v>
      </c>
      <c r="F1067">
        <v>-0.13061636301987201</v>
      </c>
      <c r="G1067">
        <v>0.10114277933151</v>
      </c>
      <c r="H1067">
        <v>0.19372732485848401</v>
      </c>
      <c r="I1067">
        <v>0.10621506083525099</v>
      </c>
    </row>
    <row r="1068" spans="1:9" x14ac:dyDescent="0.35">
      <c r="A1068" s="1" t="s">
        <v>1080</v>
      </c>
      <c r="B1068" t="str">
        <f>HYPERLINK("https://www.suredividend.com/sure-analysis-research-database/","Nikola Corp")</f>
        <v>Nikola Corp</v>
      </c>
      <c r="C1068">
        <v>8.4033613445378005E-2</v>
      </c>
      <c r="D1068">
        <v>-0.42666666666666597</v>
      </c>
      <c r="E1068">
        <v>0.57317073170731703</v>
      </c>
      <c r="F1068">
        <v>-0.40277777777777701</v>
      </c>
      <c r="G1068">
        <v>-0.578431372549019</v>
      </c>
      <c r="H1068">
        <v>-0.88440860215053707</v>
      </c>
      <c r="I1068">
        <v>-0.86463798530954805</v>
      </c>
    </row>
    <row r="1069" spans="1:9" x14ac:dyDescent="0.35">
      <c r="A1069" s="1" t="s">
        <v>1081</v>
      </c>
      <c r="B1069" t="str">
        <f>HYPERLINK("https://www.suredividend.com/sure-analysis-research-database/","Nektar Therapeutics")</f>
        <v>Nektar Therapeutics</v>
      </c>
      <c r="C1069">
        <v>-0.23774440351374301</v>
      </c>
      <c r="D1069">
        <v>-2.1996000727139999E-2</v>
      </c>
      <c r="E1069">
        <v>-0.41850410722005998</v>
      </c>
      <c r="F1069">
        <v>-0.76194690265486709</v>
      </c>
      <c r="G1069">
        <v>-0.84845070422535207</v>
      </c>
      <c r="H1069">
        <v>-0.96891969959560909</v>
      </c>
      <c r="I1069">
        <v>-0.9890383048084761</v>
      </c>
    </row>
    <row r="1070" spans="1:9" x14ac:dyDescent="0.35">
      <c r="A1070" s="1" t="s">
        <v>1082</v>
      </c>
      <c r="B1070" t="str">
        <f>HYPERLINK("https://www.suredividend.com/sure-analysis-research-database/","Nkarta Inc")</f>
        <v>Nkarta Inc</v>
      </c>
      <c r="C1070">
        <v>-5.5214723926380008E-2</v>
      </c>
      <c r="D1070">
        <v>-0.226130653266331</v>
      </c>
      <c r="E1070">
        <v>-0.65929203539823</v>
      </c>
      <c r="F1070">
        <v>-0.74290484140233704</v>
      </c>
      <c r="G1070">
        <v>-0.88412340105342302</v>
      </c>
      <c r="H1070">
        <v>-0.91603053435114512</v>
      </c>
      <c r="I1070">
        <v>-0.96784968684759909</v>
      </c>
    </row>
    <row r="1071" spans="1:9" x14ac:dyDescent="0.35">
      <c r="A1071" s="1" t="s">
        <v>1083</v>
      </c>
      <c r="B1071" t="str">
        <f>HYPERLINK("https://www.suredividend.com/sure-analysis-research-database/","NL Industries, Inc.")</f>
        <v>NL Industries, Inc.</v>
      </c>
      <c r="C1071">
        <v>-3.7656903765690003E-2</v>
      </c>
      <c r="D1071">
        <v>-0.18217860508115899</v>
      </c>
      <c r="E1071">
        <v>-0.28060929265126699</v>
      </c>
      <c r="F1071">
        <v>-0.30036958737015002</v>
      </c>
      <c r="G1071">
        <v>-0.38603633063278298</v>
      </c>
      <c r="H1071">
        <v>-0.13959186727269299</v>
      </c>
      <c r="I1071">
        <v>-8.5959543774589003E-2</v>
      </c>
    </row>
    <row r="1072" spans="1:9" x14ac:dyDescent="0.35">
      <c r="A1072" s="1" t="s">
        <v>1084</v>
      </c>
      <c r="B1072" t="str">
        <f>HYPERLINK("https://www.suredividend.com/sure-analysis-research-database/","NMI Holdings Inc")</f>
        <v>NMI Holdings Inc</v>
      </c>
      <c r="C1072">
        <v>-4.522792022792E-2</v>
      </c>
      <c r="D1072">
        <v>1.6685627607129001E-2</v>
      </c>
      <c r="E1072">
        <v>0.14670658682634699</v>
      </c>
      <c r="F1072">
        <v>0.28277511961722501</v>
      </c>
      <c r="G1072">
        <v>0.30272108843537399</v>
      </c>
      <c r="H1072">
        <v>8.7626774847870001E-2</v>
      </c>
      <c r="I1072">
        <v>0.37982501286670001</v>
      </c>
    </row>
    <row r="1073" spans="1:9" x14ac:dyDescent="0.35">
      <c r="A1073" s="1" t="s">
        <v>1085</v>
      </c>
      <c r="B1073" t="str">
        <f>HYPERLINK("https://www.suredividend.com/sure-analysis-research-database/","Newmark Group Inc")</f>
        <v>Newmark Group Inc</v>
      </c>
      <c r="C1073">
        <v>-0.14516129032257999</v>
      </c>
      <c r="D1073">
        <v>-0.16008759292341301</v>
      </c>
      <c r="E1073">
        <v>-8.4786738041788004E-2</v>
      </c>
      <c r="F1073">
        <v>-0.258854338816709</v>
      </c>
      <c r="G1073">
        <v>-0.300514715586643</v>
      </c>
      <c r="H1073">
        <v>-0.59402245062811609</v>
      </c>
      <c r="I1073">
        <v>-0.38255914935078611</v>
      </c>
    </row>
    <row r="1074" spans="1:9" x14ac:dyDescent="0.35">
      <c r="A1074" s="1" t="s">
        <v>1086</v>
      </c>
      <c r="B1074" t="str">
        <f>HYPERLINK("https://www.suredividend.com/sure-analysis-research-database/","NextNav Inc")</f>
        <v>NextNav Inc</v>
      </c>
      <c r="C1074">
        <v>-0.21864406779661</v>
      </c>
      <c r="D1074">
        <v>0.54180602006688905</v>
      </c>
      <c r="E1074">
        <v>1.282178217821782</v>
      </c>
      <c r="F1074">
        <v>0.573378839590443</v>
      </c>
      <c r="G1074">
        <v>0.67636363636363606</v>
      </c>
      <c r="H1074">
        <v>-0.57899543378995399</v>
      </c>
      <c r="I1074">
        <v>-0.57899543378995399</v>
      </c>
    </row>
    <row r="1075" spans="1:9" x14ac:dyDescent="0.35">
      <c r="A1075" s="1" t="s">
        <v>1087</v>
      </c>
      <c r="B1075" t="str">
        <f>HYPERLINK("https://www.suredividend.com/sure-analysis-research-database/","Nelnet Inc")</f>
        <v>Nelnet Inc</v>
      </c>
      <c r="C1075">
        <v>-4.8402815376284998E-2</v>
      </c>
      <c r="D1075">
        <v>-9.9620607090129001E-2</v>
      </c>
      <c r="E1075">
        <v>-2.8949203258788001E-2</v>
      </c>
      <c r="F1075">
        <v>-2.3452475539084E-2</v>
      </c>
      <c r="G1075">
        <v>7.2765692005893001E-2</v>
      </c>
      <c r="H1075">
        <v>8.0370040261855E-2</v>
      </c>
      <c r="I1075">
        <v>0.70021436476060006</v>
      </c>
    </row>
    <row r="1076" spans="1:9" x14ac:dyDescent="0.35">
      <c r="A1076" s="1" t="s">
        <v>1088</v>
      </c>
      <c r="B1076" t="str">
        <f>HYPERLINK("https://www.suredividend.com/sure-analysis-research-database/","Nano X Imaging Ltd")</f>
        <v>Nano X Imaging Ltd</v>
      </c>
      <c r="C1076">
        <v>-7.7363896848137007E-2</v>
      </c>
      <c r="D1076">
        <v>-0.57350993377483406</v>
      </c>
      <c r="E1076">
        <v>-4.4510385756676013E-2</v>
      </c>
      <c r="F1076">
        <v>-0.12737127371273699</v>
      </c>
      <c r="G1076">
        <v>-0.43706293706293697</v>
      </c>
      <c r="H1076">
        <v>-0.7166739991201051</v>
      </c>
      <c r="I1076">
        <v>-0.70322580645161203</v>
      </c>
    </row>
    <row r="1077" spans="1:9" x14ac:dyDescent="0.35">
      <c r="A1077" s="1" t="s">
        <v>1089</v>
      </c>
      <c r="B1077" t="str">
        <f>HYPERLINK("https://www.suredividend.com/sure-analysis-research-database/","NI Holdings Inc")</f>
        <v>NI Holdings Inc</v>
      </c>
      <c r="C1077">
        <v>-3.4645669291337999E-2</v>
      </c>
      <c r="D1077">
        <v>-0.114801444043321</v>
      </c>
      <c r="E1077">
        <v>-8.4391336818521012E-2</v>
      </c>
      <c r="F1077">
        <v>-7.6111529766390004E-2</v>
      </c>
      <c r="G1077">
        <v>-0.11671469740634</v>
      </c>
      <c r="H1077">
        <v>-0.38422903063787001</v>
      </c>
      <c r="I1077">
        <v>-0.272835112692763</v>
      </c>
    </row>
    <row r="1078" spans="1:9" x14ac:dyDescent="0.35">
      <c r="A1078" s="1" t="s">
        <v>1090</v>
      </c>
      <c r="B1078" t="str">
        <f>HYPERLINK("https://www.suredividend.com/sure-analysis-research-database/","Northern Oil and Gas Inc.")</f>
        <v>Northern Oil and Gas Inc.</v>
      </c>
      <c r="C1078">
        <v>1.9435424437775999E-2</v>
      </c>
      <c r="D1078">
        <v>0.186777662929376</v>
      </c>
      <c r="E1078">
        <v>0.18038344259573599</v>
      </c>
      <c r="F1078">
        <v>0.35838963963963899</v>
      </c>
      <c r="G1078">
        <v>0.32646916360113598</v>
      </c>
      <c r="H1078">
        <v>0.72141382737442905</v>
      </c>
      <c r="I1078">
        <v>0.16065624472005899</v>
      </c>
    </row>
    <row r="1079" spans="1:9" x14ac:dyDescent="0.35">
      <c r="A1079" s="1" t="s">
        <v>1091</v>
      </c>
      <c r="B1079" t="str">
        <f>HYPERLINK("https://www.suredividend.com/sure-analysis-research-database/","Inotiv Inc")</f>
        <v>Inotiv Inc</v>
      </c>
      <c r="C1079">
        <v>-0.37689969604863199</v>
      </c>
      <c r="D1079">
        <v>-0.58333333333333304</v>
      </c>
      <c r="E1079">
        <v>-0.580777096114519</v>
      </c>
      <c r="F1079">
        <v>-0.58502024291497901</v>
      </c>
      <c r="G1079">
        <v>-0.89072494669509505</v>
      </c>
      <c r="H1079">
        <v>-0.94026806526806506</v>
      </c>
      <c r="I1079">
        <v>0.45390070921985798</v>
      </c>
    </row>
    <row r="1080" spans="1:9" x14ac:dyDescent="0.35">
      <c r="A1080" s="1" t="s">
        <v>1092</v>
      </c>
      <c r="B1080" t="str">
        <f>HYPERLINK("https://www.suredividend.com/sure-analysis-research-database/","Sunnova Energy International Inc")</f>
        <v>Sunnova Energy International Inc</v>
      </c>
      <c r="C1080">
        <v>-0.20528771384136801</v>
      </c>
      <c r="D1080">
        <v>-0.51356496906235105</v>
      </c>
      <c r="E1080">
        <v>-0.35520504731861102</v>
      </c>
      <c r="F1080">
        <v>-0.43253747917823399</v>
      </c>
      <c r="G1080">
        <v>-0.39094159713945098</v>
      </c>
      <c r="H1080">
        <v>-0.73175853018372705</v>
      </c>
      <c r="I1080">
        <v>-9.1555555555555002E-2</v>
      </c>
    </row>
    <row r="1081" spans="1:9" x14ac:dyDescent="0.35">
      <c r="A1081" s="1" t="s">
        <v>1093</v>
      </c>
      <c r="B1081" t="str">
        <f>HYPERLINK("https://www.suredividend.com/sure-analysis-research-database/","Novanta Inc")</f>
        <v>Novanta Inc</v>
      </c>
      <c r="C1081">
        <v>-5.7219490388912997E-2</v>
      </c>
      <c r="D1081">
        <v>-0.192219304005252</v>
      </c>
      <c r="E1081">
        <v>-6.3261421319796007E-2</v>
      </c>
      <c r="F1081">
        <v>8.6553323029366011E-2</v>
      </c>
      <c r="G1081">
        <v>0.29227941176470501</v>
      </c>
      <c r="H1081">
        <v>-8.5938951148535003E-2</v>
      </c>
      <c r="I1081">
        <v>1.298100871731009</v>
      </c>
    </row>
    <row r="1082" spans="1:9" x14ac:dyDescent="0.35">
      <c r="A1082" s="1" t="s">
        <v>1094</v>
      </c>
      <c r="B1082" t="str">
        <f>HYPERLINK("https://www.suredividend.com/sure-analysis-research-database/","National Presto Industries, Inc.")</f>
        <v>National Presto Industries, Inc.</v>
      </c>
      <c r="C1082">
        <v>-1.6210470369385999E-2</v>
      </c>
      <c r="D1082">
        <v>-4.3657969516919998E-2</v>
      </c>
      <c r="E1082">
        <v>3.9741609324533002E-2</v>
      </c>
      <c r="F1082">
        <v>0.12612989430744601</v>
      </c>
      <c r="G1082">
        <v>0.19842864056690601</v>
      </c>
      <c r="H1082">
        <v>-5.9887120428155013E-2</v>
      </c>
      <c r="I1082">
        <v>-0.31102829306422097</v>
      </c>
    </row>
    <row r="1083" spans="1:9" x14ac:dyDescent="0.35">
      <c r="A1083" s="1" t="s">
        <v>1095</v>
      </c>
      <c r="B1083" t="str">
        <f>HYPERLINK("https://www.suredividend.com/sure-analysis-research-database/","EnPro Industries Inc")</f>
        <v>EnPro Industries Inc</v>
      </c>
      <c r="C1083">
        <v>-2.8061831153387999E-2</v>
      </c>
      <c r="D1083">
        <v>-0.11611346562675399</v>
      </c>
      <c r="E1083">
        <v>0.26197413884494503</v>
      </c>
      <c r="F1083">
        <v>0.136614352062147</v>
      </c>
      <c r="G1083">
        <v>0.39849850466394199</v>
      </c>
      <c r="H1083">
        <v>0.43260918080366811</v>
      </c>
      <c r="I1083">
        <v>0.96982525251389207</v>
      </c>
    </row>
    <row r="1084" spans="1:9" x14ac:dyDescent="0.35">
      <c r="A1084" s="1" t="s">
        <v>1096</v>
      </c>
      <c r="B1084" t="str">
        <f>HYPERLINK("https://www.suredividend.com/sure-analysis-research-database/","Newpark Resources, Inc.")</f>
        <v>Newpark Resources, Inc.</v>
      </c>
      <c r="C1084">
        <v>0.16611295681063101</v>
      </c>
      <c r="D1084">
        <v>0.33460076045627302</v>
      </c>
      <c r="E1084">
        <v>0.77721518987341709</v>
      </c>
      <c r="F1084">
        <v>0.6915662650602401</v>
      </c>
      <c r="G1084">
        <v>1.355704697986577</v>
      </c>
      <c r="H1084">
        <v>0.97746478873239406</v>
      </c>
      <c r="I1084">
        <v>-0.29870129870129802</v>
      </c>
    </row>
    <row r="1085" spans="1:9" x14ac:dyDescent="0.35">
      <c r="A1085" s="1" t="s">
        <v>1097</v>
      </c>
      <c r="B1085" t="str">
        <f>HYPERLINK("https://www.suredividend.com/sure-analysis-research-database/","National Research Corp")</f>
        <v>National Research Corp</v>
      </c>
      <c r="C1085">
        <v>-7.3630023978705009E-2</v>
      </c>
      <c r="D1085">
        <v>3.9365569873948E-2</v>
      </c>
      <c r="E1085">
        <v>2.2610972271800002E-3</v>
      </c>
      <c r="F1085">
        <v>0.19597724490694299</v>
      </c>
      <c r="G1085">
        <v>0.115520328907632</v>
      </c>
      <c r="H1085">
        <v>6.5792637400184012E-2</v>
      </c>
      <c r="I1085">
        <v>0.27873044022215998</v>
      </c>
    </row>
    <row r="1086" spans="1:9" x14ac:dyDescent="0.35">
      <c r="A1086" s="1" t="s">
        <v>1098</v>
      </c>
      <c r="B1086" t="str">
        <f>HYPERLINK("https://www.suredividend.com/sure-analysis-research-database/","Nerdwallet Inc")</f>
        <v>Nerdwallet Inc</v>
      </c>
      <c r="C1086">
        <v>-0.112903225806451</v>
      </c>
      <c r="D1086">
        <v>-0.160732451678535</v>
      </c>
      <c r="E1086">
        <v>-0.41572237960339897</v>
      </c>
      <c r="F1086">
        <v>-0.140625</v>
      </c>
      <c r="G1086">
        <v>-0.19747081712062201</v>
      </c>
      <c r="H1086">
        <v>-0.70848056537102411</v>
      </c>
      <c r="I1086">
        <v>-0.70848056537102411</v>
      </c>
    </row>
    <row r="1087" spans="1:9" x14ac:dyDescent="0.35">
      <c r="A1087" s="1" t="s">
        <v>1099</v>
      </c>
      <c r="B1087" t="str">
        <f>HYPERLINK("https://www.suredividend.com/sure-analysis-research-database/","Nerdy Inc")</f>
        <v>Nerdy Inc</v>
      </c>
      <c r="C1087">
        <v>-0.131443298969072</v>
      </c>
      <c r="D1087">
        <v>-0.23234624145785801</v>
      </c>
      <c r="E1087">
        <v>-0.16790123456790099</v>
      </c>
      <c r="F1087">
        <v>0.49777777777777699</v>
      </c>
      <c r="G1087">
        <v>0.59715639810426502</v>
      </c>
      <c r="H1087">
        <v>-0.62304250559284102</v>
      </c>
      <c r="I1087">
        <v>-0.6525773195876281</v>
      </c>
    </row>
    <row r="1088" spans="1:9" x14ac:dyDescent="0.35">
      <c r="A1088" s="1" t="s">
        <v>1100</v>
      </c>
      <c r="B1088" t="str">
        <f>HYPERLINK("https://www.suredividend.com/sure-analysis-research-database/","NexPoint Real Estate Finance Inc")</f>
        <v>NexPoint Real Estate Finance Inc</v>
      </c>
      <c r="C1088">
        <v>-7.1559633027523009E-2</v>
      </c>
      <c r="D1088">
        <v>-2.3825600463007E-2</v>
      </c>
      <c r="E1088">
        <v>0.143752684202198</v>
      </c>
      <c r="F1088">
        <v>2.7035804173094001E-2</v>
      </c>
      <c r="G1088">
        <v>3.9861351819757002E-2</v>
      </c>
      <c r="H1088">
        <v>-0.109682641157529</v>
      </c>
      <c r="I1088">
        <v>0.16223872597810199</v>
      </c>
    </row>
    <row r="1089" spans="1:9" x14ac:dyDescent="0.35">
      <c r="A1089" s="1" t="s">
        <v>1101</v>
      </c>
      <c r="B1089" t="str">
        <f>HYPERLINK("https://www.suredividend.com/sure-analysis-research-database/","Energy Vault Holdings Inc")</f>
        <v>Energy Vault Holdings Inc</v>
      </c>
      <c r="C1089">
        <v>-0.16271186440677901</v>
      </c>
      <c r="D1089">
        <v>-0.18211920529801301</v>
      </c>
      <c r="E1089">
        <v>0.36464088397790001</v>
      </c>
      <c r="F1089">
        <v>-0.20833333333333301</v>
      </c>
      <c r="G1089">
        <v>-0.47109207708779399</v>
      </c>
      <c r="H1089">
        <v>-0.736954206602768</v>
      </c>
      <c r="I1089">
        <v>-0.736954206602768</v>
      </c>
    </row>
    <row r="1090" spans="1:9" x14ac:dyDescent="0.35">
      <c r="A1090" s="1" t="s">
        <v>1102</v>
      </c>
      <c r="B1090" t="str">
        <f>HYPERLINK("https://www.suredividend.com/sure-analysis-research-database/","Nurix Therapeutics Inc")</f>
        <v>Nurix Therapeutics Inc</v>
      </c>
      <c r="C1090">
        <v>-0.281038374717832</v>
      </c>
      <c r="D1090">
        <v>-0.34733606557377</v>
      </c>
      <c r="E1090">
        <v>-0.47872340425531912</v>
      </c>
      <c r="F1090">
        <v>-0.41985428051001811</v>
      </c>
      <c r="G1090">
        <v>-0.41398344066237303</v>
      </c>
      <c r="H1090">
        <v>-0.77904960110995403</v>
      </c>
      <c r="I1090">
        <v>-0.66491320357706407</v>
      </c>
    </row>
    <row r="1091" spans="1:9" x14ac:dyDescent="0.35">
      <c r="A1091" s="1" t="s">
        <v>1103</v>
      </c>
      <c r="B1091" t="str">
        <f>HYPERLINK("https://www.suredividend.com/sure-analysis-research-database/","Insight Enterprises Inc.")</f>
        <v>Insight Enterprises Inc.</v>
      </c>
      <c r="C1091">
        <v>-1.3707790036777001E-2</v>
      </c>
      <c r="D1091">
        <v>-1.1725293132328E-2</v>
      </c>
      <c r="E1091">
        <v>7.0003627130939008E-2</v>
      </c>
      <c r="F1091">
        <v>0.47102822379575099</v>
      </c>
      <c r="G1091">
        <v>0.72635767790262107</v>
      </c>
      <c r="H1091">
        <v>0.56465471517980204</v>
      </c>
      <c r="I1091">
        <v>1.973190888933682</v>
      </c>
    </row>
    <row r="1092" spans="1:9" x14ac:dyDescent="0.35">
      <c r="A1092" s="1" t="s">
        <v>1104</v>
      </c>
      <c r="B1092" t="str">
        <f>HYPERLINK("https://www.suredividend.com/sure-analysis-NSP/","Insperity Inc")</f>
        <v>Insperity Inc</v>
      </c>
      <c r="C1092">
        <v>7.131214343928001E-3</v>
      </c>
      <c r="D1092">
        <v>-0.139443867993509</v>
      </c>
      <c r="E1092">
        <v>-0.19128161331383101</v>
      </c>
      <c r="F1092">
        <v>-0.116849889494569</v>
      </c>
      <c r="G1092">
        <v>-4.9368232782659997E-2</v>
      </c>
      <c r="H1092">
        <v>-0.117370288430461</v>
      </c>
      <c r="I1092">
        <v>2.3975273783394001E-2</v>
      </c>
    </row>
    <row r="1093" spans="1:9" x14ac:dyDescent="0.35">
      <c r="A1093" s="1" t="s">
        <v>1105</v>
      </c>
      <c r="B1093" t="str">
        <f>HYPERLINK("https://www.suredividend.com/sure-analysis-research-database/","NAPCO Security Technologies Inc")</f>
        <v>NAPCO Security Technologies Inc</v>
      </c>
      <c r="C1093">
        <v>-0.13134328358208899</v>
      </c>
      <c r="D1093">
        <v>-0.43223310496301198</v>
      </c>
      <c r="E1093">
        <v>-0.38397239518911702</v>
      </c>
      <c r="F1093">
        <v>-0.25126259841651399</v>
      </c>
      <c r="G1093">
        <v>-0.23879777132543301</v>
      </c>
      <c r="H1093">
        <v>-7.7341184463820004E-2</v>
      </c>
      <c r="I1093">
        <v>2.0213586472856719</v>
      </c>
    </row>
    <row r="1094" spans="1:9" x14ac:dyDescent="0.35">
      <c r="A1094" s="1" t="s">
        <v>1106</v>
      </c>
      <c r="B1094" t="str">
        <f>HYPERLINK("https://www.suredividend.com/sure-analysis-research-database/","Nanostring Technologies Inc")</f>
        <v>Nanostring Technologies Inc</v>
      </c>
      <c r="C1094">
        <v>5.8823529411760004E-3</v>
      </c>
      <c r="D1094">
        <v>-0.56377551020408101</v>
      </c>
      <c r="E1094">
        <v>-0.82604272634791409</v>
      </c>
      <c r="F1094">
        <v>-0.78544542032622311</v>
      </c>
      <c r="G1094">
        <v>-0.83714285714285708</v>
      </c>
      <c r="H1094">
        <v>-0.9609767229575531</v>
      </c>
      <c r="I1094">
        <v>-0.89024390243902407</v>
      </c>
    </row>
    <row r="1095" spans="1:9" x14ac:dyDescent="0.35">
      <c r="A1095" s="1" t="s">
        <v>1107</v>
      </c>
      <c r="B1095" t="str">
        <f>HYPERLINK("https://www.suredividend.com/sure-analysis-research-database/","Bank of N T Butterfield &amp; Son Ltd.")</f>
        <v>Bank of N T Butterfield &amp; Son Ltd.</v>
      </c>
      <c r="C1095">
        <v>-5.6982061202954001E-2</v>
      </c>
      <c r="D1095">
        <v>-5.4317651914116007E-2</v>
      </c>
      <c r="E1095">
        <v>8.6793493021577003E-2</v>
      </c>
      <c r="F1095">
        <v>-5.8273911974428001E-2</v>
      </c>
      <c r="G1095">
        <v>-0.17179979858764199</v>
      </c>
      <c r="H1095">
        <v>-0.21288276914946699</v>
      </c>
      <c r="I1095">
        <v>-0.30452873455877311</v>
      </c>
    </row>
    <row r="1096" spans="1:9" x14ac:dyDescent="0.35">
      <c r="A1096" s="1" t="s">
        <v>1108</v>
      </c>
      <c r="B1096" t="str">
        <f>HYPERLINK("https://www.suredividend.com/sure-analysis-research-database/","Netscout Systems Inc")</f>
        <v>Netscout Systems Inc</v>
      </c>
      <c r="C1096">
        <v>-4.7499999999999001E-2</v>
      </c>
      <c r="D1096">
        <v>-0.106831882116543</v>
      </c>
      <c r="E1096">
        <v>-8.7893296853625014E-2</v>
      </c>
      <c r="F1096">
        <v>-0.17963703475853501</v>
      </c>
      <c r="G1096">
        <v>-0.17532467532467499</v>
      </c>
      <c r="H1096">
        <v>-4.5796064400715E-2</v>
      </c>
      <c r="I1096">
        <v>0.17644464049404401</v>
      </c>
    </row>
    <row r="1097" spans="1:9" x14ac:dyDescent="0.35">
      <c r="A1097" s="1" t="s">
        <v>1109</v>
      </c>
      <c r="B1097" t="str">
        <f>HYPERLINK("https://www.suredividend.com/sure-analysis-research-database/","Netgear Inc")</f>
        <v>Netgear Inc</v>
      </c>
      <c r="C1097">
        <v>-0.14852255054432301</v>
      </c>
      <c r="D1097">
        <v>-0.236933797909407</v>
      </c>
      <c r="E1097">
        <v>-0.40456769983686702</v>
      </c>
      <c r="F1097">
        <v>-0.39536167863059002</v>
      </c>
      <c r="G1097">
        <v>-0.45002511300853798</v>
      </c>
      <c r="H1097">
        <v>-0.66717325227963509</v>
      </c>
      <c r="I1097">
        <v>-0.68494376461990403</v>
      </c>
    </row>
    <row r="1098" spans="1:9" x14ac:dyDescent="0.35">
      <c r="A1098" s="1" t="s">
        <v>1110</v>
      </c>
      <c r="B1098" t="str">
        <f>HYPERLINK("https://www.suredividend.com/sure-analysis-research-database/","Intellia Therapeutics Inc")</f>
        <v>Intellia Therapeutics Inc</v>
      </c>
      <c r="C1098">
        <v>-0.167225013958682</v>
      </c>
      <c r="D1098">
        <v>-0.32142857142857101</v>
      </c>
      <c r="E1098">
        <v>-0.21829140461215901</v>
      </c>
      <c r="F1098">
        <v>-0.14502722843221499</v>
      </c>
      <c r="G1098">
        <v>-0.43039908344472011</v>
      </c>
      <c r="H1098">
        <v>-0.77140010728791408</v>
      </c>
      <c r="I1098">
        <v>0.33467561521252698</v>
      </c>
    </row>
    <row r="1099" spans="1:9" x14ac:dyDescent="0.35">
      <c r="A1099" s="1" t="s">
        <v>1111</v>
      </c>
      <c r="B1099" t="str">
        <f>HYPERLINK("https://www.suredividend.com/sure-analysis-NTST/","Netstreit Corp")</f>
        <v>Netstreit Corp</v>
      </c>
      <c r="C1099">
        <v>-0.12799532437171199</v>
      </c>
      <c r="D1099">
        <v>-0.13807047949162299</v>
      </c>
      <c r="E1099">
        <v>-0.138458695677279</v>
      </c>
      <c r="F1099">
        <v>-0.15774736937181</v>
      </c>
      <c r="G1099">
        <v>-8.7266387300033013E-2</v>
      </c>
      <c r="H1099">
        <v>-0.33410099170750401</v>
      </c>
      <c r="I1099">
        <v>-4.6334588268381001E-2</v>
      </c>
    </row>
    <row r="1100" spans="1:9" x14ac:dyDescent="0.35">
      <c r="A1100" s="1" t="s">
        <v>1112</v>
      </c>
      <c r="B1100" t="str">
        <f>HYPERLINK("https://www.suredividend.com/sure-analysis-NUS/","Nu Skin Enterprises, Inc.")</f>
        <v>Nu Skin Enterprises, Inc.</v>
      </c>
      <c r="C1100">
        <v>-0.23573511037067801</v>
      </c>
      <c r="D1100">
        <v>-0.36579363927309899</v>
      </c>
      <c r="E1100">
        <v>-0.53396943753793602</v>
      </c>
      <c r="F1100">
        <v>-0.54816532963001208</v>
      </c>
      <c r="G1100">
        <v>-0.44672087897509111</v>
      </c>
      <c r="H1100">
        <v>-0.51509930554821504</v>
      </c>
      <c r="I1100">
        <v>-0.68058292311013002</v>
      </c>
    </row>
    <row r="1101" spans="1:9" x14ac:dyDescent="0.35">
      <c r="A1101" s="1" t="s">
        <v>1113</v>
      </c>
      <c r="B1101" t="str">
        <f>HYPERLINK("https://www.suredividend.com/sure-analysis-research-database/","Nutex Health Inc")</f>
        <v>Nutex Health Inc</v>
      </c>
      <c r="C1101">
        <v>-0.13723737147966</v>
      </c>
      <c r="D1101">
        <v>-0.51163967611336003</v>
      </c>
      <c r="E1101">
        <v>-0.74041694687289805</v>
      </c>
      <c r="F1101">
        <v>-0.89842105263157812</v>
      </c>
      <c r="G1101">
        <v>-0.73897754936434901</v>
      </c>
      <c r="H1101">
        <v>-0.99517499999999992</v>
      </c>
      <c r="I1101">
        <v>-0.99517499999999992</v>
      </c>
    </row>
    <row r="1102" spans="1:9" x14ac:dyDescent="0.35">
      <c r="A1102" s="1" t="s">
        <v>1114</v>
      </c>
      <c r="B1102" t="str">
        <f>HYPERLINK("https://www.suredividend.com/sure-analysis-research-database/","Nuvasive Inc")</f>
        <v>Nuvasive Inc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5">
      <c r="A1103" s="1" t="s">
        <v>1115</v>
      </c>
      <c r="B1103" t="str">
        <f>HYPERLINK("https://www.suredividend.com/sure-analysis-research-database/","Nuvation Bio Inc")</f>
        <v>Nuvation Bio Inc</v>
      </c>
      <c r="C1103">
        <v>-0.1</v>
      </c>
      <c r="D1103">
        <v>-0.311764705882352</v>
      </c>
      <c r="E1103">
        <v>-0.35</v>
      </c>
      <c r="F1103">
        <v>-0.390625</v>
      </c>
      <c r="G1103">
        <v>-0.45327102803738312</v>
      </c>
      <c r="H1103">
        <v>-0.87748691099476406</v>
      </c>
      <c r="I1103">
        <v>-0.87938144329896906</v>
      </c>
    </row>
    <row r="1104" spans="1:9" x14ac:dyDescent="0.35">
      <c r="A1104" s="1" t="s">
        <v>1116</v>
      </c>
      <c r="B1104" t="str">
        <f>HYPERLINK("https://www.suredividend.com/sure-analysis-research-database/","Nuvalent Inc")</f>
        <v>Nuvalent Inc</v>
      </c>
      <c r="C1104">
        <v>0.22445101351351299</v>
      </c>
      <c r="D1104">
        <v>0.39937258687258698</v>
      </c>
      <c r="E1104">
        <v>1.046224417784051</v>
      </c>
      <c r="F1104">
        <v>0.94728005372733304</v>
      </c>
      <c r="G1104">
        <v>1.7973950795947899</v>
      </c>
      <c r="H1104">
        <v>1.909683893627697</v>
      </c>
      <c r="I1104">
        <v>2.0928</v>
      </c>
    </row>
    <row r="1105" spans="1:9" x14ac:dyDescent="0.35">
      <c r="A1105" s="1" t="s">
        <v>1117</v>
      </c>
      <c r="B1105" t="str">
        <f>HYPERLINK("https://www.suredividend.com/sure-analysis-research-database/","NV5 Global Inc")</f>
        <v>NV5 Global Inc</v>
      </c>
      <c r="C1105">
        <v>6.9699118630331E-2</v>
      </c>
      <c r="D1105">
        <v>-4.4347904787763001E-2</v>
      </c>
      <c r="E1105">
        <v>7.2197400487408012E-2</v>
      </c>
      <c r="F1105">
        <v>-0.20201027811366301</v>
      </c>
      <c r="G1105">
        <v>-0.15065958815958799</v>
      </c>
      <c r="H1105">
        <v>5.0124316260566001E-2</v>
      </c>
      <c r="I1105">
        <v>0.27894864341085202</v>
      </c>
    </row>
    <row r="1106" spans="1:9" x14ac:dyDescent="0.35">
      <c r="A1106" s="1" t="s">
        <v>1118</v>
      </c>
      <c r="B1106" t="str">
        <f>HYPERLINK("https://www.suredividend.com/sure-analysis-research-database/","Nevro Corp")</f>
        <v>Nevro Corp</v>
      </c>
      <c r="C1106">
        <v>-0.16699507389162499</v>
      </c>
      <c r="D1106">
        <v>-0.30152829409334903</v>
      </c>
      <c r="E1106">
        <v>-0.53658536585365801</v>
      </c>
      <c r="F1106">
        <v>-0.57297979797979703</v>
      </c>
      <c r="G1106">
        <v>-0.56225731296919501</v>
      </c>
      <c r="H1106">
        <v>-0.85506128396331504</v>
      </c>
      <c r="I1106">
        <v>-0.68142426525998401</v>
      </c>
    </row>
    <row r="1107" spans="1:9" x14ac:dyDescent="0.35">
      <c r="A1107" s="1" t="s">
        <v>1119</v>
      </c>
      <c r="B1107" t="str">
        <f>HYPERLINK("https://www.suredividend.com/sure-analysis-research-database/","Invitae Corp")</f>
        <v>Invitae Corp</v>
      </c>
      <c r="C1107">
        <v>-0.24442802610515901</v>
      </c>
      <c r="D1107">
        <v>-0.49289256198347098</v>
      </c>
      <c r="E1107">
        <v>-0.55211678832116806</v>
      </c>
      <c r="F1107">
        <v>-0.67010752688172004</v>
      </c>
      <c r="G1107">
        <v>-0.707809523809523</v>
      </c>
      <c r="H1107">
        <v>-0.97768727272727207</v>
      </c>
      <c r="I1107">
        <v>-0.95553623188405812</v>
      </c>
    </row>
    <row r="1108" spans="1:9" x14ac:dyDescent="0.35">
      <c r="A1108" s="1" t="s">
        <v>1120</v>
      </c>
      <c r="B1108" t="str">
        <f>HYPERLINK("https://www.suredividend.com/sure-analysis-NWBI/","Northwest Bancshares Inc")</f>
        <v>Northwest Bancshares Inc</v>
      </c>
      <c r="C1108">
        <v>-5.3122087604846012E-2</v>
      </c>
      <c r="D1108">
        <v>-5.7286544064430997E-2</v>
      </c>
      <c r="E1108">
        <v>-4.8056292104301013E-2</v>
      </c>
      <c r="F1108">
        <v>-0.20914773213771401</v>
      </c>
      <c r="G1108">
        <v>-0.20477759601762599</v>
      </c>
      <c r="H1108">
        <v>-0.145945764193608</v>
      </c>
      <c r="I1108">
        <v>-0.14419043447497401</v>
      </c>
    </row>
    <row r="1109" spans="1:9" x14ac:dyDescent="0.35">
      <c r="A1109" s="1" t="s">
        <v>1121</v>
      </c>
      <c r="B1109" t="str">
        <f>HYPERLINK("https://www.suredividend.com/sure-analysis-NWE/","NorthWestern Energy Group Inc")</f>
        <v>NorthWestern Energy Group Inc</v>
      </c>
      <c r="C1109">
        <v>3.3297758804695002E-2</v>
      </c>
      <c r="D1109">
        <v>3.3297758804695002E-2</v>
      </c>
      <c r="E1109">
        <v>3.3297758804695002E-2</v>
      </c>
      <c r="F1109">
        <v>3.3297758804695002E-2</v>
      </c>
      <c r="G1109">
        <v>3.3297758804695002E-2</v>
      </c>
      <c r="H1109">
        <v>3.3297758804695002E-2</v>
      </c>
      <c r="I1109">
        <v>3.3297758804695002E-2</v>
      </c>
    </row>
    <row r="1110" spans="1:9" x14ac:dyDescent="0.35">
      <c r="A1110" s="1" t="s">
        <v>1122</v>
      </c>
      <c r="B1110" t="str">
        <f>HYPERLINK("https://www.suredividend.com/sure-analysis-research-database/","National Western Life Group Inc")</f>
        <v>National Western Life Group Inc</v>
      </c>
      <c r="C1110">
        <v>3.7765198980252997E-2</v>
      </c>
      <c r="D1110">
        <v>0.14257849666983799</v>
      </c>
      <c r="E1110">
        <v>1.0884347826086951</v>
      </c>
      <c r="F1110">
        <v>0.70939501779359404</v>
      </c>
      <c r="G1110">
        <v>1.7337042848370301</v>
      </c>
      <c r="H1110">
        <v>1.278959783955713</v>
      </c>
      <c r="I1110">
        <v>0.65425134398881402</v>
      </c>
    </row>
    <row r="1111" spans="1:9" x14ac:dyDescent="0.35">
      <c r="A1111" s="1" t="s">
        <v>1123</v>
      </c>
      <c r="B1111" t="str">
        <f>HYPERLINK("https://www.suredividend.com/sure-analysis-NWN/","Northwest Natural Holding Co")</f>
        <v>Northwest Natural Holding Co</v>
      </c>
      <c r="C1111">
        <v>-4.9733139252789001E-2</v>
      </c>
      <c r="D1111">
        <v>-8.522345116209501E-2</v>
      </c>
      <c r="E1111">
        <v>-0.14933632162340499</v>
      </c>
      <c r="F1111">
        <v>-0.15075829024250101</v>
      </c>
      <c r="G1111">
        <v>-9.8813065254952009E-2</v>
      </c>
      <c r="H1111">
        <v>-0.10364081557930301</v>
      </c>
      <c r="I1111">
        <v>-0.30827683760487501</v>
      </c>
    </row>
    <row r="1112" spans="1:9" x14ac:dyDescent="0.35">
      <c r="A1112" s="1" t="s">
        <v>1124</v>
      </c>
      <c r="B1112" t="str">
        <f>HYPERLINK("https://www.suredividend.com/sure-analysis-research-database/","Northwest Pipe Co.")</f>
        <v>Northwest Pipe Co.</v>
      </c>
      <c r="C1112">
        <v>-6.7688378033205002E-2</v>
      </c>
      <c r="D1112">
        <v>-3.5348529897588001E-2</v>
      </c>
      <c r="E1112">
        <v>4.817618719889E-3</v>
      </c>
      <c r="F1112">
        <v>-0.13353115727002901</v>
      </c>
      <c r="G1112">
        <v>-2.8609447771124001E-2</v>
      </c>
      <c r="H1112">
        <v>0.202635914332784</v>
      </c>
      <c r="I1112">
        <v>0.54661016949152508</v>
      </c>
    </row>
    <row r="1113" spans="1:9" x14ac:dyDescent="0.35">
      <c r="A1113" s="1" t="s">
        <v>1125</v>
      </c>
      <c r="B1113" t="str">
        <f>HYPERLINK("https://www.suredividend.com/sure-analysis-research-database/","Quanex Building Products Corp")</f>
        <v>Quanex Building Products Corp</v>
      </c>
      <c r="C1113">
        <v>-2.1723646723646E-2</v>
      </c>
      <c r="D1113">
        <v>2.5662087840283999E-2</v>
      </c>
      <c r="E1113">
        <v>0.34790331602861602</v>
      </c>
      <c r="F1113">
        <v>0.171588447037548</v>
      </c>
      <c r="G1113">
        <v>0.42092331566015712</v>
      </c>
      <c r="H1113">
        <v>0.33725373744651199</v>
      </c>
      <c r="I1113">
        <v>0.83432940469433303</v>
      </c>
    </row>
    <row r="1114" spans="1:9" x14ac:dyDescent="0.35">
      <c r="A1114" s="1" t="s">
        <v>1126</v>
      </c>
      <c r="B1114" t="str">
        <f>HYPERLINK("https://www.suredividend.com/sure-analysis-research-database/","NextGen Healthcare Inc")</f>
        <v>NextGen Healthcare Inc</v>
      </c>
      <c r="C1114">
        <v>1.0178117048345999E-2</v>
      </c>
      <c r="D1114">
        <v>0.393797542422469</v>
      </c>
      <c r="E1114">
        <v>0.36114285714285699</v>
      </c>
      <c r="F1114">
        <v>0.26837060702875298</v>
      </c>
      <c r="G1114">
        <v>0.31529541689674201</v>
      </c>
      <c r="H1114">
        <v>0.6393668272539571</v>
      </c>
      <c r="I1114">
        <v>0.219662058371735</v>
      </c>
    </row>
    <row r="1115" spans="1:9" x14ac:dyDescent="0.35">
      <c r="A1115" s="1" t="s">
        <v>1127</v>
      </c>
      <c r="B1115" t="str">
        <f>HYPERLINK("https://www.suredividend.com/sure-analysis-NXRT/","NexPoint Residential Trust Inc")</f>
        <v>NexPoint Residential Trust Inc</v>
      </c>
      <c r="C1115">
        <v>-0.16177703269069499</v>
      </c>
      <c r="D1115">
        <v>-0.36463292726317698</v>
      </c>
      <c r="E1115">
        <v>-0.287141699596759</v>
      </c>
      <c r="F1115">
        <v>-0.28895293579482001</v>
      </c>
      <c r="G1115">
        <v>-0.22017358935900799</v>
      </c>
      <c r="H1115">
        <v>-0.51525336091003004</v>
      </c>
      <c r="I1115">
        <v>2.0005712031986998E-2</v>
      </c>
    </row>
    <row r="1116" spans="1:9" x14ac:dyDescent="0.35">
      <c r="A1116" s="1" t="s">
        <v>1128</v>
      </c>
      <c r="B1116" t="str">
        <f>HYPERLINK("https://www.suredividend.com/sure-analysis-research-database/","Nextracker Inc")</f>
        <v>Nextracker Inc</v>
      </c>
      <c r="C1116">
        <v>-0.181203358208955</v>
      </c>
      <c r="D1116">
        <v>-7.0918232336597012E-2</v>
      </c>
      <c r="E1116">
        <v>7.7497129735930002E-3</v>
      </c>
      <c r="F1116">
        <v>0.15265922521339401</v>
      </c>
      <c r="G1116">
        <v>0.15265922521339401</v>
      </c>
      <c r="H1116">
        <v>0.15265922521339401</v>
      </c>
      <c r="I1116">
        <v>0.15265922521339401</v>
      </c>
    </row>
    <row r="1117" spans="1:9" x14ac:dyDescent="0.35">
      <c r="A1117" s="1" t="s">
        <v>1129</v>
      </c>
      <c r="B1117" t="str">
        <f>HYPERLINK("https://www.suredividend.com/sure-analysis-NYMT/","New York Mortgage Trust Inc")</f>
        <v>New York Mortgage Trust Inc</v>
      </c>
      <c r="C1117">
        <v>-9.4463660386276002E-2</v>
      </c>
      <c r="D1117">
        <v>-0.146000486263068</v>
      </c>
      <c r="E1117">
        <v>-7.3972361974646003E-2</v>
      </c>
      <c r="F1117">
        <v>-5.8826156371065003E-2</v>
      </c>
      <c r="G1117">
        <v>3.6505145639423003E-2</v>
      </c>
      <c r="H1117">
        <v>-0.342577284212496</v>
      </c>
      <c r="I1117">
        <v>-0.34573563994505102</v>
      </c>
    </row>
    <row r="1118" spans="1:9" x14ac:dyDescent="0.35">
      <c r="A1118" s="1" t="s">
        <v>1130</v>
      </c>
      <c r="B1118" t="str">
        <f>HYPERLINK("https://www.suredividend.com/sure-analysis-research-database/","OmniAb Inc")</f>
        <v>OmniAb Inc</v>
      </c>
      <c r="C1118">
        <v>-6.5510597302504012E-2</v>
      </c>
      <c r="D1118">
        <v>-3.1936127744511003E-2</v>
      </c>
      <c r="E1118">
        <v>0.27968337730870702</v>
      </c>
      <c r="F1118">
        <v>0.34722222222222199</v>
      </c>
      <c r="G1118">
        <v>1.0124481327800829</v>
      </c>
      <c r="H1118">
        <v>1.0124481327800829</v>
      </c>
      <c r="I1118">
        <v>1.0124481327800829</v>
      </c>
    </row>
    <row r="1119" spans="1:9" x14ac:dyDescent="0.35">
      <c r="A1119" s="1" t="s">
        <v>1131</v>
      </c>
      <c r="B1119" t="str">
        <f>HYPERLINK("https://www.suredividend.com/sure-analysis-research-database/","Outbrain Inc")</f>
        <v>Outbrain Inc</v>
      </c>
      <c r="C1119">
        <v>-6.2124248496994001E-2</v>
      </c>
      <c r="D1119">
        <v>-0.13653136531365301</v>
      </c>
      <c r="E1119">
        <v>8.0831408775981009E-2</v>
      </c>
      <c r="F1119">
        <v>0.29281767955801002</v>
      </c>
      <c r="G1119">
        <v>0.19387755102040799</v>
      </c>
      <c r="H1119">
        <v>-0.706950532247965</v>
      </c>
      <c r="I1119">
        <v>-0.76600000000000001</v>
      </c>
    </row>
    <row r="1120" spans="1:9" x14ac:dyDescent="0.35">
      <c r="A1120" s="1" t="s">
        <v>1132</v>
      </c>
      <c r="B1120" t="str">
        <f>HYPERLINK("https://www.suredividend.com/sure-analysis-research-database/","Origin Bancorp Inc")</f>
        <v>Origin Bancorp Inc</v>
      </c>
      <c r="C1120">
        <v>-3.2921810699588001E-2</v>
      </c>
      <c r="D1120">
        <v>-6.9552593374686E-2</v>
      </c>
      <c r="E1120">
        <v>-9.3014280200694008E-2</v>
      </c>
      <c r="F1120">
        <v>-0.22424535853894001</v>
      </c>
      <c r="G1120">
        <v>-0.297987065038262</v>
      </c>
      <c r="H1120">
        <v>-0.33146998371346997</v>
      </c>
      <c r="I1120">
        <v>-0.179154004680568</v>
      </c>
    </row>
    <row r="1121" spans="1:9" x14ac:dyDescent="0.35">
      <c r="A1121" s="1" t="s">
        <v>1133</v>
      </c>
      <c r="B1121" t="str">
        <f>HYPERLINK("https://www.suredividend.com/sure-analysis-research-database/","OceanFirst Financial Corp.")</f>
        <v>OceanFirst Financial Corp.</v>
      </c>
      <c r="C1121">
        <v>-0.139375</v>
      </c>
      <c r="D1121">
        <v>-0.144284666724667</v>
      </c>
      <c r="E1121">
        <v>-0.170721719021006</v>
      </c>
      <c r="F1121">
        <v>-0.32248589127300797</v>
      </c>
      <c r="G1121">
        <v>-0.27546526495240797</v>
      </c>
      <c r="H1121">
        <v>-0.31216376196969903</v>
      </c>
      <c r="I1121">
        <v>-0.363969348588215</v>
      </c>
    </row>
    <row r="1122" spans="1:9" x14ac:dyDescent="0.35">
      <c r="A1122" s="1" t="s">
        <v>1134</v>
      </c>
      <c r="B1122" t="str">
        <f>HYPERLINK("https://www.suredividend.com/sure-analysis-research-database/","Ocugen Inc")</f>
        <v>Ocugen Inc</v>
      </c>
      <c r="C1122">
        <v>2.2727272727271999E-2</v>
      </c>
      <c r="D1122">
        <v>-0.28302210039403802</v>
      </c>
      <c r="E1122">
        <v>-0.47700574856285899</v>
      </c>
      <c r="F1122">
        <v>-0.67807692307692302</v>
      </c>
      <c r="G1122">
        <v>-0.73173076923076907</v>
      </c>
      <c r="H1122">
        <v>-0.95167436489607404</v>
      </c>
      <c r="I1122">
        <v>-0.33253588516746402</v>
      </c>
    </row>
    <row r="1123" spans="1:9" x14ac:dyDescent="0.35">
      <c r="A1123" s="1" t="s">
        <v>1135</v>
      </c>
      <c r="B1123" t="str">
        <f>HYPERLINK("https://www.suredividend.com/sure-analysis-research-database/","Eightco Holdings Inc")</f>
        <v>Eightco Holdings Inc</v>
      </c>
      <c r="C1123">
        <v>-7.8763560707386007E-2</v>
      </c>
      <c r="D1123">
        <v>-0.58947019867549599</v>
      </c>
      <c r="E1123">
        <v>-0.80067524115755606</v>
      </c>
      <c r="F1123">
        <v>2.2336984872196139</v>
      </c>
      <c r="G1123">
        <v>-0.17588407338473799</v>
      </c>
      <c r="H1123">
        <v>-0.69463054187192108</v>
      </c>
      <c r="I1123">
        <v>-0.69463054187192108</v>
      </c>
    </row>
    <row r="1124" spans="1:9" x14ac:dyDescent="0.35">
      <c r="A1124" s="1" t="s">
        <v>1136</v>
      </c>
      <c r="B1124" t="str">
        <f>HYPERLINK("https://www.suredividend.com/sure-analysis-research-database/","Ocular Therapeutix Inc")</f>
        <v>Ocular Therapeutix Inc</v>
      </c>
      <c r="C1124">
        <v>-0.284482758620689</v>
      </c>
      <c r="D1124">
        <v>-0.47798742138364703</v>
      </c>
      <c r="E1124">
        <v>-0.52661596958174806</v>
      </c>
      <c r="F1124">
        <v>-0.11387900355871799</v>
      </c>
      <c r="G1124">
        <v>-0.39563106796116498</v>
      </c>
      <c r="H1124">
        <v>-0.77747989276139406</v>
      </c>
      <c r="I1124">
        <v>-0.59577922077922008</v>
      </c>
    </row>
    <row r="1125" spans="1:9" x14ac:dyDescent="0.35">
      <c r="A1125" s="1" t="s">
        <v>1137</v>
      </c>
      <c r="B1125" t="str">
        <f>HYPERLINK("https://www.suredividend.com/sure-analysis-research-database/","ODP Corporation (The)")</f>
        <v>ODP Corporation (The)</v>
      </c>
      <c r="C1125">
        <v>-7.8081901124549005E-2</v>
      </c>
      <c r="D1125">
        <v>-8.1783601014370003E-2</v>
      </c>
      <c r="E1125">
        <v>-2.2962112514340002E-3</v>
      </c>
      <c r="F1125">
        <v>-4.5893719806763003E-2</v>
      </c>
      <c r="G1125">
        <v>0.17942453854505899</v>
      </c>
      <c r="H1125">
        <v>-2.0955385308696999E-2</v>
      </c>
      <c r="I1125">
        <v>0.64127630480521902</v>
      </c>
    </row>
    <row r="1126" spans="1:9" x14ac:dyDescent="0.35">
      <c r="A1126" s="1" t="s">
        <v>1138</v>
      </c>
      <c r="B1126" t="str">
        <f>HYPERLINK("https://www.suredividend.com/sure-analysis-research-database/","Orion S.A")</f>
        <v>Orion S.A</v>
      </c>
      <c r="C1126">
        <v>-7.9499776686020013E-2</v>
      </c>
      <c r="D1126">
        <v>-5.7151875860617013E-2</v>
      </c>
      <c r="E1126">
        <v>-0.171127403469119</v>
      </c>
      <c r="F1126">
        <v>0.160296576533973</v>
      </c>
      <c r="G1126">
        <v>0.53024858186570001</v>
      </c>
      <c r="H1126">
        <v>0.101962252045126</v>
      </c>
      <c r="I1126">
        <v>-0.20230985675636901</v>
      </c>
    </row>
    <row r="1127" spans="1:9" x14ac:dyDescent="0.35">
      <c r="A1127" s="1" t="s">
        <v>1139</v>
      </c>
      <c r="B1127" t="str">
        <f>HYPERLINK("https://www.suredividend.com/sure-analysis-research-database/","OFG Bancorp")</f>
        <v>OFG Bancorp</v>
      </c>
      <c r="C1127">
        <v>3.0031207899178999E-2</v>
      </c>
      <c r="D1127">
        <v>7.6687225926058006E-2</v>
      </c>
      <c r="E1127">
        <v>0.27074961604005798</v>
      </c>
      <c r="F1127">
        <v>0.12330713523204399</v>
      </c>
      <c r="G1127">
        <v>0.156374803282266</v>
      </c>
      <c r="H1127">
        <v>0.249126232064491</v>
      </c>
      <c r="I1127">
        <v>1.248345381585902</v>
      </c>
    </row>
    <row r="1128" spans="1:9" x14ac:dyDescent="0.35">
      <c r="A1128" s="1" t="s">
        <v>1140</v>
      </c>
      <c r="B1128" t="str">
        <f>HYPERLINK("https://www.suredividend.com/sure-analysis-research-database/","Orthofix Medical Inc")</f>
        <v>Orthofix Medical Inc</v>
      </c>
      <c r="C1128">
        <v>-4.6047582501917997E-2</v>
      </c>
      <c r="D1128">
        <v>-0.39718719689621701</v>
      </c>
      <c r="E1128">
        <v>-0.31890410958904097</v>
      </c>
      <c r="F1128">
        <v>-0.39454456892352602</v>
      </c>
      <c r="G1128">
        <v>-0.16183412002697201</v>
      </c>
      <c r="H1128">
        <v>-0.657008830022075</v>
      </c>
      <c r="I1128">
        <v>-0.77379435850773404</v>
      </c>
    </row>
    <row r="1129" spans="1:9" x14ac:dyDescent="0.35">
      <c r="A1129" s="1" t="s">
        <v>1141</v>
      </c>
      <c r="B1129" t="str">
        <f>HYPERLINK("https://www.suredividend.com/sure-analysis-research-database/","Omega Flex Inc")</f>
        <v>Omega Flex Inc</v>
      </c>
      <c r="C1129">
        <v>-6.8948898073637008E-2</v>
      </c>
      <c r="D1129">
        <v>-0.21313701187494499</v>
      </c>
      <c r="E1129">
        <v>-0.28308694327952499</v>
      </c>
      <c r="F1129">
        <v>-0.16336661275029199</v>
      </c>
      <c r="G1129">
        <v>-0.119835794724997</v>
      </c>
      <c r="H1129">
        <v>-0.44303849077264001</v>
      </c>
      <c r="I1129">
        <v>0.33958824734577597</v>
      </c>
    </row>
    <row r="1130" spans="1:9" x14ac:dyDescent="0.35">
      <c r="A1130" s="1" t="s">
        <v>1142</v>
      </c>
      <c r="B1130" t="str">
        <f>HYPERLINK("https://www.suredividend.com/sure-analysis-OGS/","ONE Gas Inc")</f>
        <v>ONE Gas Inc</v>
      </c>
      <c r="C1130">
        <v>-8.6450760079312003E-2</v>
      </c>
      <c r="D1130">
        <v>-8.5200392870096009E-2</v>
      </c>
      <c r="E1130">
        <v>-0.117258609634411</v>
      </c>
      <c r="F1130">
        <v>-6.4185424258057011E-2</v>
      </c>
      <c r="G1130">
        <v>1.2247743643973999E-2</v>
      </c>
      <c r="H1130">
        <v>8.5774794816686012E-2</v>
      </c>
      <c r="I1130">
        <v>-1.0190270905093E-2</v>
      </c>
    </row>
    <row r="1131" spans="1:9" x14ac:dyDescent="0.35">
      <c r="A1131" s="1" t="s">
        <v>1143</v>
      </c>
      <c r="B1131" t="str">
        <f>HYPERLINK("https://www.suredividend.com/sure-analysis-research-database/","O-I Glass Inc")</f>
        <v>O-I Glass Inc</v>
      </c>
      <c r="C1131">
        <v>-0.15510649918077499</v>
      </c>
      <c r="D1131">
        <v>-0.31790123456790098</v>
      </c>
      <c r="E1131">
        <v>-0.31183274021352297</v>
      </c>
      <c r="F1131">
        <v>-6.6385033192515999E-2</v>
      </c>
      <c r="G1131">
        <v>5.0951086956521001E-2</v>
      </c>
      <c r="H1131">
        <v>4.6684709066305001E-2</v>
      </c>
      <c r="I1131">
        <v>-0.11769905952537101</v>
      </c>
    </row>
    <row r="1132" spans="1:9" x14ac:dyDescent="0.35">
      <c r="A1132" s="1" t="s">
        <v>1144</v>
      </c>
      <c r="B1132" t="str">
        <f>HYPERLINK("https://www.suredividend.com/sure-analysis-research-database/","Oceaneering International, Inc.")</f>
        <v>Oceaneering International, Inc.</v>
      </c>
      <c r="C1132">
        <v>1.3754045307442999E-2</v>
      </c>
      <c r="D1132">
        <v>0.136507936507936</v>
      </c>
      <c r="E1132">
        <v>0.38147739801543501</v>
      </c>
      <c r="F1132">
        <v>0.43281875357346999</v>
      </c>
      <c r="G1132">
        <v>1.847727272727272</v>
      </c>
      <c r="H1132">
        <v>0.63897972531066005</v>
      </c>
      <c r="I1132">
        <v>-2.4902723735408E-2</v>
      </c>
    </row>
    <row r="1133" spans="1:9" x14ac:dyDescent="0.35">
      <c r="A1133" s="1" t="s">
        <v>1145</v>
      </c>
      <c r="B1133" t="str">
        <f>HYPERLINK("https://www.suredividend.com/sure-analysis-research-database/","Oil States International, Inc.")</f>
        <v>Oil States International, Inc.</v>
      </c>
      <c r="C1133">
        <v>-0.104529616724738</v>
      </c>
      <c r="D1133">
        <v>-4.9321824907521003E-2</v>
      </c>
      <c r="E1133">
        <v>-6.8840579710144012E-2</v>
      </c>
      <c r="F1133">
        <v>3.3512064343162999E-2</v>
      </c>
      <c r="G1133">
        <v>0.75227272727272709</v>
      </c>
      <c r="H1133">
        <v>0.11739130434782601</v>
      </c>
      <c r="I1133">
        <v>-0.73757658270932602</v>
      </c>
    </row>
    <row r="1134" spans="1:9" x14ac:dyDescent="0.35">
      <c r="A1134" s="1" t="s">
        <v>1146</v>
      </c>
      <c r="B1134" t="str">
        <f>HYPERLINK("https://www.suredividend.com/sure-analysis-research-database/","Olo Inc")</f>
        <v>Olo Inc</v>
      </c>
      <c r="C1134">
        <v>-3.1468531468531E-2</v>
      </c>
      <c r="D1134">
        <v>-0.11360000000000001</v>
      </c>
      <c r="E1134">
        <v>-0.34669811320754701</v>
      </c>
      <c r="F1134">
        <v>-0.11360000000000001</v>
      </c>
      <c r="G1134">
        <v>-0.27486910994764302</v>
      </c>
      <c r="H1134">
        <v>-0.80171796707229703</v>
      </c>
      <c r="I1134">
        <v>-0.84057553956834508</v>
      </c>
    </row>
    <row r="1135" spans="1:9" x14ac:dyDescent="0.35">
      <c r="A1135" s="1" t="s">
        <v>1147</v>
      </c>
      <c r="B1135" t="str">
        <f>HYPERLINK("https://www.suredividend.com/sure-analysis-OLP/","One Liberty Properties, Inc.")</f>
        <v>One Liberty Properties, Inc.</v>
      </c>
      <c r="C1135">
        <v>-2.890790051666E-2</v>
      </c>
      <c r="D1135">
        <v>-9.238423866824301E-2</v>
      </c>
      <c r="E1135">
        <v>-0.127906976744186</v>
      </c>
      <c r="F1135">
        <v>-0.10647266008429999</v>
      </c>
      <c r="G1135">
        <v>-6.9140270585934999E-2</v>
      </c>
      <c r="H1135">
        <v>-0.32034286634507703</v>
      </c>
      <c r="I1135">
        <v>8.1978675056808004E-2</v>
      </c>
    </row>
    <row r="1136" spans="1:9" x14ac:dyDescent="0.35">
      <c r="A1136" s="1" t="s">
        <v>1148</v>
      </c>
      <c r="B1136" t="str">
        <f>HYPERLINK("https://www.suredividend.com/sure-analysis-research-database/","Outset Medical Inc")</f>
        <v>Outset Medical Inc</v>
      </c>
      <c r="C1136">
        <v>-0.72461413484971504</v>
      </c>
      <c r="D1136">
        <v>-0.82334549244398103</v>
      </c>
      <c r="E1136">
        <v>-0.81229235880398609</v>
      </c>
      <c r="F1136">
        <v>-0.86870642912470908</v>
      </c>
      <c r="G1136">
        <v>-0.75889046941678506</v>
      </c>
      <c r="H1136">
        <v>-0.93031860226104812</v>
      </c>
      <c r="I1136">
        <v>-0.94413315754779104</v>
      </c>
    </row>
    <row r="1137" spans="1:9" x14ac:dyDescent="0.35">
      <c r="A1137" s="1" t="s">
        <v>1149</v>
      </c>
      <c r="B1137" t="str">
        <f>HYPERLINK("https://www.suredividend.com/sure-analysis-research-database/","Omnicell, Inc.")</f>
        <v>Omnicell, Inc.</v>
      </c>
      <c r="C1137">
        <v>-0.24140414041404101</v>
      </c>
      <c r="D1137">
        <v>-0.41771452259223402</v>
      </c>
      <c r="E1137">
        <v>-0.29413735343383501</v>
      </c>
      <c r="F1137">
        <v>-0.16422054740182401</v>
      </c>
      <c r="G1137">
        <v>-0.42478842478842399</v>
      </c>
      <c r="H1137">
        <v>-0.73318981891857604</v>
      </c>
      <c r="I1137">
        <v>-0.34898810443380202</v>
      </c>
    </row>
    <row r="1138" spans="1:9" x14ac:dyDescent="0.35">
      <c r="A1138" s="1" t="s">
        <v>1150</v>
      </c>
      <c r="B1138" t="str">
        <f>HYPERLINK("https://www.suredividend.com/sure-analysis-research-database/","Owens &amp; Minor, Inc.")</f>
        <v>Owens &amp; Minor, Inc.</v>
      </c>
      <c r="C1138">
        <v>-0.109909909909909</v>
      </c>
      <c r="D1138">
        <v>-0.22610966057441201</v>
      </c>
      <c r="E1138">
        <v>2.2068965517240999E-2</v>
      </c>
      <c r="F1138">
        <v>-0.241167434715821</v>
      </c>
      <c r="G1138">
        <v>-3.7037037037037E-2</v>
      </c>
      <c r="H1138">
        <v>-0.54992711370262304</v>
      </c>
      <c r="I1138">
        <v>-2.3335815633216999E-2</v>
      </c>
    </row>
    <row r="1139" spans="1:9" x14ac:dyDescent="0.35">
      <c r="A1139" s="1" t="s">
        <v>1151</v>
      </c>
      <c r="B1139" t="str">
        <f>HYPERLINK("https://www.suredividend.com/sure-analysis-research-database/","Singular Genomics Systems Inc")</f>
        <v>Singular Genomics Systems Inc</v>
      </c>
      <c r="C1139">
        <v>-0.104032450489143</v>
      </c>
      <c r="D1139">
        <v>-0.58572374227714008</v>
      </c>
      <c r="E1139">
        <v>-0.63543689320388308</v>
      </c>
      <c r="F1139">
        <v>-0.81318407960199002</v>
      </c>
      <c r="G1139">
        <v>-0.8381465517241371</v>
      </c>
      <c r="H1139">
        <v>-0.97321683309557705</v>
      </c>
      <c r="I1139">
        <v>-0.98540046656298608</v>
      </c>
    </row>
    <row r="1140" spans="1:9" x14ac:dyDescent="0.35">
      <c r="A1140" s="1" t="s">
        <v>1152</v>
      </c>
      <c r="B1140" t="str">
        <f>HYPERLINK("https://www.suredividend.com/sure-analysis-research-database/","Old National Bancorp")</f>
        <v>Old National Bancorp</v>
      </c>
      <c r="C1140">
        <v>-7.6058201058200006E-2</v>
      </c>
      <c r="D1140">
        <v>-3.1670005337250999E-2</v>
      </c>
      <c r="E1140">
        <v>6.9007208337796999E-2</v>
      </c>
      <c r="F1140">
        <v>-0.19216801979969</v>
      </c>
      <c r="G1140">
        <v>-0.19548967439503301</v>
      </c>
      <c r="H1140">
        <v>-0.113049661600193</v>
      </c>
      <c r="I1140">
        <v>-0.111989727812456</v>
      </c>
    </row>
    <row r="1141" spans="1:9" x14ac:dyDescent="0.35">
      <c r="A1141" s="1" t="s">
        <v>1153</v>
      </c>
      <c r="B1141" t="str">
        <f>HYPERLINK("https://www.suredividend.com/sure-analysis-research-database/","Ondas Holdings Inc")</f>
        <v>Ondas Holdings Inc</v>
      </c>
      <c r="C1141">
        <v>-0.52299202942979706</v>
      </c>
      <c r="D1141">
        <v>-0.67033898305084705</v>
      </c>
      <c r="E1141">
        <v>-0.61862745098039207</v>
      </c>
      <c r="F1141">
        <v>-0.75534591194968503</v>
      </c>
      <c r="G1141">
        <v>-0.88422619047619011</v>
      </c>
      <c r="H1141">
        <v>-0.95785482123510213</v>
      </c>
      <c r="I1141">
        <v>-0.93674796747967404</v>
      </c>
    </row>
    <row r="1142" spans="1:9" x14ac:dyDescent="0.35">
      <c r="A1142" s="1" t="s">
        <v>1154</v>
      </c>
      <c r="B1142" t="str">
        <f>HYPERLINK("https://www.suredividend.com/sure-analysis-research-database/","Onewater Marine Inc")</f>
        <v>Onewater Marine Inc</v>
      </c>
      <c r="C1142">
        <v>-0.113366526235158</v>
      </c>
      <c r="D1142">
        <v>-0.38772811425548798</v>
      </c>
      <c r="E1142">
        <v>-0.178495386799148</v>
      </c>
      <c r="F1142">
        <v>-0.19055944055943999</v>
      </c>
      <c r="G1142">
        <v>-0.23898750821827699</v>
      </c>
      <c r="H1142">
        <v>-0.44431108977436301</v>
      </c>
      <c r="I1142">
        <v>0.59627650405102506</v>
      </c>
    </row>
    <row r="1143" spans="1:9" x14ac:dyDescent="0.35">
      <c r="A1143" s="1" t="s">
        <v>1155</v>
      </c>
      <c r="B1143" t="str">
        <f>HYPERLINK("https://www.suredividend.com/sure-analysis-research-database/","Orion Office REIT Inc")</f>
        <v>Orion Office REIT Inc</v>
      </c>
      <c r="C1143">
        <v>-9.2847523567260004E-2</v>
      </c>
      <c r="D1143">
        <v>-0.26864208700897202</v>
      </c>
      <c r="E1143">
        <v>-0.204539863213659</v>
      </c>
      <c r="F1143">
        <v>-0.40284908703628403</v>
      </c>
      <c r="G1143">
        <v>-0.43224386589248898</v>
      </c>
      <c r="H1143">
        <v>-0.80600000000000005</v>
      </c>
      <c r="I1143">
        <v>-0.80600000000000005</v>
      </c>
    </row>
    <row r="1144" spans="1:9" x14ac:dyDescent="0.35">
      <c r="A1144" s="1" t="s">
        <v>1156</v>
      </c>
      <c r="B1144" t="str">
        <f>HYPERLINK("https://www.suredividend.com/sure-analysis-research-database/","ON24 Inc")</f>
        <v>ON24 Inc</v>
      </c>
      <c r="C1144">
        <v>1.618122977346E-3</v>
      </c>
      <c r="D1144">
        <v>-0.29418472063854001</v>
      </c>
      <c r="E1144">
        <v>-0.193243577880016</v>
      </c>
      <c r="F1144">
        <v>-0.16893787844206001</v>
      </c>
      <c r="G1144">
        <v>-0.14414103007258799</v>
      </c>
      <c r="H1144">
        <v>-0.643178307085706</v>
      </c>
      <c r="I1144">
        <v>-0.89872763295883806</v>
      </c>
    </row>
    <row r="1145" spans="1:9" x14ac:dyDescent="0.35">
      <c r="A1145" s="1" t="s">
        <v>1157</v>
      </c>
      <c r="B1145" t="str">
        <f>HYPERLINK("https://www.suredividend.com/sure-analysis-research-database/","Onto Innovation Inc.")</f>
        <v>Onto Innovation Inc.</v>
      </c>
      <c r="C1145">
        <v>0.11021786317228</v>
      </c>
      <c r="D1145">
        <v>0.23546251565575199</v>
      </c>
      <c r="E1145">
        <v>0.673128180276229</v>
      </c>
      <c r="F1145">
        <v>1.028197973270671</v>
      </c>
      <c r="G1145">
        <v>1.3390921409214089</v>
      </c>
      <c r="H1145">
        <v>0.91274238227146809</v>
      </c>
      <c r="I1145">
        <v>3.3938911867642378</v>
      </c>
    </row>
    <row r="1146" spans="1:9" x14ac:dyDescent="0.35">
      <c r="A1146" s="1" t="s">
        <v>1158</v>
      </c>
      <c r="B1146" t="str">
        <f>HYPERLINK("https://www.suredividend.com/sure-analysis-research-database/","Ooma Inc")</f>
        <v>Ooma Inc</v>
      </c>
      <c r="C1146">
        <v>-8.7679516250944001E-2</v>
      </c>
      <c r="D1146">
        <v>-0.18775235531628501</v>
      </c>
      <c r="E1146">
        <v>0</v>
      </c>
      <c r="F1146">
        <v>-0.11380323054331801</v>
      </c>
      <c r="G1146">
        <v>-0.17946974847042799</v>
      </c>
      <c r="H1146">
        <v>-0.38730964467005002</v>
      </c>
      <c r="I1146">
        <v>-0.158298465829846</v>
      </c>
    </row>
    <row r="1147" spans="1:9" x14ac:dyDescent="0.35">
      <c r="A1147" s="1" t="s">
        <v>1159</v>
      </c>
      <c r="B1147" t="str">
        <f>HYPERLINK("https://www.suredividend.com/sure-analysis-research-database/","Offerpad Solutions Inc")</f>
        <v>Offerpad Solutions Inc</v>
      </c>
      <c r="C1147">
        <v>-0.16057692307692301</v>
      </c>
      <c r="D1147">
        <v>-0.35761589403973498</v>
      </c>
      <c r="E1147">
        <v>6.3596491228069998E-2</v>
      </c>
      <c r="F1147">
        <v>0.26384364820846901</v>
      </c>
      <c r="G1147">
        <v>-0.37800577108047401</v>
      </c>
      <c r="H1147">
        <v>-0.92945454545454509</v>
      </c>
      <c r="I1147">
        <v>-0.142436149312377</v>
      </c>
    </row>
    <row r="1148" spans="1:9" x14ac:dyDescent="0.35">
      <c r="A1148" s="1" t="s">
        <v>1160</v>
      </c>
      <c r="B1148" t="str">
        <f>HYPERLINK("https://www.suredividend.com/sure-analysis-research-database/","Option Care Health Inc.")</f>
        <v>Option Care Health Inc.</v>
      </c>
      <c r="C1148">
        <v>-7.7784156142365002E-2</v>
      </c>
      <c r="D1148">
        <v>-1.1688711165793999E-2</v>
      </c>
      <c r="E1148">
        <v>1.388450615336E-2</v>
      </c>
      <c r="F1148">
        <v>6.7796610169491012E-2</v>
      </c>
      <c r="G1148">
        <v>-2.2215459525258E-2</v>
      </c>
      <c r="H1148">
        <v>0.31357318070318801</v>
      </c>
      <c r="I1148">
        <v>10.23426573426574</v>
      </c>
    </row>
    <row r="1149" spans="1:9" x14ac:dyDescent="0.35">
      <c r="A1149" s="1" t="s">
        <v>1161</v>
      </c>
      <c r="B1149" t="str">
        <f>HYPERLINK("https://www.suredividend.com/sure-analysis-research-database/","OppFi Inc")</f>
        <v>OppFi Inc</v>
      </c>
      <c r="C1149">
        <v>-3.0701754385964002E-2</v>
      </c>
      <c r="D1149">
        <v>0.121827411167512</v>
      </c>
      <c r="E1149">
        <v>6.7632850241545001E-2</v>
      </c>
      <c r="F1149">
        <v>7.8048780487804004E-2</v>
      </c>
      <c r="G1149">
        <v>0.104999999999999</v>
      </c>
      <c r="H1149">
        <v>-0.69891008174386904</v>
      </c>
      <c r="I1149">
        <v>-0.77563451776649706</v>
      </c>
    </row>
    <row r="1150" spans="1:9" x14ac:dyDescent="0.35">
      <c r="A1150" s="1" t="s">
        <v>1162</v>
      </c>
      <c r="B1150" t="str">
        <f>HYPERLINK("https://www.suredividend.com/sure-analysis-OPI/","Office Properties Income Trust")</f>
        <v>Office Properties Income Trust</v>
      </c>
      <c r="C1150">
        <v>-0.26446280991735499</v>
      </c>
      <c r="D1150">
        <v>-0.41670708209356211</v>
      </c>
      <c r="E1150">
        <v>-0.34822409373855701</v>
      </c>
      <c r="F1150">
        <v>-0.60718541731032305</v>
      </c>
      <c r="G1150">
        <v>-0.61292903989005409</v>
      </c>
      <c r="H1150">
        <v>-0.78790536289630708</v>
      </c>
      <c r="I1150">
        <v>-0.52663099556416004</v>
      </c>
    </row>
    <row r="1151" spans="1:9" x14ac:dyDescent="0.35">
      <c r="A1151" s="1" t="s">
        <v>1163</v>
      </c>
      <c r="B1151" t="str">
        <f>HYPERLINK("https://www.suredividend.com/sure-analysis-research-database/","Opko Health Inc")</f>
        <v>Opko Health Inc</v>
      </c>
      <c r="C1151">
        <v>-0.176829268292682</v>
      </c>
      <c r="D1151">
        <v>-0.35406698564593297</v>
      </c>
      <c r="E1151">
        <v>-0.12903225806451599</v>
      </c>
      <c r="F1151">
        <v>0.08</v>
      </c>
      <c r="G1151">
        <v>-0.219653179190751</v>
      </c>
      <c r="H1151">
        <v>-0.63709677419354804</v>
      </c>
      <c r="I1151">
        <v>-0.63315217391304301</v>
      </c>
    </row>
    <row r="1152" spans="1:9" x14ac:dyDescent="0.35">
      <c r="A1152" s="1" t="s">
        <v>1164</v>
      </c>
      <c r="B1152" t="str">
        <f>HYPERLINK("https://www.suredividend.com/sure-analysis-research-database/","Oportun Financial Corp")</f>
        <v>Oportun Financial Corp</v>
      </c>
      <c r="C1152">
        <v>-7.827260458839401E-2</v>
      </c>
      <c r="D1152">
        <v>0.206713780918727</v>
      </c>
      <c r="E1152">
        <v>0.77864583333333304</v>
      </c>
      <c r="F1152">
        <v>0.23956442831215899</v>
      </c>
      <c r="G1152">
        <v>0.6070588235294111</v>
      </c>
      <c r="H1152">
        <v>-0.72961203483768811</v>
      </c>
      <c r="I1152">
        <v>-0.57761286332714901</v>
      </c>
    </row>
    <row r="1153" spans="1:9" x14ac:dyDescent="0.35">
      <c r="A1153" s="1" t="s">
        <v>1165</v>
      </c>
      <c r="B1153" t="str">
        <f>HYPERLINK("https://www.suredividend.com/sure-analysis-research-database/","OptimizeRx Corp")</f>
        <v>OptimizeRx Corp</v>
      </c>
      <c r="C1153">
        <v>1.4336917562724E-2</v>
      </c>
      <c r="D1153">
        <v>-0.42401628222523702</v>
      </c>
      <c r="E1153">
        <v>-0.41082581540596802</v>
      </c>
      <c r="F1153">
        <v>-0.49464285714285711</v>
      </c>
      <c r="G1153">
        <v>-0.38344226579520602</v>
      </c>
      <c r="H1153">
        <v>-0.89966910895769303</v>
      </c>
      <c r="I1153">
        <v>-0.42440677966101598</v>
      </c>
    </row>
    <row r="1154" spans="1:9" x14ac:dyDescent="0.35">
      <c r="A1154" s="1" t="s">
        <v>1166</v>
      </c>
      <c r="B1154" t="str">
        <f>HYPERLINK("https://www.suredividend.com/sure-analysis-research-database/","Oppenheimer Holdings Inc")</f>
        <v>Oppenheimer Holdings Inc</v>
      </c>
      <c r="C1154">
        <v>-5.3155276250326997E-2</v>
      </c>
      <c r="D1154">
        <v>-0.107614398602192</v>
      </c>
      <c r="E1154">
        <v>-6.8416961693640007E-3</v>
      </c>
      <c r="F1154">
        <v>-0.136153734056709</v>
      </c>
      <c r="G1154">
        <v>0.25573868411365502</v>
      </c>
      <c r="H1154">
        <v>-0.24367128983746</v>
      </c>
      <c r="I1154">
        <v>0.38894757260669599</v>
      </c>
    </row>
    <row r="1155" spans="1:9" x14ac:dyDescent="0.35">
      <c r="A1155" s="1" t="s">
        <v>1167</v>
      </c>
      <c r="B1155" t="str">
        <f>HYPERLINK("https://www.suredividend.com/sure-analysis-research-database/","Ormat Technologies Inc")</f>
        <v>Ormat Technologies Inc</v>
      </c>
      <c r="C1155">
        <v>-9.8806810564418007E-2</v>
      </c>
      <c r="D1155">
        <v>-0.19651160288882799</v>
      </c>
      <c r="E1155">
        <v>-0.216852239986671</v>
      </c>
      <c r="F1155">
        <v>-0.21932342912357899</v>
      </c>
      <c r="G1155">
        <v>-0.18433317841892599</v>
      </c>
      <c r="H1155">
        <v>-4.6599201480735E-2</v>
      </c>
      <c r="I1155">
        <v>0.36065437718991</v>
      </c>
    </row>
    <row r="1156" spans="1:9" x14ac:dyDescent="0.35">
      <c r="A1156" s="1" t="s">
        <v>1168</v>
      </c>
      <c r="B1156" t="str">
        <f>HYPERLINK("https://www.suredividend.com/sure-analysis-ORC/","Orchid Island Capital Inc")</f>
        <v>Orchid Island Capital Inc</v>
      </c>
      <c r="C1156">
        <v>-0.20617137735667801</v>
      </c>
      <c r="D1156">
        <v>-0.23697785799993801</v>
      </c>
      <c r="E1156">
        <v>-0.25340933037640601</v>
      </c>
      <c r="F1156">
        <v>-0.18643178164878699</v>
      </c>
      <c r="G1156">
        <v>-4.6166074793912007E-2</v>
      </c>
      <c r="H1156">
        <v>-0.554912119072972</v>
      </c>
      <c r="I1156">
        <v>-0.48614171161775499</v>
      </c>
    </row>
    <row r="1157" spans="1:9" x14ac:dyDescent="0.35">
      <c r="A1157" s="1" t="s">
        <v>1169</v>
      </c>
      <c r="B1157" t="str">
        <f>HYPERLINK("https://www.suredividend.com/sure-analysis-research-database/","Origin Materials Inc")</f>
        <v>Origin Materials Inc</v>
      </c>
      <c r="C1157">
        <v>-0.29931972789115602</v>
      </c>
      <c r="D1157">
        <v>-0.74567901234567902</v>
      </c>
      <c r="E1157">
        <v>-0.73924050632911309</v>
      </c>
      <c r="F1157">
        <v>-0.77657266811279801</v>
      </c>
      <c r="G1157">
        <v>-0.79441117764471003</v>
      </c>
      <c r="H1157">
        <v>-0.83467094703049705</v>
      </c>
      <c r="I1157">
        <v>-0.89700000000000002</v>
      </c>
    </row>
    <row r="1158" spans="1:9" x14ac:dyDescent="0.35">
      <c r="A1158" s="1" t="s">
        <v>1170</v>
      </c>
      <c r="B1158" t="str">
        <f>HYPERLINK("https://www.suredividend.com/sure-analysis-research-database/","Organogenesis Holdings Inc")</f>
        <v>Organogenesis Holdings Inc</v>
      </c>
      <c r="C1158">
        <v>-3.6734693877551003E-2</v>
      </c>
      <c r="D1158">
        <v>-0.39487179487179402</v>
      </c>
      <c r="E1158">
        <v>0.14009661835748699</v>
      </c>
      <c r="F1158">
        <v>-0.12267657992565</v>
      </c>
      <c r="G1158">
        <v>-0.26250000000000001</v>
      </c>
      <c r="H1158">
        <v>-0.78447488584474812</v>
      </c>
      <c r="I1158">
        <v>-0.76540755467196808</v>
      </c>
    </row>
    <row r="1159" spans="1:9" x14ac:dyDescent="0.35">
      <c r="A1159" s="1" t="s">
        <v>1171</v>
      </c>
      <c r="B1159" t="str">
        <f>HYPERLINK("https://www.suredividend.com/sure-analysis-research-database/","Orrstown Financial Services, Inc.")</f>
        <v>Orrstown Financial Services, Inc.</v>
      </c>
      <c r="C1159">
        <v>-5.1583710407238997E-2</v>
      </c>
      <c r="D1159">
        <v>8.721023720479E-2</v>
      </c>
      <c r="E1159">
        <v>0.139477232201104</v>
      </c>
      <c r="F1159">
        <v>-4.8686724731875013E-2</v>
      </c>
      <c r="G1159">
        <v>-9.7007112792255004E-2</v>
      </c>
      <c r="H1159">
        <v>-4.1232491972151002E-2</v>
      </c>
      <c r="I1159">
        <v>9.0400212253476012E-2</v>
      </c>
    </row>
    <row r="1160" spans="1:9" x14ac:dyDescent="0.35">
      <c r="A1160" s="1" t="s">
        <v>1172</v>
      </c>
      <c r="B1160" t="str">
        <f>HYPERLINK("https://www.suredividend.com/sure-analysis-research-database/","Old Second Bancorporation Inc.")</f>
        <v>Old Second Bancorporation Inc.</v>
      </c>
      <c r="C1160">
        <v>-5.0426136363636007E-2</v>
      </c>
      <c r="D1160">
        <v>-1.6752709997205E-2</v>
      </c>
      <c r="E1160">
        <v>3.6152981749137003E-2</v>
      </c>
      <c r="F1160">
        <v>-0.15426850867871</v>
      </c>
      <c r="G1160">
        <v>-3.1832927818329013E-2</v>
      </c>
      <c r="H1160">
        <v>4.1642320127770013E-2</v>
      </c>
      <c r="I1160">
        <v>-4.4276380688235001E-2</v>
      </c>
    </row>
    <row r="1161" spans="1:9" x14ac:dyDescent="0.35">
      <c r="A1161" s="1" t="s">
        <v>1173</v>
      </c>
      <c r="B1161" t="str">
        <f>HYPERLINK("https://www.suredividend.com/sure-analysis-research-database/","Oscar Health Inc")</f>
        <v>Oscar Health Inc</v>
      </c>
      <c r="C1161">
        <v>-0.198373983739837</v>
      </c>
      <c r="D1161">
        <v>-0.37197452229299299</v>
      </c>
      <c r="E1161">
        <v>-0.221169036334913</v>
      </c>
      <c r="F1161">
        <v>1.0040650406504059</v>
      </c>
      <c r="G1161">
        <v>0.40056818181818099</v>
      </c>
      <c r="H1161">
        <v>-0.68895899053627707</v>
      </c>
      <c r="I1161">
        <v>-0.85833333333333306</v>
      </c>
    </row>
    <row r="1162" spans="1:9" x14ac:dyDescent="0.35">
      <c r="A1162" s="1" t="s">
        <v>1174</v>
      </c>
      <c r="B1162" t="str">
        <f>HYPERLINK("https://www.suredividend.com/sure-analysis-research-database/","OSI Systems, Inc.")</f>
        <v>OSI Systems, Inc.</v>
      </c>
      <c r="C1162">
        <v>-8.5332882730650012E-3</v>
      </c>
      <c r="D1162">
        <v>-1.955050547247E-2</v>
      </c>
      <c r="E1162">
        <v>0.15105443845022001</v>
      </c>
      <c r="F1162">
        <v>0.47572937625754502</v>
      </c>
      <c r="G1162">
        <v>0.65678384865170103</v>
      </c>
      <c r="H1162">
        <v>0.23656480505795499</v>
      </c>
      <c r="I1162">
        <v>0.64424828359254505</v>
      </c>
    </row>
    <row r="1163" spans="1:9" x14ac:dyDescent="0.35">
      <c r="A1163" s="1" t="s">
        <v>1175</v>
      </c>
      <c r="B1163" t="str">
        <f>HYPERLINK("https://www.suredividend.com/sure-analysis-research-database/","OneSpan Inc")</f>
        <v>OneSpan Inc</v>
      </c>
      <c r="C1163">
        <v>-0.20789473684210499</v>
      </c>
      <c r="D1163">
        <v>-0.35729537366547998</v>
      </c>
      <c r="E1163">
        <v>-0.50110497237569007</v>
      </c>
      <c r="F1163">
        <v>-0.193029490616622</v>
      </c>
      <c r="G1163">
        <v>3.9125431530494012E-2</v>
      </c>
      <c r="H1163">
        <v>-0.55495317890586504</v>
      </c>
      <c r="I1163">
        <v>-0.46409495548961399</v>
      </c>
    </row>
    <row r="1164" spans="1:9" x14ac:dyDescent="0.35">
      <c r="A1164" s="1" t="s">
        <v>1176</v>
      </c>
      <c r="B1164" t="str">
        <f>HYPERLINK("https://www.suredividend.com/sure-analysis-research-database/","Overstock.com Inc")</f>
        <v>Overstock.com Inc</v>
      </c>
      <c r="C1164">
        <v>-0.24408656265727199</v>
      </c>
      <c r="D1164">
        <v>-0.51982097186700704</v>
      </c>
      <c r="E1164">
        <v>-0.20822351080653601</v>
      </c>
      <c r="F1164">
        <v>-0.22417355371900799</v>
      </c>
      <c r="G1164">
        <v>-0.38366844480919099</v>
      </c>
      <c r="H1164">
        <v>-0.80661774172782208</v>
      </c>
      <c r="I1164">
        <v>-0.43892416884572211</v>
      </c>
    </row>
    <row r="1165" spans="1:9" x14ac:dyDescent="0.35">
      <c r="A1165" s="1" t="s">
        <v>1177</v>
      </c>
      <c r="B1165" t="str">
        <f>HYPERLINK("https://www.suredividend.com/sure-analysis-research-database/","Orasure Technologies Inc.")</f>
        <v>Orasure Technologies Inc.</v>
      </c>
      <c r="C1165">
        <v>-2.7124773960217001E-2</v>
      </c>
      <c r="D1165">
        <v>0.14957264957264901</v>
      </c>
      <c r="E1165">
        <v>-0.20296296296296301</v>
      </c>
      <c r="F1165">
        <v>0.116182572614107</v>
      </c>
      <c r="G1165">
        <v>0.38659793814432902</v>
      </c>
      <c r="H1165">
        <v>-0.48810656517602202</v>
      </c>
      <c r="I1165">
        <v>-0.61843971631205608</v>
      </c>
    </row>
    <row r="1166" spans="1:9" x14ac:dyDescent="0.35">
      <c r="A1166" s="1" t="s">
        <v>1178</v>
      </c>
      <c r="B1166" t="str">
        <f>HYPERLINK("https://www.suredividend.com/sure-analysis-research-database/","OneSpaWorld Holdings Limited")</f>
        <v>OneSpaWorld Holdings Limited</v>
      </c>
      <c r="C1166">
        <v>-0.144189991518235</v>
      </c>
      <c r="D1166">
        <v>-0.11101321585903</v>
      </c>
      <c r="E1166">
        <v>-0.15067340067339999</v>
      </c>
      <c r="F1166">
        <v>8.145766345123201E-2</v>
      </c>
      <c r="G1166">
        <v>0.24261083743842299</v>
      </c>
      <c r="H1166">
        <v>-9.0990990990990006E-2</v>
      </c>
      <c r="I1166">
        <v>-0.17504026686507099</v>
      </c>
    </row>
    <row r="1167" spans="1:9" x14ac:dyDescent="0.35">
      <c r="A1167" s="1" t="s">
        <v>1179</v>
      </c>
      <c r="B1167" t="str">
        <f>HYPERLINK("https://www.suredividend.com/sure-analysis-research-database/","Outlook Therapeutics Inc")</f>
        <v>Outlook Therapeutics Inc</v>
      </c>
      <c r="C1167">
        <v>0.51092515109251502</v>
      </c>
      <c r="D1167">
        <v>-0.80303030303030309</v>
      </c>
      <c r="E1167">
        <v>-0.69907407407407407</v>
      </c>
      <c r="F1167">
        <v>-0.69907407407407407</v>
      </c>
      <c r="G1167">
        <v>-0.72916666666666607</v>
      </c>
      <c r="H1167">
        <v>-0.84597156398104212</v>
      </c>
      <c r="I1167">
        <v>-0.64356218468962401</v>
      </c>
    </row>
    <row r="1168" spans="1:9" x14ac:dyDescent="0.35">
      <c r="A1168" s="1" t="s">
        <v>1180</v>
      </c>
      <c r="B1168" t="str">
        <f>HYPERLINK("https://www.suredividend.com/sure-analysis-OTTR/","Otter Tail Corporation")</f>
        <v>Otter Tail Corporation</v>
      </c>
      <c r="C1168">
        <v>-2.4872365492864999E-2</v>
      </c>
      <c r="D1168">
        <v>-7.6095315112396006E-2</v>
      </c>
      <c r="E1168">
        <v>2.6485503252122001E-2</v>
      </c>
      <c r="F1168">
        <v>0.29708664831347298</v>
      </c>
      <c r="G1168">
        <v>0.207005786303749</v>
      </c>
      <c r="H1168">
        <v>0.34718436839316202</v>
      </c>
      <c r="I1168">
        <v>0.90982860512518005</v>
      </c>
    </row>
    <row r="1169" spans="1:9" x14ac:dyDescent="0.35">
      <c r="A1169" s="1" t="s">
        <v>1181</v>
      </c>
      <c r="B1169" t="str">
        <f>HYPERLINK("https://www.suredividend.com/sure-analysis-research-database/","Ouster Inc")</f>
        <v>Ouster Inc</v>
      </c>
      <c r="C1169">
        <v>-9.8081023454157007E-2</v>
      </c>
      <c r="D1169">
        <v>-0.30427631578947301</v>
      </c>
      <c r="E1169">
        <v>-1.7193308550184999E-2</v>
      </c>
      <c r="F1169">
        <v>-0.50984936268829606</v>
      </c>
      <c r="G1169">
        <v>-0.47970479704796998</v>
      </c>
      <c r="H1169">
        <v>-0.93904899135446607</v>
      </c>
      <c r="I1169">
        <v>-0.56391752577319509</v>
      </c>
    </row>
    <row r="1170" spans="1:9" x14ac:dyDescent="0.35">
      <c r="A1170" s="1" t="s">
        <v>1182</v>
      </c>
      <c r="B1170" t="str">
        <f>HYPERLINK("https://www.suredividend.com/sure-analysis-research-database/","Outfront Media Inc")</f>
        <v>Outfront Media Inc</v>
      </c>
      <c r="C1170">
        <v>-0.20259019426456901</v>
      </c>
      <c r="D1170">
        <v>-0.45585617432802611</v>
      </c>
      <c r="E1170">
        <v>-0.43623283191628498</v>
      </c>
      <c r="F1170">
        <v>-0.44572332463123199</v>
      </c>
      <c r="G1170">
        <v>-0.41422309809384611</v>
      </c>
      <c r="H1170">
        <v>-0.62630435819290808</v>
      </c>
      <c r="I1170">
        <v>-0.40582457349646711</v>
      </c>
    </row>
    <row r="1171" spans="1:9" x14ac:dyDescent="0.35">
      <c r="A1171" s="1" t="s">
        <v>1183</v>
      </c>
      <c r="B1171" t="str">
        <f>HYPERLINK("https://www.suredividend.com/sure-analysis-research-database/","Oxford Industries, Inc.")</f>
        <v>Oxford Industries, Inc.</v>
      </c>
      <c r="C1171">
        <v>-7.4516458532406002E-2</v>
      </c>
      <c r="D1171">
        <v>-0.110532295159189</v>
      </c>
      <c r="E1171">
        <v>-0.10142105042159601</v>
      </c>
      <c r="F1171">
        <v>-1.1028550113718E-2</v>
      </c>
      <c r="G1171">
        <v>4.2094205872735997E-2</v>
      </c>
      <c r="H1171">
        <v>2.4648332894426001E-2</v>
      </c>
      <c r="I1171">
        <v>0.251014326535895</v>
      </c>
    </row>
    <row r="1172" spans="1:9" x14ac:dyDescent="0.35">
      <c r="A1172" s="1" t="s">
        <v>1184</v>
      </c>
      <c r="B1172" t="str">
        <f>HYPERLINK("https://www.suredividend.com/sure-analysis-research-database/","Pacific Biosciences of California Inc")</f>
        <v>Pacific Biosciences of California Inc</v>
      </c>
      <c r="C1172">
        <v>-0.234165067178502</v>
      </c>
      <c r="D1172">
        <v>-0.41921397379912601</v>
      </c>
      <c r="E1172">
        <v>-0.28749999999999898</v>
      </c>
      <c r="F1172">
        <v>-2.4449877750610999E-2</v>
      </c>
      <c r="G1172">
        <v>0.30819672131147502</v>
      </c>
      <c r="H1172">
        <v>-0.672816728167281</v>
      </c>
      <c r="I1172">
        <v>0.90909090909090906</v>
      </c>
    </row>
    <row r="1173" spans="1:9" x14ac:dyDescent="0.35">
      <c r="A1173" s="1" t="s">
        <v>1185</v>
      </c>
      <c r="B1173" t="str">
        <f>HYPERLINK("https://www.suredividend.com/sure-analysis-research-database/","Ranpak Holdings Corp")</f>
        <v>Ranpak Holdings Corp</v>
      </c>
      <c r="C1173">
        <v>-0.220070422535211</v>
      </c>
      <c r="D1173">
        <v>-2.8508771929824001E-2</v>
      </c>
      <c r="E1173">
        <v>-3.0634573304157E-2</v>
      </c>
      <c r="F1173">
        <v>-0.23223570190641199</v>
      </c>
      <c r="G1173">
        <v>0.52233676975945009</v>
      </c>
      <c r="H1173">
        <v>-0.85243171219187208</v>
      </c>
      <c r="I1173">
        <v>-0.54423868312757206</v>
      </c>
    </row>
    <row r="1174" spans="1:9" x14ac:dyDescent="0.35">
      <c r="A1174" s="1" t="s">
        <v>1186</v>
      </c>
      <c r="B1174" t="str">
        <f>HYPERLINK("https://www.suredividend.com/sure-analysis-research-database/","Phibro Animal Health Corp.")</f>
        <v>Phibro Animal Health Corp.</v>
      </c>
      <c r="C1174">
        <v>-6.7353407290015002E-2</v>
      </c>
      <c r="D1174">
        <v>-0.17915600220379499</v>
      </c>
      <c r="E1174">
        <v>-0.230261135708166</v>
      </c>
      <c r="F1174">
        <v>-9.252819947417501E-2</v>
      </c>
      <c r="G1174">
        <v>-0.104145894065442</v>
      </c>
      <c r="H1174">
        <v>-0.42165288362791198</v>
      </c>
      <c r="I1174">
        <v>-0.68904881167506704</v>
      </c>
    </row>
    <row r="1175" spans="1:9" x14ac:dyDescent="0.35">
      <c r="A1175" s="1" t="s">
        <v>1187</v>
      </c>
      <c r="B1175" t="str">
        <f>HYPERLINK("https://www.suredividend.com/sure-analysis-research-database/","Par Technology Corp.")</f>
        <v>Par Technology Corp.</v>
      </c>
      <c r="C1175">
        <v>-9.6321393998063012E-2</v>
      </c>
      <c r="D1175">
        <v>0.10017678255745401</v>
      </c>
      <c r="E1175">
        <v>0.118969133952652</v>
      </c>
      <c r="F1175">
        <v>0.43229766014576099</v>
      </c>
      <c r="G1175">
        <v>0.333095323098893</v>
      </c>
      <c r="H1175">
        <v>-0.45520863729209199</v>
      </c>
      <c r="I1175">
        <v>0.70814272644098808</v>
      </c>
    </row>
    <row r="1176" spans="1:9" x14ac:dyDescent="0.35">
      <c r="A1176" s="1" t="s">
        <v>1188</v>
      </c>
      <c r="B1176" t="str">
        <f>HYPERLINK("https://www.suredividend.com/sure-analysis-research-database/","Par Pacific Holdings Inc")</f>
        <v>Par Pacific Holdings Inc</v>
      </c>
      <c r="C1176">
        <v>-6.0738157512351003E-2</v>
      </c>
      <c r="D1176">
        <v>0.203724394785847</v>
      </c>
      <c r="E1176">
        <v>0.26200702850448998</v>
      </c>
      <c r="F1176">
        <v>0.39010752688172001</v>
      </c>
      <c r="G1176">
        <v>0.76322967812329501</v>
      </c>
      <c r="H1176">
        <v>1</v>
      </c>
      <c r="I1176">
        <v>0.73297587131367303</v>
      </c>
    </row>
    <row r="1177" spans="1:9" x14ac:dyDescent="0.35">
      <c r="A1177" s="1" t="s">
        <v>1189</v>
      </c>
      <c r="B1177" t="str">
        <f>HYPERLINK("https://www.suredividend.com/sure-analysis-research-database/","Patrick Industries, Inc.")</f>
        <v>Patrick Industries, Inc.</v>
      </c>
      <c r="C1177">
        <v>-7.2622107969151001E-2</v>
      </c>
      <c r="D1177">
        <v>-0.12633985440208401</v>
      </c>
      <c r="E1177">
        <v>6.5408554278246003E-2</v>
      </c>
      <c r="F1177">
        <v>0.21827051177492601</v>
      </c>
      <c r="G1177">
        <v>0.69398804464709107</v>
      </c>
      <c r="H1177">
        <v>-7.0479910642393007E-2</v>
      </c>
      <c r="I1177">
        <v>0.45297028207560203</v>
      </c>
    </row>
    <row r="1178" spans="1:9" x14ac:dyDescent="0.35">
      <c r="A1178" s="1" t="s">
        <v>1190</v>
      </c>
      <c r="B1178" t="str">
        <f>HYPERLINK("https://www.suredividend.com/sure-analysis-research-database/","Payoneer Global Inc")</f>
        <v>Payoneer Global Inc</v>
      </c>
      <c r="C1178">
        <v>-7.9545454545454003E-2</v>
      </c>
      <c r="D1178">
        <v>0.12948207171314699</v>
      </c>
      <c r="E1178">
        <v>8.8967971530240011E-3</v>
      </c>
      <c r="F1178">
        <v>3.6563071297987998E-2</v>
      </c>
      <c r="G1178">
        <v>-0.240963855421686</v>
      </c>
      <c r="H1178">
        <v>-0.32819905213270101</v>
      </c>
      <c r="I1178">
        <v>-0.46509433962264102</v>
      </c>
    </row>
    <row r="1179" spans="1:9" x14ac:dyDescent="0.35">
      <c r="A1179" s="1" t="s">
        <v>1191</v>
      </c>
      <c r="B1179" t="str">
        <f>HYPERLINK("https://www.suredividend.com/sure-analysis-research-database/","PBF Energy Inc")</f>
        <v>PBF Energy Inc</v>
      </c>
      <c r="C1179">
        <v>-0.13511507052709701</v>
      </c>
      <c r="D1179">
        <v>0.17292014326741301</v>
      </c>
      <c r="E1179">
        <v>0.21787399969683799</v>
      </c>
      <c r="F1179">
        <v>0.159140544547313</v>
      </c>
      <c r="G1179">
        <v>0.190305903508592</v>
      </c>
      <c r="H1179">
        <v>2.0410410018468119</v>
      </c>
      <c r="I1179">
        <v>3.9848976440503003E-2</v>
      </c>
    </row>
    <row r="1180" spans="1:9" x14ac:dyDescent="0.35">
      <c r="A1180" s="1" t="s">
        <v>1192</v>
      </c>
      <c r="B1180" t="str">
        <f>HYPERLINK("https://www.suredividend.com/sure-analysis-research-database/","Pioneer Bancorp Inc")</f>
        <v>Pioneer Bancorp Inc</v>
      </c>
      <c r="C1180">
        <v>-8.4582441113490003E-2</v>
      </c>
      <c r="D1180">
        <v>-5.6291390728476012E-2</v>
      </c>
      <c r="E1180">
        <v>-4.6822742474916003E-2</v>
      </c>
      <c r="F1180">
        <v>-0.25</v>
      </c>
      <c r="G1180">
        <v>-0.131979695431472</v>
      </c>
      <c r="H1180">
        <v>-0.30544272948821999</v>
      </c>
      <c r="I1180">
        <v>-0.42033898305084699</v>
      </c>
    </row>
    <row r="1181" spans="1:9" x14ac:dyDescent="0.35">
      <c r="A1181" s="1" t="s">
        <v>1193</v>
      </c>
      <c r="B1181" t="str">
        <f>HYPERLINK("https://www.suredividend.com/sure-analysis-research-database/","Prestige Consumer Healthcare Inc")</f>
        <v>Prestige Consumer Healthcare Inc</v>
      </c>
      <c r="C1181">
        <v>2.6434001382169999E-2</v>
      </c>
      <c r="D1181">
        <v>6.9491525423720007E-3</v>
      </c>
      <c r="E1181">
        <v>-5.4583068109483997E-2</v>
      </c>
      <c r="F1181">
        <v>-5.0958466453674002E-2</v>
      </c>
      <c r="G1181">
        <v>0.17341497136085299</v>
      </c>
      <c r="H1181">
        <v>1.6946251283805999E-2</v>
      </c>
      <c r="I1181">
        <v>0.53911917098445505</v>
      </c>
    </row>
    <row r="1182" spans="1:9" x14ac:dyDescent="0.35">
      <c r="A1182" s="1" t="s">
        <v>1194</v>
      </c>
      <c r="B1182" t="str">
        <f>HYPERLINK("https://www.suredividend.com/sure-analysis-research-database/","Pitney Bowes, Inc.")</f>
        <v>Pitney Bowes, Inc.</v>
      </c>
      <c r="C1182">
        <v>0.100303951367781</v>
      </c>
      <c r="D1182">
        <v>2.5495750708215002E-2</v>
      </c>
      <c r="E1182">
        <v>-2.39167363227E-2</v>
      </c>
      <c r="F1182">
        <v>-7.1583335618870007E-3</v>
      </c>
      <c r="G1182">
        <v>0.36300312511766197</v>
      </c>
      <c r="H1182">
        <v>-0.43757379901808402</v>
      </c>
      <c r="I1182">
        <v>-0.35139396545545698</v>
      </c>
    </row>
    <row r="1183" spans="1:9" x14ac:dyDescent="0.35">
      <c r="A1183" s="1" t="s">
        <v>1195</v>
      </c>
      <c r="B1183" t="str">
        <f>HYPERLINK("https://www.suredividend.com/sure-analysis-research-database/","PCB Bancorp.")</f>
        <v>PCB Bancorp.</v>
      </c>
      <c r="C1183">
        <v>-4.1457286432160012E-2</v>
      </c>
      <c r="D1183">
        <v>7.4136667612900008E-3</v>
      </c>
      <c r="E1183">
        <v>0.19873370986873601</v>
      </c>
      <c r="F1183">
        <v>-9.9051228915378015E-2</v>
      </c>
      <c r="G1183">
        <v>-0.157911001236094</v>
      </c>
      <c r="H1183">
        <v>-0.19569067296340001</v>
      </c>
      <c r="I1183">
        <v>7.0929800060353002E-2</v>
      </c>
    </row>
    <row r="1184" spans="1:9" x14ac:dyDescent="0.35">
      <c r="A1184" s="1" t="s">
        <v>1196</v>
      </c>
      <c r="B1184" t="str">
        <f>HYPERLINK("https://www.suredividend.com/sure-analysis-research-database/","PotlatchDeltic Corp")</f>
        <v>PotlatchDeltic Corp</v>
      </c>
      <c r="C1184">
        <v>-5.9131893478716002E-2</v>
      </c>
      <c r="D1184">
        <v>-0.14534798451074099</v>
      </c>
      <c r="E1184">
        <v>-5.0842438152453012E-2</v>
      </c>
      <c r="F1184">
        <v>6.0608567599318007E-2</v>
      </c>
      <c r="G1184">
        <v>0.13376221062153501</v>
      </c>
      <c r="H1184">
        <v>-3.2997062569636998E-2</v>
      </c>
      <c r="I1184">
        <v>0.69111439425918009</v>
      </c>
    </row>
    <row r="1185" spans="1:9" x14ac:dyDescent="0.35">
      <c r="A1185" s="1" t="s">
        <v>1197</v>
      </c>
      <c r="B1185" t="str">
        <f>HYPERLINK("https://www.suredividend.com/sure-analysis-research-database/","Pacira BioSciences Inc")</f>
        <v>Pacira BioSciences Inc</v>
      </c>
      <c r="C1185">
        <v>-0.133769322235434</v>
      </c>
      <c r="D1185">
        <v>-0.218557253955484</v>
      </c>
      <c r="E1185">
        <v>-0.31354534746760898</v>
      </c>
      <c r="F1185">
        <v>-0.24527324527324501</v>
      </c>
      <c r="G1185">
        <v>-0.43527131782945699</v>
      </c>
      <c r="H1185">
        <v>-0.45225563909774402</v>
      </c>
      <c r="I1185">
        <v>-0.35701676963812801</v>
      </c>
    </row>
    <row r="1186" spans="1:9" x14ac:dyDescent="0.35">
      <c r="A1186" s="1" t="s">
        <v>1198</v>
      </c>
      <c r="B1186" t="str">
        <f>HYPERLINK("https://www.suredividend.com/sure-analysis-research-database/","PureCycle Technologies Inc")</f>
        <v>PureCycle Technologies Inc</v>
      </c>
      <c r="C1186">
        <v>-0.213592233009708</v>
      </c>
      <c r="D1186">
        <v>-0.52952565343659208</v>
      </c>
      <c r="E1186">
        <v>-0.20327868852459</v>
      </c>
      <c r="F1186">
        <v>-0.281065088757396</v>
      </c>
      <c r="G1186">
        <v>-0.34056987788331</v>
      </c>
      <c r="H1186">
        <v>-0.65111270638908803</v>
      </c>
      <c r="I1186">
        <v>-0.52352941176470502</v>
      </c>
    </row>
    <row r="1187" spans="1:9" x14ac:dyDescent="0.35">
      <c r="A1187" s="1" t="s">
        <v>1199</v>
      </c>
      <c r="B1187" t="str">
        <f>HYPERLINK("https://www.suredividend.com/sure-analysis-research-database/","Vaxcyte Inc")</f>
        <v>Vaxcyte Inc</v>
      </c>
      <c r="C1187">
        <v>-0.110595514307811</v>
      </c>
      <c r="D1187">
        <v>-7.3327961321514007E-2</v>
      </c>
      <c r="E1187">
        <v>0.26027397260273899</v>
      </c>
      <c r="F1187">
        <v>-4.0667361835244997E-2</v>
      </c>
      <c r="G1187">
        <v>0.8729641693811071</v>
      </c>
      <c r="H1187">
        <v>0.88447357640311308</v>
      </c>
      <c r="I1187">
        <v>0.75908221797323105</v>
      </c>
    </row>
    <row r="1188" spans="1:9" x14ac:dyDescent="0.35">
      <c r="A1188" s="1" t="s">
        <v>1200</v>
      </c>
      <c r="B1188" t="str">
        <f>HYPERLINK("https://www.suredividend.com/sure-analysis-research-database/","Pure Cycle Corp.")</f>
        <v>Pure Cycle Corp.</v>
      </c>
      <c r="C1188">
        <v>-2.2022022022022001E-2</v>
      </c>
      <c r="D1188">
        <v>-0.127678571428571</v>
      </c>
      <c r="E1188">
        <v>1.6649323621227001E-2</v>
      </c>
      <c r="F1188">
        <v>-6.7748091603053007E-2</v>
      </c>
      <c r="G1188">
        <v>0.25096030729833502</v>
      </c>
      <c r="H1188">
        <v>-0.35976408912188701</v>
      </c>
      <c r="I1188">
        <v>-4.8685491723466007E-2</v>
      </c>
    </row>
    <row r="1189" spans="1:9" x14ac:dyDescent="0.35">
      <c r="A1189" s="1" t="s">
        <v>1201</v>
      </c>
      <c r="B1189" t="str">
        <f>HYPERLINK("https://www.suredividend.com/sure-analysis-research-database/","Pagerduty Inc")</f>
        <v>Pagerduty Inc</v>
      </c>
      <c r="C1189">
        <v>-0.12828111769686701</v>
      </c>
      <c r="D1189">
        <v>-0.14599751140605499</v>
      </c>
      <c r="E1189">
        <v>-0.38056558363417498</v>
      </c>
      <c r="F1189">
        <v>-0.22477409638554199</v>
      </c>
      <c r="G1189">
        <v>-9.6200096200090013E-3</v>
      </c>
      <c r="H1189">
        <v>-0.50169409486931205</v>
      </c>
      <c r="I1189">
        <v>-0.46169934640522797</v>
      </c>
    </row>
    <row r="1190" spans="1:9" x14ac:dyDescent="0.35">
      <c r="A1190" s="1" t="s">
        <v>1202</v>
      </c>
      <c r="B1190" t="str">
        <f>HYPERLINK("https://www.suredividend.com/sure-analysis-PDCO/","Patterson Companies Inc.")</f>
        <v>Patterson Companies Inc.</v>
      </c>
      <c r="C1190">
        <v>3.8108680310515002E-2</v>
      </c>
      <c r="D1190">
        <v>-6.7754181163691002E-2</v>
      </c>
      <c r="E1190">
        <v>0.13671488625123601</v>
      </c>
      <c r="F1190">
        <v>8.6860148953777E-2</v>
      </c>
      <c r="G1190">
        <v>0.173434589597035</v>
      </c>
      <c r="H1190">
        <v>-1.0972756367156999E-2</v>
      </c>
      <c r="I1190">
        <v>0.54413810116151506</v>
      </c>
    </row>
    <row r="1191" spans="1:9" x14ac:dyDescent="0.35">
      <c r="A1191" s="1" t="s">
        <v>1203</v>
      </c>
      <c r="B1191" t="str">
        <f>HYPERLINK("https://www.suredividend.com/sure-analysis-research-database/","PDF Solutions Inc.")</f>
        <v>PDF Solutions Inc.</v>
      </c>
      <c r="C1191">
        <v>-4.6100410483107E-2</v>
      </c>
      <c r="D1191">
        <v>-0.33589799956034211</v>
      </c>
      <c r="E1191">
        <v>-0.26816860465116199</v>
      </c>
      <c r="F1191">
        <v>5.9256661991583998E-2</v>
      </c>
      <c r="G1191">
        <v>0.40904850746268601</v>
      </c>
      <c r="H1191">
        <v>0.31633986928104502</v>
      </c>
      <c r="I1191">
        <v>2.7113022113022112</v>
      </c>
    </row>
    <row r="1192" spans="1:9" x14ac:dyDescent="0.35">
      <c r="A1192" s="1" t="s">
        <v>1204</v>
      </c>
      <c r="B1192" t="str">
        <f>HYPERLINK("https://www.suredividend.com/sure-analysis-research-database/","PDL Biopharma Inc")</f>
        <v>PDL Biopharma Inc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5">
      <c r="A1193" s="1" t="s">
        <v>1205</v>
      </c>
      <c r="B1193" t="str">
        <f>HYPERLINK("https://www.suredividend.com/sure-analysis-PDM/","Piedmont Office Realty Trust Inc")</f>
        <v>Piedmont Office Realty Trust Inc</v>
      </c>
      <c r="C1193">
        <v>-0.195892575039494</v>
      </c>
      <c r="D1193">
        <v>-0.33564790644251802</v>
      </c>
      <c r="E1193">
        <v>-0.16348935051275301</v>
      </c>
      <c r="F1193">
        <v>-0.40229453140595811</v>
      </c>
      <c r="G1193">
        <v>-0.43597358273126202</v>
      </c>
      <c r="H1193">
        <v>-0.67960016114412303</v>
      </c>
      <c r="I1193">
        <v>-0.62316952189170305</v>
      </c>
    </row>
    <row r="1194" spans="1:9" x14ac:dyDescent="0.35">
      <c r="A1194" s="1" t="s">
        <v>1206</v>
      </c>
      <c r="B1194" t="str">
        <f>HYPERLINK("https://www.suredividend.com/sure-analysis-research-database/","Pebblebrook Hotel Trust")</f>
        <v>Pebblebrook Hotel Trust</v>
      </c>
      <c r="C1194">
        <v>-0.10946322879107399</v>
      </c>
      <c r="D1194">
        <v>-5.6889247528747001E-2</v>
      </c>
      <c r="E1194">
        <v>-7.7454366058214E-2</v>
      </c>
      <c r="F1194">
        <v>-2.0224248139998E-2</v>
      </c>
      <c r="G1194">
        <v>-0.100739193756698</v>
      </c>
      <c r="H1194">
        <v>-0.41964859700380802</v>
      </c>
      <c r="I1194">
        <v>-0.55519611807521208</v>
      </c>
    </row>
    <row r="1195" spans="1:9" x14ac:dyDescent="0.35">
      <c r="A1195" s="1" t="s">
        <v>1207</v>
      </c>
      <c r="B1195" t="str">
        <f>HYPERLINK("https://www.suredividend.com/sure-analysis-research-database/","Peoples Bancorp, Inc. (Marietta, OH)")</f>
        <v>Peoples Bancorp, Inc. (Marietta, OH)</v>
      </c>
      <c r="C1195">
        <v>-5.0019238168520002E-3</v>
      </c>
      <c r="D1195">
        <v>-1.7111234426192001E-2</v>
      </c>
      <c r="E1195">
        <v>0.106480570269645</v>
      </c>
      <c r="F1195">
        <v>-1.5460993447828E-2</v>
      </c>
      <c r="G1195">
        <v>-7.5322260561743001E-2</v>
      </c>
      <c r="H1195">
        <v>-8.7151283671445007E-2</v>
      </c>
      <c r="I1195">
        <v>2.3392391437695999E-2</v>
      </c>
    </row>
    <row r="1196" spans="1:9" x14ac:dyDescent="0.35">
      <c r="A1196" s="1" t="s">
        <v>1208</v>
      </c>
      <c r="B1196" t="str">
        <f>HYPERLINK("https://www.suredividend.com/sure-analysis-PECO/","Phillips Edison &amp; Company Inc")</f>
        <v>Phillips Edison &amp; Company Inc</v>
      </c>
      <c r="C1196">
        <v>-2.6030660303170999E-2</v>
      </c>
      <c r="D1196">
        <v>3.0322830453511002E-2</v>
      </c>
      <c r="E1196">
        <v>0.12525108362406101</v>
      </c>
      <c r="F1196">
        <v>0.109919868087033</v>
      </c>
      <c r="G1196">
        <v>0.25777802396646898</v>
      </c>
      <c r="H1196">
        <v>0.16936176056579799</v>
      </c>
      <c r="I1196">
        <v>0.323849502487562</v>
      </c>
    </row>
    <row r="1197" spans="1:9" x14ac:dyDescent="0.35">
      <c r="A1197" s="1" t="s">
        <v>1209</v>
      </c>
      <c r="B1197" t="str">
        <f>HYPERLINK("https://www.suredividend.com/sure-analysis-research-database/","PepGen Inc")</f>
        <v>PepGen Inc</v>
      </c>
      <c r="C1197">
        <v>-2.7538726333906E-2</v>
      </c>
      <c r="D1197">
        <v>-0.29900744416873398</v>
      </c>
      <c r="E1197">
        <v>-0.39050701186623499</v>
      </c>
      <c r="F1197">
        <v>-0.57741211667913206</v>
      </c>
      <c r="G1197">
        <v>-0.48636363636363611</v>
      </c>
      <c r="H1197">
        <v>-0.56167571761055002</v>
      </c>
      <c r="I1197">
        <v>-0.56167571761055002</v>
      </c>
    </row>
    <row r="1198" spans="1:9" x14ac:dyDescent="0.35">
      <c r="A1198" s="1" t="s">
        <v>1210</v>
      </c>
      <c r="B1198" t="str">
        <f>HYPERLINK("https://www.suredividend.com/sure-analysis-research-database/","PetIQ Inc")</f>
        <v>PetIQ Inc</v>
      </c>
      <c r="C1198">
        <v>7.2660742289597E-2</v>
      </c>
      <c r="D1198">
        <v>0.30368487928843702</v>
      </c>
      <c r="E1198">
        <v>0.75534644995722811</v>
      </c>
      <c r="F1198">
        <v>1.225596529284164</v>
      </c>
      <c r="G1198">
        <v>1.8942172073342729</v>
      </c>
      <c r="H1198">
        <v>-0.192125984251968</v>
      </c>
      <c r="I1198">
        <v>-0.39947322212467001</v>
      </c>
    </row>
    <row r="1199" spans="1:9" x14ac:dyDescent="0.35">
      <c r="A1199" s="1" t="s">
        <v>1211</v>
      </c>
      <c r="B1199" t="str">
        <f>HYPERLINK("https://www.suredividend.com/sure-analysis-PETS/","Petmed Express, Inc.")</f>
        <v>Petmed Express, Inc.</v>
      </c>
      <c r="C1199">
        <v>-0.17235494880546001</v>
      </c>
      <c r="D1199">
        <v>-0.26977076824632001</v>
      </c>
      <c r="E1199">
        <v>-0.36784755350486098</v>
      </c>
      <c r="F1199">
        <v>-0.43045704354361403</v>
      </c>
      <c r="G1199">
        <v>-0.50066149482386701</v>
      </c>
      <c r="H1199">
        <v>-0.60781776868525905</v>
      </c>
      <c r="I1199">
        <v>-0.56494438464298502</v>
      </c>
    </row>
    <row r="1200" spans="1:9" x14ac:dyDescent="0.35">
      <c r="A1200" s="1" t="s">
        <v>1212</v>
      </c>
      <c r="B1200" t="str">
        <f>HYPERLINK("https://www.suredividend.com/sure-analysis-research-database/","Preferred Bank (Los Angeles, CA)")</f>
        <v>Preferred Bank (Los Angeles, CA)</v>
      </c>
      <c r="C1200">
        <v>1.9707814491615998E-2</v>
      </c>
      <c r="D1200">
        <v>9.5496001615154008E-2</v>
      </c>
      <c r="E1200">
        <v>0.28995714613519302</v>
      </c>
      <c r="F1200">
        <v>-0.106570145697791</v>
      </c>
      <c r="G1200">
        <v>-2.6037878385844999E-2</v>
      </c>
      <c r="H1200">
        <v>2.907467321128E-3</v>
      </c>
      <c r="I1200">
        <v>0.26624661370346597</v>
      </c>
    </row>
    <row r="1201" spans="1:9" x14ac:dyDescent="0.35">
      <c r="A1201" s="1" t="s">
        <v>1213</v>
      </c>
      <c r="B1201" t="str">
        <f>HYPERLINK("https://www.suredividend.com/sure-analysis-research-database/","Premier Financial Corp")</f>
        <v>Premier Financial Corp</v>
      </c>
      <c r="C1201">
        <v>-6.9483046136741999E-2</v>
      </c>
      <c r="D1201">
        <v>-8.505295079248E-3</v>
      </c>
      <c r="E1201">
        <v>-7.1016720589133012E-2</v>
      </c>
      <c r="F1201">
        <v>-0.32551945880390498</v>
      </c>
      <c r="G1201">
        <v>-0.32363089802745798</v>
      </c>
      <c r="H1201">
        <v>-0.38944105042399901</v>
      </c>
      <c r="I1201">
        <v>-0.35354065858528111</v>
      </c>
    </row>
    <row r="1202" spans="1:9" x14ac:dyDescent="0.35">
      <c r="A1202" s="1" t="s">
        <v>1214</v>
      </c>
      <c r="B1202" t="str">
        <f>HYPERLINK("https://www.suredividend.com/sure-analysis-research-database/","Peoples Financial Services Corp")</f>
        <v>Peoples Financial Services Corp</v>
      </c>
      <c r="C1202">
        <v>-8.5443037974683E-2</v>
      </c>
      <c r="D1202">
        <v>-6.7591547023713006E-2</v>
      </c>
      <c r="E1202">
        <v>1.8271505511651999E-2</v>
      </c>
      <c r="F1202">
        <v>-0.180868853985722</v>
      </c>
      <c r="G1202">
        <v>-0.136477528353672</v>
      </c>
      <c r="H1202">
        <v>-3.5187287173666003E-2</v>
      </c>
      <c r="I1202">
        <v>0.150471164290467</v>
      </c>
    </row>
    <row r="1203" spans="1:9" x14ac:dyDescent="0.35">
      <c r="A1203" s="1" t="s">
        <v>1215</v>
      </c>
      <c r="B1203" t="str">
        <f>HYPERLINK("https://www.suredividend.com/sure-analysis-research-database/","Provident Financial Services Inc")</f>
        <v>Provident Financial Services Inc</v>
      </c>
      <c r="C1203">
        <v>-0.10043668122270701</v>
      </c>
      <c r="D1203">
        <v>-0.14188630291056401</v>
      </c>
      <c r="E1203">
        <v>-0.17653172522885199</v>
      </c>
      <c r="F1203">
        <v>-0.29797913410935301</v>
      </c>
      <c r="G1203">
        <v>-0.25391281852282999</v>
      </c>
      <c r="H1203">
        <v>-0.36090342195886199</v>
      </c>
      <c r="I1203">
        <v>-0.221714279545982</v>
      </c>
    </row>
    <row r="1204" spans="1:9" x14ac:dyDescent="0.35">
      <c r="A1204" s="1" t="s">
        <v>1216</v>
      </c>
      <c r="B1204" t="str">
        <f>HYPERLINK("https://www.suredividend.com/sure-analysis-research-database/","PennyMac Financial Services Inc.")</f>
        <v>PennyMac Financial Services Inc.</v>
      </c>
      <c r="C1204">
        <v>-3.0276564774380999E-2</v>
      </c>
      <c r="D1204">
        <v>-9.4104609024958014E-2</v>
      </c>
      <c r="E1204">
        <v>5.9362124703237013E-2</v>
      </c>
      <c r="F1204">
        <v>0.18656626033926299</v>
      </c>
      <c r="G1204">
        <v>0.53215642622558701</v>
      </c>
      <c r="H1204">
        <v>3.5866609239456997E-2</v>
      </c>
      <c r="I1204">
        <v>2.411284582652732</v>
      </c>
    </row>
    <row r="1205" spans="1:9" x14ac:dyDescent="0.35">
      <c r="A1205" s="1" t="s">
        <v>1217</v>
      </c>
      <c r="B1205" t="str">
        <f>HYPERLINK("https://www.suredividend.com/sure-analysis-research-database/","PFSWEB Inc")</f>
        <v>PFSWEB Inc</v>
      </c>
      <c r="C1205">
        <v>5.3763440860210001E-3</v>
      </c>
      <c r="D1205">
        <v>0.67901234567901203</v>
      </c>
      <c r="E1205">
        <v>0.75175644028103006</v>
      </c>
      <c r="F1205">
        <v>0.216260162601626</v>
      </c>
      <c r="G1205">
        <v>0.45701040165179801</v>
      </c>
      <c r="H1205">
        <v>3.0544342339114999E-2</v>
      </c>
      <c r="I1205">
        <v>0.87478069076144105</v>
      </c>
    </row>
    <row r="1206" spans="1:9" x14ac:dyDescent="0.35">
      <c r="A1206" s="1" t="s">
        <v>1218</v>
      </c>
      <c r="B1206" t="str">
        <f>HYPERLINK("https://www.suredividend.com/sure-analysis-research-database/","Peapack-Gladstone Financial Corp.")</f>
        <v>Peapack-Gladstone Financial Corp.</v>
      </c>
      <c r="C1206">
        <v>-5.2950075642965007E-2</v>
      </c>
      <c r="D1206">
        <v>-9.6762557489404002E-2</v>
      </c>
      <c r="E1206">
        <v>-8.7114238320056006E-2</v>
      </c>
      <c r="F1206">
        <v>-0.32243382635472601</v>
      </c>
      <c r="G1206">
        <v>-0.30053325958763799</v>
      </c>
      <c r="H1206">
        <v>-0.23705290355605199</v>
      </c>
      <c r="I1206">
        <v>-0.12780268277305801</v>
      </c>
    </row>
    <row r="1207" spans="1:9" x14ac:dyDescent="0.35">
      <c r="A1207" s="1" t="s">
        <v>1219</v>
      </c>
      <c r="B1207" t="str">
        <f>HYPERLINK("https://www.suredividend.com/sure-analysis-research-database/","Precigen Inc")</f>
        <v>Precigen Inc</v>
      </c>
      <c r="C1207">
        <v>-0.194630872483221</v>
      </c>
      <c r="D1207">
        <v>1.6949152542372E-2</v>
      </c>
      <c r="E1207">
        <v>0.14285714285714199</v>
      </c>
      <c r="F1207">
        <v>-0.21052631578947301</v>
      </c>
      <c r="G1207">
        <v>-0.30232558139534799</v>
      </c>
      <c r="H1207">
        <v>-0.74193548387096708</v>
      </c>
      <c r="I1207">
        <v>-0.91678224687933407</v>
      </c>
    </row>
    <row r="1208" spans="1:9" x14ac:dyDescent="0.35">
      <c r="A1208" s="1" t="s">
        <v>1220</v>
      </c>
      <c r="B1208" t="str">
        <f>HYPERLINK("https://www.suredividend.com/sure-analysis-research-database/","Progyny Inc")</f>
        <v>Progyny Inc</v>
      </c>
      <c r="C1208">
        <v>-3.2154340836011999E-2</v>
      </c>
      <c r="D1208">
        <v>-0.14664948453608201</v>
      </c>
      <c r="E1208">
        <v>2.2229083050323999E-2</v>
      </c>
      <c r="F1208">
        <v>6.292134831460601E-2</v>
      </c>
      <c r="G1208">
        <v>-0.105618584548892</v>
      </c>
      <c r="H1208">
        <v>-0.40864440078585401</v>
      </c>
      <c r="I1208">
        <v>1.0771643663739019</v>
      </c>
    </row>
    <row r="1209" spans="1:9" x14ac:dyDescent="0.35">
      <c r="A1209" s="1" t="s">
        <v>1221</v>
      </c>
      <c r="B1209" t="str">
        <f>HYPERLINK("https://www.suredividend.com/sure-analysis-PGRE/","Paramount Group Inc")</f>
        <v>Paramount Group Inc</v>
      </c>
      <c r="C1209">
        <v>-0.16401045941251699</v>
      </c>
      <c r="D1209">
        <v>-0.14124382401380201</v>
      </c>
      <c r="E1209">
        <v>2.7252685398000999E-2</v>
      </c>
      <c r="F1209">
        <v>-0.23792953458025201</v>
      </c>
      <c r="G1209">
        <v>-0.28529469355786102</v>
      </c>
      <c r="H1209">
        <v>-0.48921878462058699</v>
      </c>
      <c r="I1209">
        <v>-0.62850187869483709</v>
      </c>
    </row>
    <row r="1210" spans="1:9" x14ac:dyDescent="0.35">
      <c r="A1210" s="1" t="s">
        <v>1222</v>
      </c>
      <c r="B1210" t="str">
        <f>HYPERLINK("https://www.suredividend.com/sure-analysis-research-database/","PGT Innovations Inc")</f>
        <v>PGT Innovations Inc</v>
      </c>
      <c r="C1210">
        <v>0.15760059612518601</v>
      </c>
      <c r="D1210">
        <v>9.0558090558090013E-2</v>
      </c>
      <c r="E1210">
        <v>0.20894941634241199</v>
      </c>
      <c r="F1210">
        <v>0.72995545657015504</v>
      </c>
      <c r="G1210">
        <v>0.42001828153564902</v>
      </c>
      <c r="H1210">
        <v>0.53432098765432001</v>
      </c>
      <c r="I1210">
        <v>0.45390734674777711</v>
      </c>
    </row>
    <row r="1211" spans="1:9" x14ac:dyDescent="0.35">
      <c r="A1211" s="1" t="s">
        <v>1223</v>
      </c>
      <c r="B1211" t="str">
        <f>HYPERLINK("https://www.suredividend.com/sure-analysis-research-database/","Phathom Pharmaceuticals Inc")</f>
        <v>Phathom Pharmaceuticals Inc</v>
      </c>
      <c r="C1211">
        <v>-0.22977099236641199</v>
      </c>
      <c r="D1211">
        <v>-0.28236130867709802</v>
      </c>
      <c r="E1211">
        <v>1.1022044088175999E-2</v>
      </c>
      <c r="F1211">
        <v>-0.10071301247771799</v>
      </c>
      <c r="G1211">
        <v>3.5934291581108002E-2</v>
      </c>
      <c r="H1211">
        <v>-0.68963395878191303</v>
      </c>
      <c r="I1211">
        <v>-0.58983739837398308</v>
      </c>
    </row>
    <row r="1212" spans="1:9" x14ac:dyDescent="0.35">
      <c r="A1212" s="1" t="s">
        <v>1224</v>
      </c>
      <c r="B1212" t="str">
        <f>HYPERLINK("https://www.suredividend.com/sure-analysis-research-database/","Phreesia Inc")</f>
        <v>Phreesia Inc</v>
      </c>
      <c r="C1212">
        <v>-0.17234468937875699</v>
      </c>
      <c r="D1212">
        <v>-0.51008303677342803</v>
      </c>
      <c r="E1212">
        <v>-0.47787610619469012</v>
      </c>
      <c r="F1212">
        <v>-0.48949320148331199</v>
      </c>
      <c r="G1212">
        <v>-0.26512455516014199</v>
      </c>
      <c r="H1212">
        <v>-0.74049638705623611</v>
      </c>
      <c r="I1212">
        <v>-0.341307814992025</v>
      </c>
    </row>
    <row r="1213" spans="1:9" x14ac:dyDescent="0.35">
      <c r="A1213" s="1" t="s">
        <v>1225</v>
      </c>
      <c r="B1213" t="str">
        <f>HYPERLINK("https://www.suredividend.com/sure-analysis-research-database/","Impinj Inc")</f>
        <v>Impinj Inc</v>
      </c>
      <c r="C1213">
        <v>-0.17555938037865701</v>
      </c>
      <c r="D1213">
        <v>-0.39086705202312111</v>
      </c>
      <c r="E1213">
        <v>-0.61668849119743907</v>
      </c>
      <c r="F1213">
        <v>-0.51740245466202606</v>
      </c>
      <c r="G1213">
        <v>-0.305431057210651</v>
      </c>
      <c r="H1213">
        <v>1.901502186727E-3</v>
      </c>
      <c r="I1213">
        <v>1.5841098577734181</v>
      </c>
    </row>
    <row r="1214" spans="1:9" x14ac:dyDescent="0.35">
      <c r="A1214" s="1" t="s">
        <v>1226</v>
      </c>
      <c r="B1214" t="str">
        <f>HYPERLINK("https://www.suredividend.com/sure-analysis-research-database/","P3 Health Partners Inc")</f>
        <v>P3 Health Partners Inc</v>
      </c>
      <c r="C1214">
        <v>-0.231884057971014</v>
      </c>
      <c r="D1214">
        <v>-0.38846153846153803</v>
      </c>
      <c r="E1214">
        <v>0.292682926829268</v>
      </c>
      <c r="F1214">
        <v>-0.13586956521739099</v>
      </c>
      <c r="G1214">
        <v>-0.6631355932203381</v>
      </c>
      <c r="H1214">
        <v>-0.83987915407854907</v>
      </c>
      <c r="I1214">
        <v>-0.83575567882487811</v>
      </c>
    </row>
    <row r="1215" spans="1:9" x14ac:dyDescent="0.35">
      <c r="A1215" s="1" t="s">
        <v>1227</v>
      </c>
      <c r="B1215" t="str">
        <f>HYPERLINK("https://www.suredividend.com/sure-analysis-research-database/","Piper Sandler Co`s")</f>
        <v>Piper Sandler Co`s</v>
      </c>
      <c r="C1215">
        <v>-8.2899848554684005E-2</v>
      </c>
      <c r="D1215">
        <v>1.055104029807E-3</v>
      </c>
      <c r="E1215">
        <v>2.3445634594342998E-2</v>
      </c>
      <c r="F1215">
        <v>8.3929852741810002E-2</v>
      </c>
      <c r="G1215">
        <v>0.33627682651523211</v>
      </c>
      <c r="H1215">
        <v>-5.0827867824644997E-2</v>
      </c>
      <c r="I1215">
        <v>1.027023093626112</v>
      </c>
    </row>
    <row r="1216" spans="1:9" x14ac:dyDescent="0.35">
      <c r="A1216" s="1" t="s">
        <v>1228</v>
      </c>
      <c r="B1216" t="str">
        <f>HYPERLINK("https://www.suredividend.com/sure-analysis-research-database/","PJT Partners Inc")</f>
        <v>PJT Partners Inc</v>
      </c>
      <c r="C1216">
        <v>-2.8919904438576002E-2</v>
      </c>
      <c r="D1216">
        <v>1.7375610912779001E-2</v>
      </c>
      <c r="E1216">
        <v>5.8965003283983998E-2</v>
      </c>
      <c r="F1216">
        <v>5.8667419691789013E-2</v>
      </c>
      <c r="G1216">
        <v>0.11927211805183099</v>
      </c>
      <c r="H1216">
        <v>-6.1277673650866997E-2</v>
      </c>
      <c r="I1216">
        <v>0.78718953280371007</v>
      </c>
    </row>
    <row r="1217" spans="1:9" x14ac:dyDescent="0.35">
      <c r="A1217" s="1" t="s">
        <v>1229</v>
      </c>
      <c r="B1217" t="str">
        <f>HYPERLINK("https://www.suredividend.com/sure-analysis-research-database/","Parke Bancorp Inc")</f>
        <v>Parke Bancorp Inc</v>
      </c>
      <c r="C1217">
        <v>-2.0268238407409E-2</v>
      </c>
      <c r="D1217">
        <v>-2.4854536312046E-2</v>
      </c>
      <c r="E1217">
        <v>-7.7902776847220004E-3</v>
      </c>
      <c r="F1217">
        <v>-0.15513995425619601</v>
      </c>
      <c r="G1217">
        <v>-0.18802524149893801</v>
      </c>
      <c r="H1217">
        <v>-0.20619837731160001</v>
      </c>
      <c r="I1217">
        <v>1.8755354875829001E-2</v>
      </c>
    </row>
    <row r="1218" spans="1:9" x14ac:dyDescent="0.35">
      <c r="A1218" s="1" t="s">
        <v>1230</v>
      </c>
      <c r="B1218" t="str">
        <f>HYPERLINK("https://www.suredividend.com/sure-analysis-research-database/","Park Aerospace Corp")</f>
        <v>Park Aerospace Corp</v>
      </c>
      <c r="C1218">
        <v>-4.4507538926269997E-2</v>
      </c>
      <c r="D1218">
        <v>3.8291397819164998E-2</v>
      </c>
      <c r="E1218">
        <v>0.13831183875202699</v>
      </c>
      <c r="F1218">
        <v>0.218493994329125</v>
      </c>
      <c r="G1218">
        <v>0.54150238964244202</v>
      </c>
      <c r="H1218">
        <v>0.248708086952101</v>
      </c>
      <c r="I1218">
        <v>0.30122353855117501</v>
      </c>
    </row>
    <row r="1219" spans="1:9" x14ac:dyDescent="0.35">
      <c r="A1219" s="1" t="s">
        <v>1231</v>
      </c>
      <c r="B1219" t="str">
        <f>HYPERLINK("https://www.suredividend.com/sure-analysis-research-database/","Planet Labs PBC")</f>
        <v>Planet Labs PBC</v>
      </c>
      <c r="C1219">
        <v>-0.221428571428571</v>
      </c>
      <c r="D1219">
        <v>-0.33536585365853611</v>
      </c>
      <c r="E1219">
        <v>-0.48826291079812212</v>
      </c>
      <c r="F1219">
        <v>-0.49885057471264299</v>
      </c>
      <c r="G1219">
        <v>-0.55510204081632608</v>
      </c>
      <c r="H1219">
        <v>-0.78090452261306509</v>
      </c>
      <c r="I1219">
        <v>-0.77979797979797905</v>
      </c>
    </row>
    <row r="1220" spans="1:9" x14ac:dyDescent="0.35">
      <c r="A1220" s="1" t="s">
        <v>1232</v>
      </c>
      <c r="B1220" t="str">
        <f>HYPERLINK("https://www.suredividend.com/sure-analysis-research-database/","Photronics, Inc.")</f>
        <v>Photronics, Inc.</v>
      </c>
      <c r="C1220">
        <v>4.1602465331278003E-2</v>
      </c>
      <c r="D1220">
        <v>-0.21547388781431301</v>
      </c>
      <c r="E1220">
        <v>0.29584664536741201</v>
      </c>
      <c r="F1220">
        <v>0.20499108734402799</v>
      </c>
      <c r="G1220">
        <v>0.39381443298968999</v>
      </c>
      <c r="H1220">
        <v>0.53869499241274599</v>
      </c>
      <c r="I1220">
        <v>1.0715015321756891</v>
      </c>
    </row>
    <row r="1221" spans="1:9" x14ac:dyDescent="0.35">
      <c r="A1221" s="1" t="s">
        <v>1233</v>
      </c>
      <c r="B1221" t="str">
        <f>HYPERLINK("https://www.suredividend.com/sure-analysis-research-database/","Dave &amp; Buster`s Entertainment Inc")</f>
        <v>Dave &amp; Buster`s Entertainment Inc</v>
      </c>
      <c r="C1221">
        <v>-8.969100355482601E-2</v>
      </c>
      <c r="D1221">
        <v>-0.26819081116728899</v>
      </c>
      <c r="E1221">
        <v>-5.3723706651505998E-2</v>
      </c>
      <c r="F1221">
        <v>-6.0665914221217997E-2</v>
      </c>
      <c r="G1221">
        <v>-3.591739000299E-3</v>
      </c>
      <c r="H1221">
        <v>-0.10099918984606999</v>
      </c>
      <c r="I1221">
        <v>-0.44360226169245798</v>
      </c>
    </row>
    <row r="1222" spans="1:9" x14ac:dyDescent="0.35">
      <c r="A1222" s="1" t="s">
        <v>1234</v>
      </c>
      <c r="B1222" t="str">
        <f>HYPERLINK("https://www.suredividend.com/sure-analysis-research-database/","PLBY Group Inc")</f>
        <v>PLBY Group Inc</v>
      </c>
      <c r="C1222">
        <v>-0.43925233644859801</v>
      </c>
      <c r="D1222">
        <v>-0.63855421686746905</v>
      </c>
      <c r="E1222">
        <v>-0.64497041420118306</v>
      </c>
      <c r="F1222">
        <v>-0.78181818181818108</v>
      </c>
      <c r="G1222">
        <v>-0.83098591549295708</v>
      </c>
      <c r="H1222">
        <v>-0.97356828193832612</v>
      </c>
      <c r="I1222">
        <v>-0.93927125506072806</v>
      </c>
    </row>
    <row r="1223" spans="1:9" x14ac:dyDescent="0.35">
      <c r="A1223" s="1" t="s">
        <v>1235</v>
      </c>
      <c r="B1223" t="str">
        <f>HYPERLINK("https://www.suredividend.com/sure-analysis-research-database/","Childrens Place Inc")</f>
        <v>Childrens Place Inc</v>
      </c>
      <c r="C1223">
        <v>-3.0674846625766E-2</v>
      </c>
      <c r="D1223">
        <v>-0.12546125461254601</v>
      </c>
      <c r="E1223">
        <v>-0.238676517828461</v>
      </c>
      <c r="F1223">
        <v>-0.34925864909390397</v>
      </c>
      <c r="G1223">
        <v>-0.38696326952922899</v>
      </c>
      <c r="H1223">
        <v>-0.70855878012788909</v>
      </c>
      <c r="I1223">
        <v>-0.82039916853150907</v>
      </c>
    </row>
    <row r="1224" spans="1:9" x14ac:dyDescent="0.35">
      <c r="A1224" s="1" t="s">
        <v>1236</v>
      </c>
      <c r="B1224" t="str">
        <f>HYPERLINK("https://www.suredividend.com/sure-analysis-research-database/","Piedmont Lithium Inc")</f>
        <v>Piedmont Lithium Inc</v>
      </c>
      <c r="C1224">
        <v>-0.28006121556624403</v>
      </c>
      <c r="D1224">
        <v>-0.43680519924747702</v>
      </c>
      <c r="E1224">
        <v>-0.41379617267467711</v>
      </c>
      <c r="F1224">
        <v>-0.25193094048159898</v>
      </c>
      <c r="G1224">
        <v>-0.32782200449071203</v>
      </c>
      <c r="H1224">
        <v>-0.45927750410509011</v>
      </c>
      <c r="I1224">
        <v>-0.49694469905285599</v>
      </c>
    </row>
    <row r="1225" spans="1:9" x14ac:dyDescent="0.35">
      <c r="A1225" s="1" t="s">
        <v>1237</v>
      </c>
      <c r="B1225" t="str">
        <f>HYPERLINK("https://www.suredividend.com/sure-analysis-research-database/","Polymet Mining Corp")</f>
        <v>Polymet Mining Corp</v>
      </c>
      <c r="C1225">
        <v>1.4492753623188E-2</v>
      </c>
      <c r="D1225">
        <v>2.4390243902439001E-2</v>
      </c>
      <c r="E1225">
        <v>3.4482758620689002E-2</v>
      </c>
      <c r="F1225">
        <v>-0.20754716981131999</v>
      </c>
      <c r="G1225">
        <v>-0.22794117647058801</v>
      </c>
      <c r="H1225">
        <v>-0.38053097345132703</v>
      </c>
      <c r="I1225">
        <v>-0.75865120502005401</v>
      </c>
    </row>
    <row r="1226" spans="1:9" x14ac:dyDescent="0.35">
      <c r="A1226" s="1" t="s">
        <v>1238</v>
      </c>
      <c r="B1226" t="str">
        <f>HYPERLINK("https://www.suredividend.com/sure-analysis-research-database/","Palomar Holdings Inc")</f>
        <v>Palomar Holdings Inc</v>
      </c>
      <c r="C1226">
        <v>-1.7915623193989001E-2</v>
      </c>
      <c r="D1226">
        <v>-9.3043942359010007E-2</v>
      </c>
      <c r="E1226">
        <v>-5.5050973123262001E-2</v>
      </c>
      <c r="F1226">
        <v>0.128875110717449</v>
      </c>
      <c r="G1226">
        <v>-0.44946004319654398</v>
      </c>
      <c r="H1226">
        <v>-0.376238835189037</v>
      </c>
      <c r="I1226">
        <v>1.684570826750921</v>
      </c>
    </row>
    <row r="1227" spans="1:9" x14ac:dyDescent="0.35">
      <c r="A1227" s="1" t="s">
        <v>1239</v>
      </c>
      <c r="B1227" t="str">
        <f>HYPERLINK("https://www.suredividend.com/sure-analysis-research-database/","Douglas Dynamics Inc")</f>
        <v>Douglas Dynamics Inc</v>
      </c>
      <c r="C1227">
        <v>-4.7673845142190002E-3</v>
      </c>
      <c r="D1227">
        <v>3.5002718292570012E-2</v>
      </c>
      <c r="E1227">
        <v>3.8756923330336E-2</v>
      </c>
      <c r="F1227">
        <v>-0.13857624610481001</v>
      </c>
      <c r="G1227">
        <v>5.3210255839279998E-2</v>
      </c>
      <c r="H1227">
        <v>-0.151211633475966</v>
      </c>
      <c r="I1227">
        <v>-0.15492721821135999</v>
      </c>
    </row>
    <row r="1228" spans="1:9" x14ac:dyDescent="0.35">
      <c r="A1228" s="1" t="s">
        <v>1240</v>
      </c>
      <c r="B1228" t="str">
        <f>HYPERLINK("https://www.suredividend.com/sure-analysis-research-database/","Preformed Line Products Co.")</f>
        <v>Preformed Line Products Co.</v>
      </c>
      <c r="C1228">
        <v>-0.14099307207909101</v>
      </c>
      <c r="D1228">
        <v>-0.14824067025715901</v>
      </c>
      <c r="E1228">
        <v>0.14655268489765599</v>
      </c>
      <c r="F1228">
        <v>0.73250802950836702</v>
      </c>
      <c r="G1228">
        <v>0.97970456716459209</v>
      </c>
      <c r="H1228">
        <v>1.205483170466884</v>
      </c>
      <c r="I1228">
        <v>1.1371449238324529</v>
      </c>
    </row>
    <row r="1229" spans="1:9" x14ac:dyDescent="0.35">
      <c r="A1229" s="1" t="s">
        <v>1241</v>
      </c>
      <c r="B1229" t="str">
        <f>HYPERLINK("https://www.suredividend.com/sure-analysis-research-database/","ePlus Inc")</f>
        <v>ePlus Inc</v>
      </c>
      <c r="C1229">
        <v>7.6048671149535008E-2</v>
      </c>
      <c r="D1229">
        <v>0.15144766146993299</v>
      </c>
      <c r="E1229">
        <v>0.32642589303335301</v>
      </c>
      <c r="F1229">
        <v>0.51784101174344999</v>
      </c>
      <c r="G1229">
        <v>0.58215630885122405</v>
      </c>
      <c r="H1229">
        <v>0.229938695214566</v>
      </c>
      <c r="I1229">
        <v>0.57769953051643108</v>
      </c>
    </row>
    <row r="1230" spans="1:9" x14ac:dyDescent="0.35">
      <c r="A1230" s="1" t="s">
        <v>1242</v>
      </c>
      <c r="B1230" t="str">
        <f>HYPERLINK("https://www.suredividend.com/sure-analysis-research-database/","Plexus Corp.")</f>
        <v>Plexus Corp.</v>
      </c>
      <c r="C1230">
        <v>4.1092847623278E-2</v>
      </c>
      <c r="D1230">
        <v>-6.4564414729068001E-2</v>
      </c>
      <c r="E1230">
        <v>-2.7996681874740002E-2</v>
      </c>
      <c r="F1230">
        <v>-8.9283979403478E-2</v>
      </c>
      <c r="G1230">
        <v>6.0407239819003998E-2</v>
      </c>
      <c r="H1230">
        <v>2.8886273670690001E-3</v>
      </c>
      <c r="I1230">
        <v>0.75018670649738606</v>
      </c>
    </row>
    <row r="1231" spans="1:9" x14ac:dyDescent="0.35">
      <c r="A1231" s="1" t="s">
        <v>1243</v>
      </c>
      <c r="B1231" t="str">
        <f>HYPERLINK("https://www.suredividend.com/sure-analysis-PLYM/","Plymouth Industrial Reit Inc")</f>
        <v>Plymouth Industrial Reit Inc</v>
      </c>
      <c r="C1231">
        <v>-7.0100143061516004E-2</v>
      </c>
      <c r="D1231">
        <v>-9.271273186961701E-2</v>
      </c>
      <c r="E1231">
        <v>7.5000390058196004E-2</v>
      </c>
      <c r="F1231">
        <v>0.112522471123933</v>
      </c>
      <c r="G1231">
        <v>0.34361247798022598</v>
      </c>
      <c r="H1231">
        <v>-7.2445298056039012E-2</v>
      </c>
      <c r="I1231">
        <v>0.91332197867298504</v>
      </c>
    </row>
    <row r="1232" spans="1:9" x14ac:dyDescent="0.35">
      <c r="A1232" s="1" t="s">
        <v>1244</v>
      </c>
      <c r="B1232" t="str">
        <f>HYPERLINK("https://www.suredividend.com/sure-analysis-PMT/","Pennymac Mortgage Investment Trust")</f>
        <v>Pennymac Mortgage Investment Trust</v>
      </c>
      <c r="C1232">
        <v>-8.3250743310208E-2</v>
      </c>
      <c r="D1232">
        <v>-0.123899145286088</v>
      </c>
      <c r="E1232">
        <v>2.9881837445677E-2</v>
      </c>
      <c r="F1232">
        <v>1.7827510626403E-2</v>
      </c>
      <c r="G1232">
        <v>0.14460776976119899</v>
      </c>
      <c r="H1232">
        <v>-0.255982304443997</v>
      </c>
      <c r="I1232">
        <v>3.1604698433256001E-2</v>
      </c>
    </row>
    <row r="1233" spans="1:9" x14ac:dyDescent="0.35">
      <c r="A1233" s="1" t="s">
        <v>1245</v>
      </c>
      <c r="B1233" t="str">
        <f>HYPERLINK("https://www.suredividend.com/sure-analysis-research-database/","PMV Pharmaceuticals Inc")</f>
        <v>PMV Pharmaceuticals Inc</v>
      </c>
      <c r="C1233">
        <v>-0.70193740685543904</v>
      </c>
      <c r="D1233">
        <v>-0.69088098918083407</v>
      </c>
      <c r="E1233">
        <v>-0.54441913439635503</v>
      </c>
      <c r="F1233">
        <v>-0.77011494252873502</v>
      </c>
      <c r="G1233">
        <v>-0.83022071307300505</v>
      </c>
      <c r="H1233">
        <v>-0.91656236962870208</v>
      </c>
      <c r="I1233">
        <v>-0.94668088509730708</v>
      </c>
    </row>
    <row r="1234" spans="1:9" x14ac:dyDescent="0.35">
      <c r="A1234" s="1" t="s">
        <v>1246</v>
      </c>
      <c r="B1234" t="str">
        <f>HYPERLINK("https://www.suredividend.com/sure-analysis-PNM/","PNM Resources Inc")</f>
        <v>PNM Resources Inc</v>
      </c>
      <c r="C1234">
        <v>-6.8540095956100007E-4</v>
      </c>
      <c r="D1234">
        <v>-3.7424681892404013E-2</v>
      </c>
      <c r="E1234">
        <v>-8.9139013546297011E-2</v>
      </c>
      <c r="F1234">
        <v>-8.2291627327315001E-2</v>
      </c>
      <c r="G1234">
        <v>-1.30666010817E-2</v>
      </c>
      <c r="H1234">
        <v>-6.4318978665873008E-2</v>
      </c>
      <c r="I1234">
        <v>0.30288696398145998</v>
      </c>
    </row>
    <row r="1235" spans="1:9" x14ac:dyDescent="0.35">
      <c r="A1235" s="1" t="s">
        <v>1247</v>
      </c>
      <c r="B1235" t="str">
        <f>HYPERLINK("https://www.suredividend.com/sure-analysis-research-database/","POINT Biopharma Global Inc")</f>
        <v>POINT Biopharma Global Inc</v>
      </c>
      <c r="C1235">
        <v>0.70635994587280104</v>
      </c>
      <c r="D1235">
        <v>0.37513631406761111</v>
      </c>
      <c r="E1235">
        <v>0.69034852546916803</v>
      </c>
      <c r="F1235">
        <v>0.72976680384087711</v>
      </c>
      <c r="G1235">
        <v>0.602287166454891</v>
      </c>
      <c r="H1235">
        <v>0.58218318695106608</v>
      </c>
      <c r="I1235">
        <v>4.9084858569051003E-2</v>
      </c>
    </row>
    <row r="1236" spans="1:9" x14ac:dyDescent="0.35">
      <c r="A1236" s="1" t="s">
        <v>1248</v>
      </c>
      <c r="B1236" t="str">
        <f>HYPERLINK("https://www.suredividend.com/sure-analysis-research-database/","Pennant Group Inc")</f>
        <v>Pennant Group Inc</v>
      </c>
      <c r="C1236">
        <v>-5.8718861209964002E-2</v>
      </c>
      <c r="D1236">
        <v>-7.3555166374781003E-2</v>
      </c>
      <c r="E1236">
        <v>-0.19298245614035001</v>
      </c>
      <c r="F1236">
        <v>-3.6429872495446013E-2</v>
      </c>
      <c r="G1236">
        <v>0.14131607335490801</v>
      </c>
      <c r="H1236">
        <v>-0.59213569776407005</v>
      </c>
      <c r="I1236">
        <v>-0.298873426110006</v>
      </c>
    </row>
    <row r="1237" spans="1:9" x14ac:dyDescent="0.35">
      <c r="A1237" s="1" t="s">
        <v>1249</v>
      </c>
      <c r="B1237" t="str">
        <f>HYPERLINK("https://www.suredividend.com/sure-analysis-POR/","Portland General Electric Co")</f>
        <v>Portland General Electric Co</v>
      </c>
      <c r="C1237">
        <v>-5.2093880476456002E-2</v>
      </c>
      <c r="D1237">
        <v>-0.11316039322374501</v>
      </c>
      <c r="E1237">
        <v>-0.14019239381912599</v>
      </c>
      <c r="F1237">
        <v>-0.12285134372605</v>
      </c>
      <c r="G1237">
        <v>2.3946988745431001E-2</v>
      </c>
      <c r="H1237">
        <v>-7.0116268947552005E-2</v>
      </c>
      <c r="I1237">
        <v>9.4435089175705006E-2</v>
      </c>
    </row>
    <row r="1238" spans="1:9" x14ac:dyDescent="0.35">
      <c r="A1238" s="1" t="s">
        <v>1250</v>
      </c>
      <c r="B1238" t="str">
        <f>HYPERLINK("https://www.suredividend.com/sure-analysis-research-database/","Power Integrations Inc.")</f>
        <v>Power Integrations Inc.</v>
      </c>
      <c r="C1238">
        <v>-4.7787164292018007E-2</v>
      </c>
      <c r="D1238">
        <v>-0.21942829737797301</v>
      </c>
      <c r="E1238">
        <v>-3.3661886585788003E-2</v>
      </c>
      <c r="F1238">
        <v>6.4723696305611006E-2</v>
      </c>
      <c r="G1238">
        <v>0.21515598148946699</v>
      </c>
      <c r="H1238">
        <v>-0.215320371018805</v>
      </c>
      <c r="I1238">
        <v>1.675045074084438</v>
      </c>
    </row>
    <row r="1239" spans="1:9" x14ac:dyDescent="0.35">
      <c r="A1239" s="1" t="s">
        <v>1251</v>
      </c>
      <c r="B1239" t="str">
        <f>HYPERLINK("https://www.suredividend.com/sure-analysis-research-database/","Powell Industries, Inc.")</f>
        <v>Powell Industries, Inc.</v>
      </c>
      <c r="C1239">
        <v>1.7430845017051E-2</v>
      </c>
      <c r="D1239">
        <v>0.34634156125478011</v>
      </c>
      <c r="E1239">
        <v>0.97881403815634904</v>
      </c>
      <c r="F1239">
        <v>1.340080007204715</v>
      </c>
      <c r="G1239">
        <v>2.9267398553126762</v>
      </c>
      <c r="H1239">
        <v>2.236941722993337</v>
      </c>
      <c r="I1239">
        <v>2.0059895881924881</v>
      </c>
    </row>
    <row r="1240" spans="1:9" x14ac:dyDescent="0.35">
      <c r="A1240" s="1" t="s">
        <v>1252</v>
      </c>
      <c r="B1240" t="str">
        <f>HYPERLINK("https://www.suredividend.com/sure-analysis-research-database/","AMMO Inc")</f>
        <v>AMMO Inc</v>
      </c>
      <c r="C1240">
        <v>0.13999999999999899</v>
      </c>
      <c r="D1240">
        <v>6.5420560747663004E-2</v>
      </c>
      <c r="E1240">
        <v>0.106796116504854</v>
      </c>
      <c r="F1240">
        <v>0.31791907514450801</v>
      </c>
      <c r="G1240">
        <v>-0.23745819397993301</v>
      </c>
      <c r="H1240">
        <v>-0.63166397415185704</v>
      </c>
      <c r="I1240">
        <v>102.6363636363636</v>
      </c>
    </row>
    <row r="1241" spans="1:9" x14ac:dyDescent="0.35">
      <c r="A1241" s="1" t="s">
        <v>1253</v>
      </c>
      <c r="B1241" t="str">
        <f>HYPERLINK("https://www.suredividend.com/sure-analysis-research-database/","Pacific Premier Bancorp, Inc.")</f>
        <v>Pacific Premier Bancorp, Inc.</v>
      </c>
      <c r="C1241">
        <v>-6.2333036509350008E-2</v>
      </c>
      <c r="D1241">
        <v>-4.7117870291160007E-3</v>
      </c>
      <c r="E1241">
        <v>-2.8597943220770002E-3</v>
      </c>
      <c r="F1241">
        <v>-0.28271709217732499</v>
      </c>
      <c r="G1241">
        <v>-0.32074595382620602</v>
      </c>
      <c r="H1241">
        <v>-0.44239837538291998</v>
      </c>
      <c r="I1241">
        <v>-0.24237791168270501</v>
      </c>
    </row>
    <row r="1242" spans="1:9" x14ac:dyDescent="0.35">
      <c r="A1242" s="1" t="s">
        <v>1254</v>
      </c>
      <c r="B1242" t="str">
        <f>HYPERLINK("https://www.suredividend.com/sure-analysis-research-database/","Permian Resources Corp")</f>
        <v>Permian Resources Corp</v>
      </c>
      <c r="C1242">
        <v>8.3272461650840013E-2</v>
      </c>
      <c r="D1242">
        <v>0.38639593149353002</v>
      </c>
      <c r="E1242">
        <v>0.33292587565949711</v>
      </c>
      <c r="F1242">
        <v>0.59916321601104205</v>
      </c>
      <c r="G1242">
        <v>0.71605781136092705</v>
      </c>
      <c r="H1242">
        <v>1.174486803519061</v>
      </c>
      <c r="I1242">
        <v>-0.29448144624167399</v>
      </c>
    </row>
    <row r="1243" spans="1:9" x14ac:dyDescent="0.35">
      <c r="A1243" s="1" t="s">
        <v>1255</v>
      </c>
      <c r="B1243" t="str">
        <f>HYPERLINK("https://www.suredividend.com/sure-analysis-research-database/","Proassurance Corporation")</f>
        <v>Proassurance Corporation</v>
      </c>
      <c r="C1243">
        <v>-3.1943692474282012E-2</v>
      </c>
      <c r="D1243">
        <v>0.15803108808290101</v>
      </c>
      <c r="E1243">
        <v>-1.2154696132596E-2</v>
      </c>
      <c r="F1243">
        <v>2.6365186243951001E-2</v>
      </c>
      <c r="G1243">
        <v>-0.112954437212255</v>
      </c>
      <c r="H1243">
        <v>-0.198256611692539</v>
      </c>
      <c r="I1243">
        <v>-0.55115637480953006</v>
      </c>
    </row>
    <row r="1244" spans="1:9" x14ac:dyDescent="0.35">
      <c r="A1244" s="1" t="s">
        <v>1256</v>
      </c>
      <c r="B1244" t="str">
        <f>HYPERLINK("https://www.suredividend.com/sure-analysis-research-database/","PRA Group Inc")</f>
        <v>PRA Group Inc</v>
      </c>
      <c r="C1244">
        <v>-0.15619136960600299</v>
      </c>
      <c r="D1244">
        <v>-0.20957820738137001</v>
      </c>
      <c r="E1244">
        <v>-0.53490175801447704</v>
      </c>
      <c r="F1244">
        <v>-0.46743635287152102</v>
      </c>
      <c r="G1244">
        <v>-0.43938921782486701</v>
      </c>
      <c r="H1244">
        <v>-0.58133581568536108</v>
      </c>
      <c r="I1244">
        <v>-0.44629116651277301</v>
      </c>
    </row>
    <row r="1245" spans="1:9" x14ac:dyDescent="0.35">
      <c r="A1245" s="1" t="s">
        <v>1257</v>
      </c>
      <c r="B1245" t="str">
        <f>HYPERLINK("https://www.suredividend.com/sure-analysis-research-database/","Praxis Precision Medicines Inc")</f>
        <v>Praxis Precision Medicines Inc</v>
      </c>
      <c r="C1245">
        <v>-2.1582733812949E-2</v>
      </c>
      <c r="D1245">
        <v>0.182608695652174</v>
      </c>
      <c r="E1245">
        <v>0.36</v>
      </c>
      <c r="F1245">
        <v>-0.42857142857142799</v>
      </c>
      <c r="G1245">
        <v>-0.18562874251497</v>
      </c>
      <c r="H1245">
        <v>-0.93203398300849505</v>
      </c>
      <c r="I1245">
        <v>-0.95107913669064703</v>
      </c>
    </row>
    <row r="1246" spans="1:9" x14ac:dyDescent="0.35">
      <c r="A1246" s="1" t="s">
        <v>1258</v>
      </c>
      <c r="B1246" t="str">
        <f>HYPERLINK("https://www.suredividend.com/sure-analysis-research-database/","Porch Group Inc")</f>
        <v>Porch Group Inc</v>
      </c>
      <c r="C1246">
        <v>-0.23164724258079999</v>
      </c>
      <c r="D1246">
        <v>-0.53659420289855009</v>
      </c>
      <c r="E1246">
        <v>-0.52276119402985</v>
      </c>
      <c r="F1246">
        <v>-0.65984042553191402</v>
      </c>
      <c r="G1246">
        <v>-0.65054644808743101</v>
      </c>
      <c r="H1246">
        <v>-0.9627981384525881</v>
      </c>
      <c r="I1246">
        <v>-0.93540404040404013</v>
      </c>
    </row>
    <row r="1247" spans="1:9" x14ac:dyDescent="0.35">
      <c r="A1247" s="1" t="s">
        <v>1259</v>
      </c>
      <c r="B1247" t="str">
        <f>HYPERLINK("https://www.suredividend.com/sure-analysis-research-database/","Procept BioRobotics Corp")</f>
        <v>Procept BioRobotics Corp</v>
      </c>
      <c r="C1247">
        <v>-0.17915904936014601</v>
      </c>
      <c r="D1247">
        <v>-0.26191780821917798</v>
      </c>
      <c r="E1247">
        <v>-0.25208217656857301</v>
      </c>
      <c r="F1247">
        <v>-0.351468464130958</v>
      </c>
      <c r="G1247">
        <v>-0.31797468354430303</v>
      </c>
      <c r="H1247">
        <v>-0.38168464539820901</v>
      </c>
      <c r="I1247">
        <v>-0.35765379113018497</v>
      </c>
    </row>
    <row r="1248" spans="1:9" x14ac:dyDescent="0.35">
      <c r="A1248" s="1" t="s">
        <v>1260</v>
      </c>
      <c r="B1248" t="str">
        <f>HYPERLINK("https://www.suredividend.com/sure-analysis-research-database/","Perdoceo Education Corporation")</f>
        <v>Perdoceo Education Corporation</v>
      </c>
      <c r="C1248">
        <v>6.2690200852099004E-2</v>
      </c>
      <c r="D1248">
        <v>0.39348906996975203</v>
      </c>
      <c r="E1248">
        <v>0.30607481878772902</v>
      </c>
      <c r="F1248">
        <v>0.27318865943297099</v>
      </c>
      <c r="G1248">
        <v>0.70494492617764204</v>
      </c>
      <c r="H1248">
        <v>0.62958261778541003</v>
      </c>
      <c r="I1248">
        <v>0.27445255474452501</v>
      </c>
    </row>
    <row r="1249" spans="1:9" x14ac:dyDescent="0.35">
      <c r="A1249" s="1" t="s">
        <v>1261</v>
      </c>
      <c r="B1249" t="str">
        <f>HYPERLINK("https://www.suredividend.com/sure-analysis-research-database/","Pardes Biosciences Inc")</f>
        <v>Pardes Biosciences Inc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35">
      <c r="A1250" s="1" t="s">
        <v>1262</v>
      </c>
      <c r="B1250" t="str">
        <f>HYPERLINK("https://www.suredividend.com/sure-analysis-research-database/","Perficient Inc.")</f>
        <v>Perficient Inc.</v>
      </c>
      <c r="C1250">
        <v>-4.7484171942685012E-2</v>
      </c>
      <c r="D1250">
        <v>-0.37865449407673002</v>
      </c>
      <c r="E1250">
        <v>-0.17741007194244601</v>
      </c>
      <c r="F1250">
        <v>-0.18129743663181999</v>
      </c>
      <c r="G1250">
        <v>-0.120461538461538</v>
      </c>
      <c r="H1250">
        <v>-0.55613354037267004</v>
      </c>
      <c r="I1250">
        <v>1.2570075009869719</v>
      </c>
    </row>
    <row r="1251" spans="1:9" x14ac:dyDescent="0.35">
      <c r="A1251" s="1" t="s">
        <v>1263</v>
      </c>
      <c r="B1251" t="str">
        <f>HYPERLINK("https://www.suredividend.com/sure-analysis-research-database/","PROG Holdings Inc")</f>
        <v>PROG Holdings Inc</v>
      </c>
      <c r="C1251">
        <v>-0.103571428571428</v>
      </c>
      <c r="D1251">
        <v>-8.505467800729001E-2</v>
      </c>
      <c r="E1251">
        <v>0.21992709599027899</v>
      </c>
      <c r="F1251">
        <v>0.7833037300177611</v>
      </c>
      <c r="G1251">
        <v>0.95838751625487606</v>
      </c>
      <c r="H1251">
        <v>-0.32207967589466502</v>
      </c>
      <c r="I1251">
        <v>-0.48744739614088012</v>
      </c>
    </row>
    <row r="1252" spans="1:9" x14ac:dyDescent="0.35">
      <c r="A1252" s="1" t="s">
        <v>1264</v>
      </c>
      <c r="B1252" t="str">
        <f>HYPERLINK("https://www.suredividend.com/sure-analysis-research-database/","Progress Software Corp.")</f>
        <v>Progress Software Corp.</v>
      </c>
      <c r="C1252">
        <v>-7.7722946774762006E-2</v>
      </c>
      <c r="D1252">
        <v>-9.7690169599073007E-2</v>
      </c>
      <c r="E1252">
        <v>-6.4991405711181005E-2</v>
      </c>
      <c r="F1252">
        <v>5.2561709522736012E-2</v>
      </c>
      <c r="G1252">
        <v>0.162021246358274</v>
      </c>
      <c r="H1252">
        <v>7.7540497855420012E-2</v>
      </c>
      <c r="I1252">
        <v>0.75332203094531303</v>
      </c>
    </row>
    <row r="1253" spans="1:9" x14ac:dyDescent="0.35">
      <c r="A1253" s="1" t="s">
        <v>1265</v>
      </c>
      <c r="B1253" t="str">
        <f>HYPERLINK("https://www.suredividend.com/sure-analysis-research-database/","Primoris Services Corp")</f>
        <v>Primoris Services Corp</v>
      </c>
      <c r="C1253">
        <v>-6.9774527726995009E-2</v>
      </c>
      <c r="D1253">
        <v>1.9529006318207E-2</v>
      </c>
      <c r="E1253">
        <v>0.21517757991394601</v>
      </c>
      <c r="F1253">
        <v>0.40306532778786203</v>
      </c>
      <c r="G1253">
        <v>0.88344016237191303</v>
      </c>
      <c r="H1253">
        <v>0.16163595478256801</v>
      </c>
      <c r="I1253">
        <v>0.42204377454108399</v>
      </c>
    </row>
    <row r="1254" spans="1:9" x14ac:dyDescent="0.35">
      <c r="A1254" s="1" t="s">
        <v>1266</v>
      </c>
      <c r="B1254" t="str">
        <f>HYPERLINK("https://www.suredividend.com/sure-analysis-research-database/","Park National Corp.")</f>
        <v>Park National Corp.</v>
      </c>
      <c r="C1254">
        <v>-6.7254358161648001E-2</v>
      </c>
      <c r="D1254">
        <v>-8.0759795906613002E-2</v>
      </c>
      <c r="E1254">
        <v>-0.117619775361755</v>
      </c>
      <c r="F1254">
        <v>-0.311772727870683</v>
      </c>
      <c r="G1254">
        <v>-0.27599353875937099</v>
      </c>
      <c r="H1254">
        <v>-0.21008593681190699</v>
      </c>
      <c r="I1254">
        <v>0.13441430154676401</v>
      </c>
    </row>
    <row r="1255" spans="1:9" x14ac:dyDescent="0.35">
      <c r="A1255" s="1" t="s">
        <v>1267</v>
      </c>
      <c r="B1255" t="str">
        <f>HYPERLINK("https://www.suredividend.com/sure-analysis-research-database/","Proto Labs Inc")</f>
        <v>Proto Labs Inc</v>
      </c>
      <c r="C1255">
        <v>-4.9405646359584013E-2</v>
      </c>
      <c r="D1255">
        <v>-0.26423231742380598</v>
      </c>
      <c r="E1255">
        <v>-0.159329829172142</v>
      </c>
      <c r="F1255">
        <v>2.3501762632189998E-3</v>
      </c>
      <c r="G1255">
        <v>-0.28178501262980599</v>
      </c>
      <c r="H1255">
        <v>-0.63866139508613307</v>
      </c>
      <c r="I1255">
        <v>-0.79727481581240511</v>
      </c>
    </row>
    <row r="1256" spans="1:9" x14ac:dyDescent="0.35">
      <c r="A1256" s="1" t="s">
        <v>1268</v>
      </c>
      <c r="B1256" t="str">
        <f>HYPERLINK("https://www.suredividend.com/sure-analysis-research-database/","Perimeter Solutions SA")</f>
        <v>Perimeter Solutions SA</v>
      </c>
      <c r="C1256">
        <v>-0.44880546075085298</v>
      </c>
      <c r="D1256">
        <v>-0.40185185185185102</v>
      </c>
      <c r="E1256">
        <v>-0.56114130434782605</v>
      </c>
      <c r="F1256">
        <v>-0.64660831509846806</v>
      </c>
      <c r="G1256">
        <v>-0.56292286874154207</v>
      </c>
      <c r="H1256">
        <v>-0.730833333333333</v>
      </c>
      <c r="I1256">
        <v>-0.730833333333333</v>
      </c>
    </row>
    <row r="1257" spans="1:9" x14ac:dyDescent="0.35">
      <c r="A1257" s="1" t="s">
        <v>1269</v>
      </c>
      <c r="B1257" t="str">
        <f>HYPERLINK("https://www.suredividend.com/sure-analysis-research-database/","Prime Medicine Inc")</f>
        <v>Prime Medicine Inc</v>
      </c>
      <c r="C1257">
        <v>-0.42382495948136101</v>
      </c>
      <c r="D1257">
        <v>-0.52441471571906306</v>
      </c>
      <c r="E1257">
        <v>-0.46900672143390498</v>
      </c>
      <c r="F1257">
        <v>-0.61733046286329307</v>
      </c>
      <c r="G1257">
        <v>-0.53741054001301203</v>
      </c>
      <c r="H1257">
        <v>-0.53741054001301203</v>
      </c>
      <c r="I1257">
        <v>-0.53741054001301203</v>
      </c>
    </row>
    <row r="1258" spans="1:9" x14ac:dyDescent="0.35">
      <c r="A1258" s="1" t="s">
        <v>1270</v>
      </c>
      <c r="B1258" t="str">
        <f>HYPERLINK("https://www.suredividend.com/sure-analysis-research-database/","Primo Water Corporation")</f>
        <v>Primo Water Corporation</v>
      </c>
      <c r="C1258">
        <v>-9.5593220338983001E-2</v>
      </c>
      <c r="D1258">
        <v>1.3747140761906E-2</v>
      </c>
      <c r="E1258">
        <v>-0.10683199871448</v>
      </c>
      <c r="F1258">
        <v>-0.12695763715731101</v>
      </c>
      <c r="G1258">
        <v>2.6303844408028E-2</v>
      </c>
      <c r="H1258">
        <v>-0.13110878075151899</v>
      </c>
      <c r="I1258">
        <v>-7.8576559650770011E-2</v>
      </c>
    </row>
    <row r="1259" spans="1:9" x14ac:dyDescent="0.35">
      <c r="A1259" s="1" t="s">
        <v>1271</v>
      </c>
      <c r="B1259" t="str">
        <f>HYPERLINK("https://www.suredividend.com/sure-analysis-research-database/","Pros Holdings Inc")</f>
        <v>Pros Holdings Inc</v>
      </c>
      <c r="C1259">
        <v>2.8919330289192999E-2</v>
      </c>
      <c r="D1259">
        <v>3.5222052067381E-2</v>
      </c>
      <c r="E1259">
        <v>0.27211140383891502</v>
      </c>
      <c r="F1259">
        <v>0.39323990107172202</v>
      </c>
      <c r="G1259">
        <v>0.35199999999999898</v>
      </c>
      <c r="H1259">
        <v>-1.3714619200467E-2</v>
      </c>
      <c r="I1259">
        <v>5.1976346093993007E-2</v>
      </c>
    </row>
    <row r="1260" spans="1:9" x14ac:dyDescent="0.35">
      <c r="A1260" s="1" t="s">
        <v>1272</v>
      </c>
      <c r="B1260" t="str">
        <f>HYPERLINK("https://www.suredividend.com/sure-analysis-research-database/","Purple Innovation Inc")</f>
        <v>Purple Innovation Inc</v>
      </c>
      <c r="C1260">
        <v>-0.39999999999999902</v>
      </c>
      <c r="D1260">
        <v>-0.52797202797202702</v>
      </c>
      <c r="E1260">
        <v>-0.46850393700787402</v>
      </c>
      <c r="F1260">
        <v>-0.71816283924843405</v>
      </c>
      <c r="G1260">
        <v>-0.64379947229551404</v>
      </c>
      <c r="H1260">
        <v>-0.9325</v>
      </c>
      <c r="I1260">
        <v>-0.7471910112359551</v>
      </c>
    </row>
    <row r="1261" spans="1:9" x14ac:dyDescent="0.35">
      <c r="A1261" s="1" t="s">
        <v>1273</v>
      </c>
      <c r="B1261" t="str">
        <f>HYPERLINK("https://www.suredividend.com/sure-analysis-research-database/","Prothena Corporation plc")</f>
        <v>Prothena Corporation plc</v>
      </c>
      <c r="C1261">
        <v>-0.15974075486084599</v>
      </c>
      <c r="D1261">
        <v>-0.37037566061991101</v>
      </c>
      <c r="E1261">
        <v>-0.125917112829664</v>
      </c>
      <c r="F1261">
        <v>-0.268381742738589</v>
      </c>
      <c r="G1261">
        <v>-0.196353691886964</v>
      </c>
      <c r="H1261">
        <v>-0.30538922155688603</v>
      </c>
      <c r="I1261">
        <v>2.5348837209302322</v>
      </c>
    </row>
    <row r="1262" spans="1:9" x14ac:dyDescent="0.35">
      <c r="A1262" s="1" t="s">
        <v>1274</v>
      </c>
      <c r="B1262" t="str">
        <f>HYPERLINK("https://www.suredividend.com/sure-analysis-research-database/","Priority Technology Holdings Inc")</f>
        <v>Priority Technology Holdings Inc</v>
      </c>
      <c r="C1262">
        <v>-4.7197640117994002E-2</v>
      </c>
      <c r="D1262">
        <v>-0.129380053908355</v>
      </c>
      <c r="E1262">
        <v>-0.15885416666666599</v>
      </c>
      <c r="F1262">
        <v>-0.38593155893536102</v>
      </c>
      <c r="G1262">
        <v>-0.20638820638820601</v>
      </c>
      <c r="H1262">
        <v>-0.43233743409490311</v>
      </c>
      <c r="I1262">
        <v>-0.6923809523809521</v>
      </c>
    </row>
    <row r="1263" spans="1:9" x14ac:dyDescent="0.35">
      <c r="A1263" s="1" t="s">
        <v>1275</v>
      </c>
      <c r="B1263" t="str">
        <f>HYPERLINK("https://www.suredividend.com/sure-analysis-research-database/","CarParts.com Inc")</f>
        <v>CarParts.com Inc</v>
      </c>
      <c r="C1263">
        <v>-7.2815533980582006E-2</v>
      </c>
      <c r="D1263">
        <v>-0.15486725663716799</v>
      </c>
      <c r="E1263">
        <v>-0.243564356435643</v>
      </c>
      <c r="F1263">
        <v>-0.38977635782747599</v>
      </c>
      <c r="G1263">
        <v>-0.123853211009174</v>
      </c>
      <c r="H1263">
        <v>-0.73978201634877305</v>
      </c>
      <c r="I1263">
        <v>1.546666666666666</v>
      </c>
    </row>
    <row r="1264" spans="1:9" x14ac:dyDescent="0.35">
      <c r="A1264" s="1" t="s">
        <v>1276</v>
      </c>
      <c r="B1264" t="str">
        <f>HYPERLINK("https://www.suredividend.com/sure-analysis-research-database/","Privia Health Group Inc")</f>
        <v>Privia Health Group Inc</v>
      </c>
      <c r="C1264">
        <v>-0.1171875</v>
      </c>
      <c r="D1264">
        <v>-0.17518248175182399</v>
      </c>
      <c r="E1264">
        <v>-0.13147249190938501</v>
      </c>
      <c r="F1264">
        <v>-5.4601497137824001E-2</v>
      </c>
      <c r="G1264">
        <v>-0.35737803052978101</v>
      </c>
      <c r="H1264">
        <v>-8.6771586558911012E-2</v>
      </c>
      <c r="I1264">
        <v>-0.38215827338129499</v>
      </c>
    </row>
    <row r="1265" spans="1:9" x14ac:dyDescent="0.35">
      <c r="A1265" s="1" t="s">
        <v>1277</v>
      </c>
      <c r="B1265" t="str">
        <f>HYPERLINK("https://www.suredividend.com/sure-analysis-research-database/","Paysafe Limited")</f>
        <v>Paysafe Limited</v>
      </c>
      <c r="C1265">
        <v>-0.20122417750573801</v>
      </c>
      <c r="D1265">
        <v>-9.7666378565255008E-2</v>
      </c>
      <c r="E1265">
        <v>-0.33587786259541902</v>
      </c>
      <c r="F1265">
        <v>-0.24838012958963199</v>
      </c>
      <c r="G1265">
        <v>-0.34090909090909011</v>
      </c>
      <c r="H1265">
        <v>-0.88846153846153808</v>
      </c>
      <c r="I1265">
        <v>4.9246231155778003E-2</v>
      </c>
    </row>
    <row r="1266" spans="1:9" x14ac:dyDescent="0.35">
      <c r="A1266" s="1" t="s">
        <v>1278</v>
      </c>
      <c r="B1266" t="str">
        <f>HYPERLINK("https://www.suredividend.com/sure-analysis-research-database/","Pricesmart Inc.")</f>
        <v>Pricesmart Inc.</v>
      </c>
      <c r="C1266">
        <v>-6.1443139279720997E-2</v>
      </c>
      <c r="D1266">
        <v>-3.8705617312024002E-2</v>
      </c>
      <c r="E1266">
        <v>-4.1979759170761001E-2</v>
      </c>
      <c r="F1266">
        <v>0.211088513897286</v>
      </c>
      <c r="G1266">
        <v>0.25742983486181398</v>
      </c>
      <c r="H1266">
        <v>-4.3699676191528002E-2</v>
      </c>
      <c r="I1266">
        <v>2.2867151066688001E-2</v>
      </c>
    </row>
    <row r="1267" spans="1:9" x14ac:dyDescent="0.35">
      <c r="A1267" s="1" t="s">
        <v>1279</v>
      </c>
      <c r="B1267" t="str">
        <f>HYPERLINK("https://www.suredividend.com/sure-analysis-research-database/","Parsons Corp")</f>
        <v>Parsons Corp</v>
      </c>
      <c r="C1267">
        <v>3.8038579412294E-2</v>
      </c>
      <c r="D1267">
        <v>0.212976616810617</v>
      </c>
      <c r="E1267">
        <v>0.24956597222222199</v>
      </c>
      <c r="F1267">
        <v>0.24497297297297299</v>
      </c>
      <c r="G1267">
        <v>0.42102665350444202</v>
      </c>
      <c r="H1267">
        <v>0.59192701133536008</v>
      </c>
      <c r="I1267">
        <v>0.91486531426671003</v>
      </c>
    </row>
    <row r="1268" spans="1:9" x14ac:dyDescent="0.35">
      <c r="A1268" s="1" t="s">
        <v>1280</v>
      </c>
      <c r="B1268" t="str">
        <f>HYPERLINK("https://www.suredividend.com/sure-analysis-PSTL/","Postal Realty Trust Inc")</f>
        <v>Postal Realty Trust Inc</v>
      </c>
      <c r="C1268">
        <v>-3.5915492957746001E-2</v>
      </c>
      <c r="D1268">
        <v>-7.0080221713525001E-2</v>
      </c>
      <c r="E1268">
        <v>-2.5484054669703E-2</v>
      </c>
      <c r="F1268">
        <v>-1.2635951879524999E-2</v>
      </c>
      <c r="G1268">
        <v>-2.0162184988226001E-2</v>
      </c>
      <c r="H1268">
        <v>-0.18603475851571699</v>
      </c>
      <c r="I1268">
        <v>-3.8275144441369999E-3</v>
      </c>
    </row>
    <row r="1269" spans="1:9" x14ac:dyDescent="0.35">
      <c r="A1269" s="1" t="s">
        <v>1281</v>
      </c>
      <c r="B1269" t="str">
        <f>HYPERLINK("https://www.suredividend.com/sure-analysis-research-database/","PTC Therapeutics Inc")</f>
        <v>PTC Therapeutics Inc</v>
      </c>
      <c r="C1269">
        <v>-0.223533891850723</v>
      </c>
      <c r="D1269">
        <v>-0.47958141909137297</v>
      </c>
      <c r="E1269">
        <v>-0.58615790541911905</v>
      </c>
      <c r="F1269">
        <v>-0.46581084621430402</v>
      </c>
      <c r="G1269">
        <v>-0.60515104570100708</v>
      </c>
      <c r="H1269">
        <v>-0.46468889472302399</v>
      </c>
      <c r="I1269">
        <v>-0.46664922835469502</v>
      </c>
    </row>
    <row r="1270" spans="1:9" x14ac:dyDescent="0.35">
      <c r="A1270" s="1" t="s">
        <v>1282</v>
      </c>
      <c r="B1270" t="str">
        <f>HYPERLINK("https://www.suredividend.com/sure-analysis-research-database/","Patterson-UTI Energy Inc")</f>
        <v>Patterson-UTI Energy Inc</v>
      </c>
      <c r="C1270">
        <v>-0.115532734274711</v>
      </c>
      <c r="D1270">
        <v>2.0982751467014001E-2</v>
      </c>
      <c r="E1270">
        <v>0.16898540889039701</v>
      </c>
      <c r="F1270">
        <v>-0.15931012183292301</v>
      </c>
      <c r="G1270">
        <v>7.0149960781877005E-2</v>
      </c>
      <c r="H1270">
        <v>0.582834629389264</v>
      </c>
      <c r="I1270">
        <v>-0.103436609454905</v>
      </c>
    </row>
    <row r="1271" spans="1:9" x14ac:dyDescent="0.35">
      <c r="A1271" s="1" t="s">
        <v>1283</v>
      </c>
      <c r="B1271" t="str">
        <f>HYPERLINK("https://www.suredividend.com/sure-analysis-research-database/","Protagonist Therapeutics Inc")</f>
        <v>Protagonist Therapeutics Inc</v>
      </c>
      <c r="C1271">
        <v>-0.137430167597765</v>
      </c>
      <c r="D1271">
        <v>-0.27341176470588202</v>
      </c>
      <c r="E1271">
        <v>-0.17609391675560199</v>
      </c>
      <c r="F1271">
        <v>0.41521539871677299</v>
      </c>
      <c r="G1271">
        <v>0.93241551939924805</v>
      </c>
      <c r="H1271">
        <v>-0.50145301905069406</v>
      </c>
      <c r="I1271">
        <v>0.689277899343544</v>
      </c>
    </row>
    <row r="1272" spans="1:9" x14ac:dyDescent="0.35">
      <c r="A1272" s="1" t="s">
        <v>1284</v>
      </c>
      <c r="B1272" t="str">
        <f>HYPERLINK("https://www.suredividend.com/sure-analysis-research-database/","Portillos Inc")</f>
        <v>Portillos Inc</v>
      </c>
      <c r="C1272">
        <v>-0.14868105515587501</v>
      </c>
      <c r="D1272">
        <v>-0.39522998296422401</v>
      </c>
      <c r="E1272">
        <v>-0.28463476070528898</v>
      </c>
      <c r="F1272">
        <v>-0.12990196078431299</v>
      </c>
      <c r="G1272">
        <v>-0.27551020408163202</v>
      </c>
      <c r="H1272">
        <v>-0.512027491408934</v>
      </c>
      <c r="I1272">
        <v>-0.512027491408934</v>
      </c>
    </row>
    <row r="1273" spans="1:9" x14ac:dyDescent="0.35">
      <c r="A1273" s="1" t="s">
        <v>1285</v>
      </c>
      <c r="B1273" t="str">
        <f>HYPERLINK("https://www.suredividend.com/sure-analysis-research-database/","Proterra Inc")</f>
        <v>Proterra Inc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35">
      <c r="A1274" s="1" t="s">
        <v>1286</v>
      </c>
      <c r="B1274" t="str">
        <f>HYPERLINK("https://www.suredividend.com/sure-analysis-research-database/","P.A.M. Transportation Services, Inc.")</f>
        <v>P.A.M. Transportation Services, Inc.</v>
      </c>
      <c r="C1274">
        <v>-6.9600359227660002E-2</v>
      </c>
      <c r="D1274">
        <v>-0.17318435754189901</v>
      </c>
      <c r="E1274">
        <v>-0.19440124416796201</v>
      </c>
      <c r="F1274">
        <v>-0.2</v>
      </c>
      <c r="G1274">
        <v>-0.32287581699346402</v>
      </c>
      <c r="H1274">
        <v>-0.239633027522935</v>
      </c>
      <c r="I1274">
        <v>0.53197781885397399</v>
      </c>
    </row>
    <row r="1275" spans="1:9" x14ac:dyDescent="0.35">
      <c r="A1275" s="1" t="s">
        <v>1287</v>
      </c>
      <c r="B1275" t="str">
        <f>HYPERLINK("https://www.suredividend.com/sure-analysis-research-database/","Pactiv Evergreen Inc")</f>
        <v>Pactiv Evergreen Inc</v>
      </c>
      <c r="C1275">
        <v>-5.3892215568862013E-2</v>
      </c>
      <c r="D1275">
        <v>2.2759638538618999E-2</v>
      </c>
      <c r="E1275">
        <v>1.9775907471471999E-2</v>
      </c>
      <c r="F1275">
        <v>-0.269242509735724</v>
      </c>
      <c r="G1275">
        <v>-9.4690762407893009E-2</v>
      </c>
      <c r="H1275">
        <v>-0.31450388303180099</v>
      </c>
      <c r="I1275">
        <v>-0.18875345293229601</v>
      </c>
    </row>
    <row r="1276" spans="1:9" x14ac:dyDescent="0.35">
      <c r="A1276" s="1" t="s">
        <v>1288</v>
      </c>
      <c r="B1276" t="str">
        <f>HYPERLINK("https://www.suredividend.com/sure-analysis-research-database/","PubMatic Inc")</f>
        <v>PubMatic Inc</v>
      </c>
      <c r="C1276">
        <v>-4.1500399042298013E-2</v>
      </c>
      <c r="D1276">
        <v>-0.37447916666666597</v>
      </c>
      <c r="E1276">
        <v>-0.15719298245614</v>
      </c>
      <c r="F1276">
        <v>-6.2451209992193002E-2</v>
      </c>
      <c r="G1276">
        <v>-0.27997601918465198</v>
      </c>
      <c r="H1276">
        <v>-0.58785175017158509</v>
      </c>
      <c r="I1276">
        <v>-0.59219015280135801</v>
      </c>
    </row>
    <row r="1277" spans="1:9" x14ac:dyDescent="0.35">
      <c r="A1277" s="1" t="s">
        <v>1289</v>
      </c>
      <c r="B1277" t="str">
        <f>HYPERLINK("https://www.suredividend.com/sure-analysis-research-database/","ProPetro Holding Corp")</f>
        <v>ProPetro Holding Corp</v>
      </c>
      <c r="C1277">
        <v>-1.0456273764257999E-2</v>
      </c>
      <c r="D1277">
        <v>0.126623376623376</v>
      </c>
      <c r="E1277">
        <v>0.38985313751668799</v>
      </c>
      <c r="F1277">
        <v>3.8572806171649999E-3</v>
      </c>
      <c r="G1277">
        <v>0.13029315960912</v>
      </c>
      <c r="H1277">
        <v>1.66015625E-2</v>
      </c>
      <c r="I1277">
        <v>-0.41908482142857101</v>
      </c>
    </row>
    <row r="1278" spans="1:9" x14ac:dyDescent="0.35">
      <c r="A1278" s="1" t="s">
        <v>1290</v>
      </c>
      <c r="B1278" t="str">
        <f>HYPERLINK("https://www.suredividend.com/sure-analysis-research-database/","Provident Bancorp Inc")</f>
        <v>Provident Bancorp Inc</v>
      </c>
      <c r="C1278">
        <v>-2.8925619834709999E-2</v>
      </c>
      <c r="D1278">
        <v>5.3811659192824997E-2</v>
      </c>
      <c r="E1278">
        <v>0.39673105497771111</v>
      </c>
      <c r="F1278">
        <v>0.29120879120879101</v>
      </c>
      <c r="G1278">
        <v>-0.37665782493368599</v>
      </c>
      <c r="H1278">
        <v>-0.41880595538408211</v>
      </c>
      <c r="I1278">
        <v>-0.10719373895864601</v>
      </c>
    </row>
    <row r="1279" spans="1:9" x14ac:dyDescent="0.35">
      <c r="A1279" s="1" t="s">
        <v>1291</v>
      </c>
      <c r="B1279" t="str">
        <f>HYPERLINK("https://www.suredividend.com/sure-analysis-research-database/","Perella Weinberg Partners")</f>
        <v>Perella Weinberg Partners</v>
      </c>
      <c r="C1279">
        <v>-0.100824931255728</v>
      </c>
      <c r="D1279">
        <v>5.5008872398774007E-2</v>
      </c>
      <c r="E1279">
        <v>0.146965976850227</v>
      </c>
      <c r="F1279">
        <v>3.2370769489813003E-2</v>
      </c>
      <c r="G1279">
        <v>0.47261919058484397</v>
      </c>
      <c r="H1279">
        <v>-0.248891713307862</v>
      </c>
      <c r="I1279">
        <v>-8.5901970692260007E-3</v>
      </c>
    </row>
    <row r="1280" spans="1:9" x14ac:dyDescent="0.35">
      <c r="A1280" s="1" t="s">
        <v>1292</v>
      </c>
      <c r="B1280" t="str">
        <f>HYPERLINK("https://www.suredividend.com/sure-analysis-research-database/","PowerSchool Holdings Inc")</f>
        <v>PowerSchool Holdings Inc</v>
      </c>
      <c r="C1280">
        <v>-9.1308165057067001E-2</v>
      </c>
      <c r="D1280">
        <v>-5.9090909090909013E-2</v>
      </c>
      <c r="E1280">
        <v>4.8632218844983997E-2</v>
      </c>
      <c r="F1280">
        <v>-0.103119584055459</v>
      </c>
      <c r="G1280">
        <v>0.247739602169981</v>
      </c>
      <c r="H1280">
        <v>-0.103896103896103</v>
      </c>
      <c r="I1280">
        <v>0.149999999999999</v>
      </c>
    </row>
    <row r="1281" spans="1:9" x14ac:dyDescent="0.35">
      <c r="A1281" s="1" t="s">
        <v>1293</v>
      </c>
      <c r="B1281" t="str">
        <f>HYPERLINK("https://www.suredividend.com/sure-analysis-research-database/","Papa John`s International, Inc.")</f>
        <v>Papa John`s International, Inc.</v>
      </c>
      <c r="C1281">
        <v>-0.147261610511252</v>
      </c>
      <c r="D1281">
        <v>-0.12767834686064</v>
      </c>
      <c r="E1281">
        <v>-0.135135277772646</v>
      </c>
      <c r="F1281">
        <v>-0.18673364689476099</v>
      </c>
      <c r="G1281">
        <v>-9.5419414791140002E-3</v>
      </c>
      <c r="H1281">
        <v>-0.43917893400363711</v>
      </c>
      <c r="I1281">
        <v>0.37423112240405498</v>
      </c>
    </row>
    <row r="1282" spans="1:9" x14ac:dyDescent="0.35">
      <c r="A1282" s="1" t="s">
        <v>1294</v>
      </c>
      <c r="B1282" t="str">
        <f>HYPERLINK("https://www.suredividend.com/sure-analysis-research-database/","QCR Holding, Inc.")</f>
        <v>QCR Holding, Inc.</v>
      </c>
      <c r="C1282">
        <v>-2.2763900080580001E-2</v>
      </c>
      <c r="D1282">
        <v>0.11022870574018601</v>
      </c>
      <c r="E1282">
        <v>0.17161461100752501</v>
      </c>
      <c r="F1282">
        <v>-1.6383470538139999E-2</v>
      </c>
      <c r="G1282">
        <v>-0.115147557489871</v>
      </c>
      <c r="H1282">
        <v>-6.5913646595330999E-2</v>
      </c>
      <c r="I1282">
        <v>0.32585903420831003</v>
      </c>
    </row>
    <row r="1283" spans="1:9" x14ac:dyDescent="0.35">
      <c r="A1283" s="1" t="s">
        <v>1295</v>
      </c>
      <c r="B1283" t="str">
        <f>HYPERLINK("https://www.suredividend.com/sure-analysis-research-database/","Qualys Inc")</f>
        <v>Qualys Inc</v>
      </c>
      <c r="C1283">
        <v>7.4971626944388012E-2</v>
      </c>
      <c r="D1283">
        <v>0.24551361386138601</v>
      </c>
      <c r="E1283">
        <v>0.25258654220147703</v>
      </c>
      <c r="F1283">
        <v>0.43473224627995999</v>
      </c>
      <c r="G1283">
        <v>0.27288537549407099</v>
      </c>
      <c r="H1283">
        <v>0.40813292522955802</v>
      </c>
      <c r="I1283">
        <v>1.2240331491712699</v>
      </c>
    </row>
    <row r="1284" spans="1:9" x14ac:dyDescent="0.35">
      <c r="A1284" s="1" t="s">
        <v>1296</v>
      </c>
      <c r="B1284" t="str">
        <f>HYPERLINK("https://www.suredividend.com/sure-analysis-research-database/","QuinStreet Inc")</f>
        <v>QuinStreet Inc</v>
      </c>
      <c r="C1284">
        <v>4.2363433667781003E-2</v>
      </c>
      <c r="D1284">
        <v>4.2363433667781003E-2</v>
      </c>
      <c r="E1284">
        <v>-0.29353985644125402</v>
      </c>
      <c r="F1284">
        <v>-0.348432055749128</v>
      </c>
      <c r="G1284">
        <v>-0.158415841584158</v>
      </c>
      <c r="H1284">
        <v>-0.45096887844979411</v>
      </c>
      <c r="I1284">
        <v>-0.28680396643783301</v>
      </c>
    </row>
    <row r="1285" spans="1:9" x14ac:dyDescent="0.35">
      <c r="A1285" s="1" t="s">
        <v>1297</v>
      </c>
      <c r="B1285" t="str">
        <f>HYPERLINK("https://www.suredividend.com/sure-analysis-research-database/","Qurate Retail Inc")</f>
        <v>Qurate Retail Inc</v>
      </c>
      <c r="C1285">
        <v>-0.21009484005786799</v>
      </c>
      <c r="D1285">
        <v>-0.54074766355140103</v>
      </c>
      <c r="E1285">
        <v>-0.38628699887598311</v>
      </c>
      <c r="F1285">
        <v>-0.69852760736196307</v>
      </c>
      <c r="G1285">
        <v>-0.76710900473933608</v>
      </c>
      <c r="H1285">
        <v>-0.94396743406424211</v>
      </c>
      <c r="I1285">
        <v>-0.96984702612153206</v>
      </c>
    </row>
    <row r="1286" spans="1:9" x14ac:dyDescent="0.35">
      <c r="A1286" s="1" t="s">
        <v>1298</v>
      </c>
      <c r="B1286" t="str">
        <f>HYPERLINK("https://www.suredividend.com/sure-analysis-research-database/","Quantum-Si Incorporated")</f>
        <v>Quantum-Si Incorporated</v>
      </c>
      <c r="C1286">
        <v>-0.40178571428571402</v>
      </c>
      <c r="D1286">
        <v>-0.44628099173553698</v>
      </c>
      <c r="E1286">
        <v>-0.118421052631578</v>
      </c>
      <c r="F1286">
        <v>-0.26775956284153002</v>
      </c>
      <c r="G1286">
        <v>-0.48854961832061011</v>
      </c>
      <c r="H1286">
        <v>-0.8441860465116271</v>
      </c>
      <c r="I1286">
        <v>-0.86437246963562708</v>
      </c>
    </row>
    <row r="1287" spans="1:9" x14ac:dyDescent="0.35">
      <c r="A1287" s="1" t="s">
        <v>1299</v>
      </c>
      <c r="B1287" t="str">
        <f>HYPERLINK("https://www.suredividend.com/sure-analysis-research-database/","Quanterix Corp")</f>
        <v>Quanterix Corp</v>
      </c>
      <c r="C1287">
        <v>-0.204430625728721</v>
      </c>
      <c r="D1287">
        <v>-0.14171907756813401</v>
      </c>
      <c r="E1287">
        <v>0.58559256390395009</v>
      </c>
      <c r="F1287">
        <v>0.47797833935018003</v>
      </c>
      <c r="G1287">
        <v>1.326136363636363</v>
      </c>
      <c r="H1287">
        <v>-0.60413846451363307</v>
      </c>
      <c r="I1287">
        <v>0.14357541899441301</v>
      </c>
    </row>
    <row r="1288" spans="1:9" x14ac:dyDescent="0.35">
      <c r="A1288" s="1" t="s">
        <v>1300</v>
      </c>
      <c r="B1288" t="str">
        <f>HYPERLINK("https://www.suredividend.com/sure-analysis-research-database/","Q2 Holdings Inc")</f>
        <v>Q2 Holdings Inc</v>
      </c>
      <c r="C1288">
        <v>-1.7764165390504998E-2</v>
      </c>
      <c r="D1288">
        <v>-3.6068530207394013E-2</v>
      </c>
      <c r="E1288">
        <v>0.36120543293718099</v>
      </c>
      <c r="F1288">
        <v>0.19352437662820901</v>
      </c>
      <c r="G1288">
        <v>0.14699570815450599</v>
      </c>
      <c r="H1288">
        <v>-0.60693712464762806</v>
      </c>
      <c r="I1288">
        <v>-0.35264432781590599</v>
      </c>
    </row>
    <row r="1289" spans="1:9" x14ac:dyDescent="0.35">
      <c r="A1289" s="1" t="s">
        <v>1301</v>
      </c>
      <c r="B1289" t="str">
        <f>HYPERLINK("https://www.suredividend.com/sure-analysis-research-database/","Quad/Graphics Inc")</f>
        <v>Quad/Graphics Inc</v>
      </c>
      <c r="C1289">
        <v>-4.6370967741935012E-2</v>
      </c>
      <c r="D1289">
        <v>-7.2549019607842005E-2</v>
      </c>
      <c r="E1289">
        <v>0.197468354430379</v>
      </c>
      <c r="F1289">
        <v>0.15931372549019601</v>
      </c>
      <c r="G1289">
        <v>0.95454545454545403</v>
      </c>
      <c r="H1289">
        <v>9.2378752886836002E-2</v>
      </c>
      <c r="I1289">
        <v>-0.67721242561554806</v>
      </c>
    </row>
    <row r="1290" spans="1:9" x14ac:dyDescent="0.35">
      <c r="A1290" s="1" t="s">
        <v>1302</v>
      </c>
      <c r="B1290" t="str">
        <f>HYPERLINK("https://www.suredividend.com/sure-analysis-research-database/","Quotient Technology Inc")</f>
        <v>Quotient Technology Inc</v>
      </c>
      <c r="C1290">
        <v>7.5757575757570009E-3</v>
      </c>
      <c r="D1290">
        <v>0.32119205298013198</v>
      </c>
      <c r="E1290">
        <v>0.20909090909090899</v>
      </c>
      <c r="F1290">
        <v>0.163265306122448</v>
      </c>
      <c r="G1290">
        <v>1.2931034482758621</v>
      </c>
      <c r="H1290">
        <v>-0.42424242424242398</v>
      </c>
      <c r="I1290">
        <v>-0.73663366336633607</v>
      </c>
    </row>
    <row r="1291" spans="1:9" x14ac:dyDescent="0.35">
      <c r="A1291" s="1" t="s">
        <v>1303</v>
      </c>
      <c r="B1291" t="str">
        <f>HYPERLINK("https://www.suredividend.com/sure-analysis-research-database/","Rite Aid Corp.")</f>
        <v>Rite Aid Corp.</v>
      </c>
      <c r="C1291">
        <v>-2.9200359389037998E-2</v>
      </c>
      <c r="D1291">
        <v>-0.579025974025974</v>
      </c>
      <c r="E1291">
        <v>-0.73538775510204002</v>
      </c>
      <c r="F1291">
        <v>-0.80589820359281406</v>
      </c>
      <c r="G1291">
        <v>-0.83204663212435204</v>
      </c>
      <c r="H1291">
        <v>-0.95319133574007209</v>
      </c>
      <c r="I1291">
        <v>-0.96912857142857112</v>
      </c>
    </row>
    <row r="1292" spans="1:9" x14ac:dyDescent="0.35">
      <c r="A1292" s="1" t="s">
        <v>1304</v>
      </c>
      <c r="B1292" t="str">
        <f>HYPERLINK("https://www.suredividend.com/sure-analysis-research-database/","Radius Global Infrastructure Inc")</f>
        <v>Radius Global Infrastructure Inc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35">
      <c r="A1293" s="1" t="s">
        <v>1305</v>
      </c>
      <c r="B1293" t="str">
        <f>HYPERLINK("https://www.suredividend.com/sure-analysis-research-database/","LiveRamp Holdings Inc")</f>
        <v>LiveRamp Holdings Inc</v>
      </c>
      <c r="C1293">
        <v>-2.5947422328438999E-2</v>
      </c>
      <c r="D1293">
        <v>-5.2301255230120004E-3</v>
      </c>
      <c r="E1293">
        <v>0.23027166882276801</v>
      </c>
      <c r="F1293">
        <v>0.21715017064846401</v>
      </c>
      <c r="G1293">
        <v>0.65295480880648804</v>
      </c>
      <c r="H1293">
        <v>-0.46841811067635503</v>
      </c>
      <c r="I1293">
        <v>-0.36656305506216602</v>
      </c>
    </row>
    <row r="1294" spans="1:9" x14ac:dyDescent="0.35">
      <c r="A1294" s="1" t="s">
        <v>1306</v>
      </c>
      <c r="B1294" t="str">
        <f>HYPERLINK("https://www.suredividend.com/sure-analysis-research-database/","RAPT Therapeutics Inc")</f>
        <v>RAPT Therapeutics Inc</v>
      </c>
      <c r="C1294">
        <v>-0.37230769230769201</v>
      </c>
      <c r="D1294">
        <v>-0.40898116851762401</v>
      </c>
      <c r="E1294">
        <v>-0.27012522361359498</v>
      </c>
      <c r="F1294">
        <v>-0.38181818181818111</v>
      </c>
      <c r="G1294">
        <v>-0.41407371948300598</v>
      </c>
      <c r="H1294">
        <v>-0.62796352583586601</v>
      </c>
      <c r="I1294">
        <v>-5.8461538461538003E-2</v>
      </c>
    </row>
    <row r="1295" spans="1:9" x14ac:dyDescent="0.35">
      <c r="A1295" s="1" t="s">
        <v>1307</v>
      </c>
      <c r="B1295" t="str">
        <f>HYPERLINK("https://www.suredividend.com/sure-analysis-research-database/","RBB Bancorp")</f>
        <v>RBB Bancorp</v>
      </c>
      <c r="C1295">
        <v>-5.2910052910052997E-2</v>
      </c>
      <c r="D1295">
        <v>1.4057606241349999E-2</v>
      </c>
      <c r="E1295">
        <v>-6.0811165328716013E-2</v>
      </c>
      <c r="F1295">
        <v>-0.36434981559549701</v>
      </c>
      <c r="G1295">
        <v>-0.364023956958684</v>
      </c>
      <c r="H1295">
        <v>-0.46911503637388202</v>
      </c>
      <c r="I1295">
        <v>-0.37236083491537098</v>
      </c>
    </row>
    <row r="1296" spans="1:9" x14ac:dyDescent="0.35">
      <c r="A1296" s="1" t="s">
        <v>1308</v>
      </c>
      <c r="B1296" t="str">
        <f>HYPERLINK("https://www.suredividend.com/sure-analysis-research-database/","Ribbon Communications Inc")</f>
        <v>Ribbon Communications Inc</v>
      </c>
      <c r="C1296">
        <v>-0.26595744680851002</v>
      </c>
      <c r="D1296">
        <v>-0.28373702422145303</v>
      </c>
      <c r="E1296">
        <v>-0.26071428571428501</v>
      </c>
      <c r="F1296">
        <v>-0.25806451612903197</v>
      </c>
      <c r="G1296">
        <v>-9.9999999999999006E-2</v>
      </c>
      <c r="H1296">
        <v>-0.66612903225806408</v>
      </c>
      <c r="I1296">
        <v>-0.6387434554973821</v>
      </c>
    </row>
    <row r="1297" spans="1:9" x14ac:dyDescent="0.35">
      <c r="A1297" s="1" t="s">
        <v>1309</v>
      </c>
      <c r="B1297" t="str">
        <f>HYPERLINK("https://www.suredividend.com/sure-analysis-research-database/","RBC Bearings Inc.")</f>
        <v>RBC Bearings Inc.</v>
      </c>
      <c r="C1297">
        <v>-1.0074937552039E-2</v>
      </c>
      <c r="D1297">
        <v>8.8487067978942013E-2</v>
      </c>
      <c r="E1297">
        <v>9.3593340385411006E-2</v>
      </c>
      <c r="F1297">
        <v>0.13580128970623301</v>
      </c>
      <c r="G1297">
        <v>0.12213308164228399</v>
      </c>
      <c r="H1297">
        <v>7.2772388901421001E-2</v>
      </c>
      <c r="I1297">
        <v>0.71249549873964702</v>
      </c>
    </row>
    <row r="1298" spans="1:9" x14ac:dyDescent="0.35">
      <c r="A1298" s="1" t="s">
        <v>1310</v>
      </c>
      <c r="B1298" t="str">
        <f>HYPERLINK("https://www.suredividend.com/sure-analysis-RBCAA/","Republic Bancorp, Inc. (KY)")</f>
        <v>Republic Bancorp, Inc. (KY)</v>
      </c>
      <c r="C1298">
        <v>2.4909420289850001E-3</v>
      </c>
      <c r="D1298">
        <v>4.0469492174737998E-2</v>
      </c>
      <c r="E1298">
        <v>0.15440077811879799</v>
      </c>
      <c r="F1298">
        <v>0.12899976282589101</v>
      </c>
      <c r="G1298">
        <v>0.14550827239653599</v>
      </c>
      <c r="H1298">
        <v>-7.8852091985784009E-2</v>
      </c>
      <c r="I1298">
        <v>0.19786565072218201</v>
      </c>
    </row>
    <row r="1299" spans="1:9" x14ac:dyDescent="0.35">
      <c r="A1299" s="1" t="s">
        <v>1311</v>
      </c>
      <c r="B1299" t="str">
        <f>HYPERLINK("https://www.suredividend.com/sure-analysis-research-database/","Vicarious Surgical Inc")</f>
        <v>Vicarious Surgical Inc</v>
      </c>
      <c r="C1299">
        <v>-0.46782393056416599</v>
      </c>
      <c r="D1299">
        <v>-0.77528795811518303</v>
      </c>
      <c r="E1299">
        <v>-0.79658767772511807</v>
      </c>
      <c r="F1299">
        <v>-0.78752475247524711</v>
      </c>
      <c r="G1299">
        <v>-0.8667080745341611</v>
      </c>
      <c r="H1299">
        <v>-0.95939451277199606</v>
      </c>
      <c r="I1299">
        <v>-0.95597948717948711</v>
      </c>
    </row>
    <row r="1300" spans="1:9" x14ac:dyDescent="0.35">
      <c r="A1300" s="1" t="s">
        <v>1312</v>
      </c>
      <c r="B1300" t="str">
        <f>HYPERLINK("https://www.suredividend.com/sure-analysis-research-database/","Ready Capital Corp")</f>
        <v>Ready Capital Corp</v>
      </c>
      <c r="C1300">
        <v>-4.3364937861216001E-2</v>
      </c>
      <c r="D1300">
        <v>-8.6655065773458009E-2</v>
      </c>
      <c r="E1300">
        <v>7.7739831689593003E-2</v>
      </c>
      <c r="F1300">
        <v>1.8346318170394001E-2</v>
      </c>
      <c r="G1300">
        <v>0.126607055473997</v>
      </c>
      <c r="H1300">
        <v>-0.113689257528829</v>
      </c>
      <c r="I1300">
        <v>0.22422836149179401</v>
      </c>
    </row>
    <row r="1301" spans="1:9" x14ac:dyDescent="0.35">
      <c r="A1301" s="1" t="s">
        <v>1313</v>
      </c>
      <c r="B1301" t="str">
        <f>HYPERLINK("https://www.suredividend.com/sure-analysis-research-database/","Rocket Pharmaceuticals Inc")</f>
        <v>Rocket Pharmaceuticals Inc</v>
      </c>
      <c r="C1301">
        <v>-0.25159914712153503</v>
      </c>
      <c r="D1301">
        <v>-0.110040567951318</v>
      </c>
      <c r="E1301">
        <v>-1.6255605381165002E-2</v>
      </c>
      <c r="F1301">
        <v>-0.103219213081246</v>
      </c>
      <c r="G1301">
        <v>7.4051407588739002E-2</v>
      </c>
      <c r="H1301">
        <v>-0.37141833810888197</v>
      </c>
      <c r="I1301">
        <v>-0.110491637100861</v>
      </c>
    </row>
    <row r="1302" spans="1:9" x14ac:dyDescent="0.35">
      <c r="A1302" s="1" t="s">
        <v>1314</v>
      </c>
      <c r="B1302" t="str">
        <f>HYPERLINK("https://www.suredividend.com/sure-analysis-research-database/","Rocky Brands, Inc")</f>
        <v>Rocky Brands, Inc</v>
      </c>
      <c r="C1302">
        <v>-0.28984685195689103</v>
      </c>
      <c r="D1302">
        <v>-0.42418249551579801</v>
      </c>
      <c r="E1302">
        <v>-0.49930814943972102</v>
      </c>
      <c r="F1302">
        <v>-0.44909157312517312</v>
      </c>
      <c r="G1302">
        <v>-0.31120610451842201</v>
      </c>
      <c r="H1302">
        <v>-0.73817336185821603</v>
      </c>
      <c r="I1302">
        <v>-0.43603857640280802</v>
      </c>
    </row>
    <row r="1303" spans="1:9" x14ac:dyDescent="0.35">
      <c r="A1303" s="1" t="s">
        <v>1315</v>
      </c>
      <c r="B1303" t="str">
        <f>HYPERLINK("https://www.suredividend.com/sure-analysis-research-database/","R1 RCM Inc.")</f>
        <v>R1 RCM Inc.</v>
      </c>
      <c r="C1303">
        <v>-0.14728682170542601</v>
      </c>
      <c r="D1303">
        <v>-0.28532755820249001</v>
      </c>
      <c r="E1303">
        <v>-0.12928759894459099</v>
      </c>
      <c r="F1303">
        <v>0.20547945205479401</v>
      </c>
      <c r="G1303">
        <v>-0.23478260869565201</v>
      </c>
      <c r="H1303">
        <v>-0.35452322738386299</v>
      </c>
      <c r="I1303">
        <v>-0.35452322738386299</v>
      </c>
    </row>
    <row r="1304" spans="1:9" x14ac:dyDescent="0.35">
      <c r="A1304" s="1" t="s">
        <v>1316</v>
      </c>
      <c r="B1304" t="str">
        <f>HYPERLINK("https://www.suredividend.com/sure-analysis-research-database/","Arcus Biosciences Inc")</f>
        <v>Arcus Biosciences Inc</v>
      </c>
      <c r="C1304">
        <v>-0.21633446767136599</v>
      </c>
      <c r="D1304">
        <v>-0.26392694063926903</v>
      </c>
      <c r="E1304">
        <v>-8.0957810718357004E-2</v>
      </c>
      <c r="F1304">
        <v>-0.220502901353965</v>
      </c>
      <c r="G1304">
        <v>-0.39489489489489399</v>
      </c>
      <c r="H1304">
        <v>-0.53125908694387902</v>
      </c>
      <c r="I1304">
        <v>0.30950446791226599</v>
      </c>
    </row>
    <row r="1305" spans="1:9" x14ac:dyDescent="0.35">
      <c r="A1305" s="1" t="s">
        <v>1317</v>
      </c>
      <c r="B1305" t="str">
        <f>HYPERLINK("https://www.suredividend.com/sure-analysis-research-database/","Redfin Corp")</f>
        <v>Redfin Corp</v>
      </c>
      <c r="C1305">
        <v>-0.29291716686674601</v>
      </c>
      <c r="D1305">
        <v>-0.64496684749849309</v>
      </c>
      <c r="E1305">
        <v>-0.33671171171171099</v>
      </c>
      <c r="F1305">
        <v>0.38915094339622602</v>
      </c>
      <c r="G1305">
        <v>0.43658536585365798</v>
      </c>
      <c r="H1305">
        <v>-0.88547540346101405</v>
      </c>
      <c r="I1305">
        <v>-0.63438857852265607</v>
      </c>
    </row>
    <row r="1306" spans="1:9" x14ac:dyDescent="0.35">
      <c r="A1306" s="1" t="s">
        <v>1318</v>
      </c>
      <c r="B1306" t="str">
        <f>HYPERLINK("https://www.suredividend.com/sure-analysis-research-database/","Radian Group, Inc.")</f>
        <v>Radian Group, Inc.</v>
      </c>
      <c r="C1306">
        <v>6.9018404907969996E-3</v>
      </c>
      <c r="D1306">
        <v>3.0139221785914001E-2</v>
      </c>
      <c r="E1306">
        <v>0.13667352018179801</v>
      </c>
      <c r="F1306">
        <v>0.41588530574172211</v>
      </c>
      <c r="G1306">
        <v>0.45224888426804111</v>
      </c>
      <c r="H1306">
        <v>0.162044596669631</v>
      </c>
      <c r="I1306">
        <v>0.56861339593450699</v>
      </c>
    </row>
    <row r="1307" spans="1:9" x14ac:dyDescent="0.35">
      <c r="A1307" s="1" t="s">
        <v>1319</v>
      </c>
      <c r="B1307" t="str">
        <f>HYPERLINK("https://www.suredividend.com/sure-analysis-research-database/","Radnet Inc")</f>
        <v>Radnet Inc</v>
      </c>
      <c r="C1307">
        <v>2.8761837951594999E-2</v>
      </c>
      <c r="D1307">
        <v>-6.0237103492470002E-2</v>
      </c>
      <c r="E1307">
        <v>7.4358974358974012E-2</v>
      </c>
      <c r="F1307">
        <v>0.55762081784386608</v>
      </c>
      <c r="G1307">
        <v>0.5811320754716981</v>
      </c>
      <c r="H1307">
        <v>1.9110493398192999E-2</v>
      </c>
      <c r="I1307">
        <v>0.87412140575079811</v>
      </c>
    </row>
    <row r="1308" spans="1:9" x14ac:dyDescent="0.35">
      <c r="A1308" s="1" t="s">
        <v>1320</v>
      </c>
      <c r="B1308" t="str">
        <f>HYPERLINK("https://www.suredividend.com/sure-analysis-research-database/","Red Violet Inc")</f>
        <v>Red Violet Inc</v>
      </c>
      <c r="C1308">
        <v>-6.6135084427766999E-2</v>
      </c>
      <c r="D1308">
        <v>-3.9092664092663001E-2</v>
      </c>
      <c r="E1308">
        <v>0.23129251700680201</v>
      </c>
      <c r="F1308">
        <v>-0.135099913119026</v>
      </c>
      <c r="G1308">
        <v>0.21736472026903</v>
      </c>
      <c r="H1308">
        <v>-0.37291338582677103</v>
      </c>
      <c r="I1308">
        <v>2.5553571428571429</v>
      </c>
    </row>
    <row r="1309" spans="1:9" x14ac:dyDescent="0.35">
      <c r="A1309" s="1" t="s">
        <v>1321</v>
      </c>
      <c r="B1309" t="str">
        <f>HYPERLINK("https://www.suredividend.com/sure-analysis-research-database/","Redwire Corporation")</f>
        <v>Redwire Corporation</v>
      </c>
      <c r="C1309">
        <v>-0.193939393939393</v>
      </c>
      <c r="D1309">
        <v>-0.213017751479289</v>
      </c>
      <c r="E1309">
        <v>-7.3170731707316999E-2</v>
      </c>
      <c r="F1309">
        <v>0.34343434343434298</v>
      </c>
      <c r="G1309">
        <v>0.108333333333333</v>
      </c>
      <c r="H1309">
        <v>-0.74048780487804811</v>
      </c>
      <c r="I1309">
        <v>-0.78267973856209105</v>
      </c>
    </row>
    <row r="1310" spans="1:9" x14ac:dyDescent="0.35">
      <c r="A1310" s="1" t="s">
        <v>1322</v>
      </c>
      <c r="B1310" t="str">
        <f>HYPERLINK("https://www.suredividend.com/sure-analysis-research-database/","Therealreal Inc")</f>
        <v>Therealreal Inc</v>
      </c>
      <c r="C1310">
        <v>-0.32340425531914802</v>
      </c>
      <c r="D1310">
        <v>-0.334728033472803</v>
      </c>
      <c r="E1310">
        <v>0.38260869565217398</v>
      </c>
      <c r="F1310">
        <v>0.27200000000000002</v>
      </c>
      <c r="G1310">
        <v>0.292682926829268</v>
      </c>
      <c r="H1310">
        <v>-0.86582278481012609</v>
      </c>
      <c r="I1310">
        <v>-0.9449826989619371</v>
      </c>
    </row>
    <row r="1311" spans="1:9" x14ac:dyDescent="0.35">
      <c r="A1311" s="1" t="s">
        <v>1323</v>
      </c>
      <c r="B1311" t="str">
        <f>HYPERLINK("https://www.suredividend.com/sure-analysis-research-database/","Chicago Atlantic Real Estate Finance Inc")</f>
        <v>Chicago Atlantic Real Estate Finance Inc</v>
      </c>
      <c r="C1311">
        <v>4.6897072604444007E-2</v>
      </c>
      <c r="D1311">
        <v>5.1736735611510001E-2</v>
      </c>
      <c r="E1311">
        <v>0.22871096154635301</v>
      </c>
      <c r="F1311">
        <v>0.164409666855938</v>
      </c>
      <c r="G1311">
        <v>0.18861407757354401</v>
      </c>
      <c r="H1311">
        <v>0.178211353959246</v>
      </c>
      <c r="I1311">
        <v>0.178211353959246</v>
      </c>
    </row>
    <row r="1312" spans="1:9" x14ac:dyDescent="0.35">
      <c r="A1312" s="1" t="s">
        <v>1324</v>
      </c>
      <c r="B1312" t="str">
        <f>HYPERLINK("https://www.suredividend.com/sure-analysis-research-database/","Ring Energy Inc")</f>
        <v>Ring Energy Inc</v>
      </c>
      <c r="C1312">
        <v>-8.2901554404145011E-2</v>
      </c>
      <c r="D1312">
        <v>-0.119402985074626</v>
      </c>
      <c r="E1312">
        <v>-0.119402985074626</v>
      </c>
      <c r="F1312">
        <v>-0.28048780487804797</v>
      </c>
      <c r="G1312">
        <v>-0.35401459854014611</v>
      </c>
      <c r="H1312">
        <v>-0.53785900783289808</v>
      </c>
      <c r="I1312">
        <v>-0.78978622327790904</v>
      </c>
    </row>
    <row r="1313" spans="1:9" x14ac:dyDescent="0.35">
      <c r="A1313" s="1" t="s">
        <v>1325</v>
      </c>
      <c r="B1313" t="str">
        <f>HYPERLINK("https://www.suredividend.com/sure-analysis-research-database/","Remitly Global Inc")</f>
        <v>Remitly Global Inc</v>
      </c>
      <c r="C1313">
        <v>8.4615384615379999E-3</v>
      </c>
      <c r="D1313">
        <v>0.34807197943444701</v>
      </c>
      <c r="E1313">
        <v>0.52</v>
      </c>
      <c r="F1313">
        <v>1.289956331877729</v>
      </c>
      <c r="G1313">
        <v>1.7170984455958549</v>
      </c>
      <c r="H1313">
        <v>-0.34776119402985001</v>
      </c>
      <c r="I1313">
        <v>-0.45882352941176402</v>
      </c>
    </row>
    <row r="1314" spans="1:9" x14ac:dyDescent="0.35">
      <c r="A1314" s="1" t="s">
        <v>1326</v>
      </c>
      <c r="B1314" t="str">
        <f>HYPERLINK("https://www.suredividend.com/sure-analysis-research-database/","Rent the Runway Inc")</f>
        <v>Rent the Runway Inc</v>
      </c>
      <c r="C1314">
        <v>-0.30790697674418599</v>
      </c>
      <c r="D1314">
        <v>-0.67296703296703309</v>
      </c>
      <c r="E1314">
        <v>-0.81341692789968612</v>
      </c>
      <c r="F1314">
        <v>-0.80485245901639302</v>
      </c>
      <c r="G1314">
        <v>-0.66748603351955305</v>
      </c>
      <c r="H1314">
        <v>-0.96914463452566002</v>
      </c>
      <c r="I1314">
        <v>-0.96914463452566002</v>
      </c>
    </row>
    <row r="1315" spans="1:9" x14ac:dyDescent="0.35">
      <c r="A1315" s="1" t="s">
        <v>1327</v>
      </c>
      <c r="B1315" t="str">
        <f>HYPERLINK("https://www.suredividend.com/sure-analysis-research-database/","Replimune Group Inc")</f>
        <v>Replimune Group Inc</v>
      </c>
      <c r="C1315">
        <v>-0.14868641699273299</v>
      </c>
      <c r="D1315">
        <v>-0.262826718296224</v>
      </c>
      <c r="E1315">
        <v>-5.5796652200867013E-2</v>
      </c>
      <c r="F1315">
        <v>-0.44007352941176398</v>
      </c>
      <c r="G1315">
        <v>-0.183815648445873</v>
      </c>
      <c r="H1315">
        <v>-0.49485903814262011</v>
      </c>
      <c r="I1315">
        <v>0.21742605915267799</v>
      </c>
    </row>
    <row r="1316" spans="1:9" x14ac:dyDescent="0.35">
      <c r="A1316" s="1" t="s">
        <v>1328</v>
      </c>
      <c r="B1316" t="str">
        <f>HYPERLINK("https://www.suredividend.com/sure-analysis-research-database/","Riley Exploration Permian Inc.")</f>
        <v>Riley Exploration Permian Inc.</v>
      </c>
      <c r="C1316">
        <v>7.3248407643310004E-3</v>
      </c>
      <c r="D1316">
        <v>-8.1689830070520011E-2</v>
      </c>
      <c r="E1316">
        <v>-0.29243172626078201</v>
      </c>
      <c r="F1316">
        <v>0.122534806386701</v>
      </c>
      <c r="G1316">
        <v>0.44871777255634698</v>
      </c>
      <c r="H1316">
        <v>0.35351987915459498</v>
      </c>
      <c r="I1316">
        <v>1.2413866409671339</v>
      </c>
    </row>
    <row r="1317" spans="1:9" x14ac:dyDescent="0.35">
      <c r="A1317" s="1" t="s">
        <v>1329</v>
      </c>
      <c r="B1317" t="str">
        <f>HYPERLINK("https://www.suredividend.com/sure-analysis-research-database/","RPC, Inc.")</f>
        <v>RPC, Inc.</v>
      </c>
      <c r="C1317">
        <v>1.8264840182647998E-2</v>
      </c>
      <c r="D1317">
        <v>0.10116659465465</v>
      </c>
      <c r="E1317">
        <v>0.17849121416303301</v>
      </c>
      <c r="F1317">
        <v>1.8462487012319E-2</v>
      </c>
      <c r="G1317">
        <v>0.14970677321647199</v>
      </c>
      <c r="H1317">
        <v>0.612844899287599</v>
      </c>
      <c r="I1317">
        <v>-0.39581541212568611</v>
      </c>
    </row>
    <row r="1318" spans="1:9" x14ac:dyDescent="0.35">
      <c r="A1318" s="1" t="s">
        <v>1330</v>
      </c>
      <c r="B1318" t="str">
        <f>HYPERLINK("https://www.suredividend.com/sure-analysis-research-database/","Reata Pharmaceuticals Inc")</f>
        <v>Reata Pharmaceuticals Inc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9" x14ac:dyDescent="0.35">
      <c r="A1319" s="1" t="s">
        <v>1331</v>
      </c>
      <c r="B1319" t="str">
        <f>HYPERLINK("https://www.suredividend.com/sure-analysis-research-database/","REV Group Inc")</f>
        <v>REV Group Inc</v>
      </c>
      <c r="C1319">
        <v>3.6902111583350002E-2</v>
      </c>
      <c r="D1319">
        <v>0.172530591071374</v>
      </c>
      <c r="E1319">
        <v>0.34587262808556801</v>
      </c>
      <c r="F1319">
        <v>0.23168894444978599</v>
      </c>
      <c r="G1319">
        <v>0.29722156578103298</v>
      </c>
      <c r="H1319">
        <v>5.4147662974520012E-2</v>
      </c>
      <c r="I1319">
        <v>0.22609826335984401</v>
      </c>
    </row>
    <row r="1320" spans="1:9" x14ac:dyDescent="0.35">
      <c r="A1320" s="1" t="s">
        <v>1332</v>
      </c>
      <c r="B1320" t="str">
        <f>HYPERLINK("https://www.suredividend.com/sure-analysis-research-database/","REX American Resources Corp")</f>
        <v>REX American Resources Corp</v>
      </c>
      <c r="C1320">
        <v>-8.2929318703750005E-2</v>
      </c>
      <c r="D1320">
        <v>2.656383890317E-2</v>
      </c>
      <c r="E1320">
        <v>0.24618585298196899</v>
      </c>
      <c r="F1320">
        <v>0.128060263653484</v>
      </c>
      <c r="G1320">
        <v>0.23505154639175199</v>
      </c>
      <c r="H1320">
        <v>0.243168453822206</v>
      </c>
      <c r="I1320">
        <v>0.43320293340032701</v>
      </c>
    </row>
    <row r="1321" spans="1:9" x14ac:dyDescent="0.35">
      <c r="A1321" s="1" t="s">
        <v>1333</v>
      </c>
      <c r="B1321" t="str">
        <f>HYPERLINK("https://www.suredividend.com/sure-analysis-research-database/","Resideo Technologies Inc")</f>
        <v>Resideo Technologies Inc</v>
      </c>
      <c r="C1321">
        <v>-8.1670822942643009E-2</v>
      </c>
      <c r="D1321">
        <v>-0.18798235942668101</v>
      </c>
      <c r="E1321">
        <v>-0.181666666666666</v>
      </c>
      <c r="F1321">
        <v>-0.104559270516717</v>
      </c>
      <c r="G1321">
        <v>-0.29555236728837803</v>
      </c>
      <c r="H1321">
        <v>-0.41477949940405201</v>
      </c>
      <c r="I1321">
        <v>-0.49206896551724111</v>
      </c>
    </row>
    <row r="1322" spans="1:9" x14ac:dyDescent="0.35">
      <c r="A1322" s="1" t="s">
        <v>1334</v>
      </c>
      <c r="B1322" t="str">
        <f>HYPERLINK("https://www.suredividend.com/sure-analysis-research-database/","Regenxbio Inc")</f>
        <v>Regenxbio Inc</v>
      </c>
      <c r="C1322">
        <v>-9.505061867266501E-2</v>
      </c>
      <c r="D1322">
        <v>-0.14687168610816501</v>
      </c>
      <c r="E1322">
        <v>-0.15137130801687701</v>
      </c>
      <c r="F1322">
        <v>-0.29056437389770701</v>
      </c>
      <c r="G1322">
        <v>-0.28073312472060802</v>
      </c>
      <c r="H1322">
        <v>-0.55243393602225299</v>
      </c>
      <c r="I1322">
        <v>-0.72807165793476403</v>
      </c>
    </row>
    <row r="1323" spans="1:9" x14ac:dyDescent="0.35">
      <c r="A1323" s="1" t="s">
        <v>1335</v>
      </c>
      <c r="B1323" t="str">
        <f>HYPERLINK("https://www.suredividend.com/sure-analysis-research-database/","Resources Connection Inc")</f>
        <v>Resources Connection Inc</v>
      </c>
      <c r="C1323">
        <v>-7.8860172299535999E-2</v>
      </c>
      <c r="D1323">
        <v>-0.14065446272356799</v>
      </c>
      <c r="E1323">
        <v>-9.3482202251294014E-2</v>
      </c>
      <c r="F1323">
        <v>-0.21663219472607401</v>
      </c>
      <c r="G1323">
        <v>-0.17444705770555599</v>
      </c>
      <c r="H1323">
        <v>-0.15042906388284399</v>
      </c>
      <c r="I1323">
        <v>-0.12872329756293199</v>
      </c>
    </row>
    <row r="1324" spans="1:9" x14ac:dyDescent="0.35">
      <c r="A1324" s="1" t="s">
        <v>1336</v>
      </c>
      <c r="B1324" t="str">
        <f>HYPERLINK("https://www.suredividend.com/sure-analysis-research-database/","Sturm, Ruger &amp; Co., Inc.")</f>
        <v>Sturm, Ruger &amp; Co., Inc.</v>
      </c>
      <c r="C1324">
        <v>8.1425442962373001E-2</v>
      </c>
      <c r="D1324">
        <v>1.7853662924043001E-2</v>
      </c>
      <c r="E1324">
        <v>-5.1449107066459013E-2</v>
      </c>
      <c r="F1324">
        <v>9.4814746138823014E-2</v>
      </c>
      <c r="G1324">
        <v>0.16637106575223601</v>
      </c>
      <c r="H1324">
        <v>-0.180944597657127</v>
      </c>
      <c r="I1324">
        <v>0.13358431346360899</v>
      </c>
    </row>
    <row r="1325" spans="1:9" x14ac:dyDescent="0.35">
      <c r="A1325" s="1" t="s">
        <v>1337</v>
      </c>
      <c r="B1325" t="str">
        <f>HYPERLINK("https://www.suredividend.com/sure-analysis-research-database/","Rigetti Computing Inc")</f>
        <v>Rigetti Computing Inc</v>
      </c>
      <c r="C1325">
        <v>-0.247311827956989</v>
      </c>
      <c r="D1325">
        <v>-0.204545454545454</v>
      </c>
      <c r="E1325">
        <v>1.8011204481792711</v>
      </c>
      <c r="F1325">
        <v>0.91991223258365307</v>
      </c>
      <c r="G1325">
        <v>-0.13043478260869501</v>
      </c>
      <c r="H1325">
        <v>-0.85153764581124003</v>
      </c>
      <c r="I1325">
        <v>-0.85153764581124003</v>
      </c>
    </row>
    <row r="1326" spans="1:9" x14ac:dyDescent="0.35">
      <c r="A1326" s="1" t="s">
        <v>1338</v>
      </c>
      <c r="B1326" t="str">
        <f>HYPERLINK("https://www.suredividend.com/sure-analysis-research-database/","Ryman Hospitality Properties Inc")</f>
        <v>Ryman Hospitality Properties Inc</v>
      </c>
      <c r="C1326">
        <v>-1.2930086761034999E-2</v>
      </c>
      <c r="D1326">
        <v>-8.9590972039218009E-2</v>
      </c>
      <c r="E1326">
        <v>-4.9421047029596002E-2</v>
      </c>
      <c r="F1326">
        <v>6.0079149209139003E-2</v>
      </c>
      <c r="G1326">
        <v>8.1138859697925003E-2</v>
      </c>
      <c r="H1326">
        <v>3.4224898025055003E-2</v>
      </c>
      <c r="I1326">
        <v>0.232945115951181</v>
      </c>
    </row>
    <row r="1327" spans="1:9" x14ac:dyDescent="0.35">
      <c r="A1327" s="1" t="s">
        <v>1339</v>
      </c>
      <c r="B1327" t="str">
        <f>HYPERLINK("https://www.suredividend.com/sure-analysis-research-database/","RCI Hospitality Holdings Inc")</f>
        <v>RCI Hospitality Holdings Inc</v>
      </c>
      <c r="C1327">
        <v>-0.17971698113207499</v>
      </c>
      <c r="D1327">
        <v>-0.25147853434991801</v>
      </c>
      <c r="E1327">
        <v>-0.30347780461330798</v>
      </c>
      <c r="F1327">
        <v>-0.43781297717738299</v>
      </c>
      <c r="G1327">
        <v>-0.28230652403592099</v>
      </c>
      <c r="H1327">
        <v>-0.25466424174194502</v>
      </c>
      <c r="I1327">
        <v>0.96062219783606206</v>
      </c>
    </row>
    <row r="1328" spans="1:9" x14ac:dyDescent="0.35">
      <c r="A1328" s="1" t="s">
        <v>1340</v>
      </c>
      <c r="B1328" t="str">
        <f>HYPERLINK("https://www.suredividend.com/sure-analysis-research-database/","Lordstown Motors Corp.")</f>
        <v>Lordstown Motors Corp.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 x14ac:dyDescent="0.35">
      <c r="A1329" s="1" t="s">
        <v>1341</v>
      </c>
      <c r="B1329" t="str">
        <f>HYPERLINK("https://www.suredividend.com/sure-analysis-research-database/","Rigel Pharmaceuticals")</f>
        <v>Rigel Pharmaceuticals</v>
      </c>
      <c r="C1329">
        <v>-0.17526315789473601</v>
      </c>
      <c r="D1329">
        <v>-0.25380952380952299</v>
      </c>
      <c r="E1329">
        <v>-0.23560975609755999</v>
      </c>
      <c r="F1329">
        <v>-0.37319999999999998</v>
      </c>
      <c r="G1329">
        <v>0.158880808578824</v>
      </c>
      <c r="H1329">
        <v>-0.72183431952662702</v>
      </c>
      <c r="I1329">
        <v>-0.6876411960132891</v>
      </c>
    </row>
    <row r="1330" spans="1:9" x14ac:dyDescent="0.35">
      <c r="A1330" s="1" t="s">
        <v>1342</v>
      </c>
      <c r="B1330" t="str">
        <f>HYPERLINK("https://www.suredividend.com/sure-analysis-research-database/","B. Riley Financial Inc")</f>
        <v>B. Riley Financial Inc</v>
      </c>
      <c r="C1330">
        <v>-0.12986445124617399</v>
      </c>
      <c r="D1330">
        <v>-0.16677483241287699</v>
      </c>
      <c r="E1330">
        <v>0.56793532857700002</v>
      </c>
      <c r="F1330">
        <v>0.314950458085128</v>
      </c>
      <c r="G1330">
        <v>0.12540647532871399</v>
      </c>
      <c r="H1330">
        <v>-0.20379298617640501</v>
      </c>
      <c r="I1330">
        <v>1.754973488571705</v>
      </c>
    </row>
    <row r="1331" spans="1:9" x14ac:dyDescent="0.35">
      <c r="A1331" s="1" t="s">
        <v>1343</v>
      </c>
      <c r="B1331" t="str">
        <f>HYPERLINK("https://www.suredividend.com/sure-analysis-research-database/","Riot Platforms Inc")</f>
        <v>Riot Platforms Inc</v>
      </c>
      <c r="C1331">
        <v>-0.15041782729805001</v>
      </c>
      <c r="D1331">
        <v>-0.52144351464435101</v>
      </c>
      <c r="E1331">
        <v>-0.32121661721068201</v>
      </c>
      <c r="F1331">
        <v>1.6991150442477869</v>
      </c>
      <c r="G1331">
        <v>0.58854166666666607</v>
      </c>
      <c r="H1331">
        <v>-0.67145421903052005</v>
      </c>
      <c r="I1331">
        <v>2.3888888888888888</v>
      </c>
    </row>
    <row r="1332" spans="1:9" x14ac:dyDescent="0.35">
      <c r="A1332" s="1" t="s">
        <v>1344</v>
      </c>
      <c r="B1332" t="str">
        <f>HYPERLINK("https://www.suredividend.com/sure-analysis-research-database/","Rocket Lab USA Inc")</f>
        <v>Rocket Lab USA Inc</v>
      </c>
      <c r="C1332">
        <v>-0.162109375</v>
      </c>
      <c r="D1332">
        <v>-0.321202531645569</v>
      </c>
      <c r="E1332">
        <v>6.7164179104477001E-2</v>
      </c>
      <c r="F1332">
        <v>0.13793103448275801</v>
      </c>
      <c r="G1332">
        <v>8.6075949367088012E-2</v>
      </c>
      <c r="H1332">
        <v>-0.66484375000000007</v>
      </c>
      <c r="I1332">
        <v>-0.58868648130393109</v>
      </c>
    </row>
    <row r="1333" spans="1:9" x14ac:dyDescent="0.35">
      <c r="A1333" s="1" t="s">
        <v>1345</v>
      </c>
      <c r="B1333" t="str">
        <f>HYPERLINK("https://www.suredividend.com/sure-analysis-research-database/","Relay Therapeutics Inc")</f>
        <v>Relay Therapeutics Inc</v>
      </c>
      <c r="C1333">
        <v>-0.173959445037353</v>
      </c>
      <c r="D1333">
        <v>-0.36713000817661401</v>
      </c>
      <c r="E1333">
        <v>-0.55619266055045802</v>
      </c>
      <c r="F1333">
        <v>-0.48192771084337299</v>
      </c>
      <c r="G1333">
        <v>-0.60328036904151705</v>
      </c>
      <c r="H1333">
        <v>-0.77308707124010501</v>
      </c>
      <c r="I1333">
        <v>-0.77917261055634801</v>
      </c>
    </row>
    <row r="1334" spans="1:9" x14ac:dyDescent="0.35">
      <c r="A1334" s="1" t="s">
        <v>1346</v>
      </c>
      <c r="B1334" t="str">
        <f>HYPERLINK("https://www.suredividend.com/sure-analysis-research-database/","Radiant Logistics, Inc.")</f>
        <v>Radiant Logistics, Inc.</v>
      </c>
      <c r="C1334">
        <v>-2.1848739495797999E-2</v>
      </c>
      <c r="D1334">
        <v>-0.189415041782729</v>
      </c>
      <c r="E1334">
        <v>-0.11415525114155201</v>
      </c>
      <c r="F1334">
        <v>0.14341846758349699</v>
      </c>
      <c r="G1334">
        <v>4.3010752688171998E-2</v>
      </c>
      <c r="H1334">
        <v>-5.2117263843648003E-2</v>
      </c>
      <c r="I1334">
        <v>0.12138728323699401</v>
      </c>
    </row>
    <row r="1335" spans="1:9" x14ac:dyDescent="0.35">
      <c r="A1335" s="1" t="s">
        <v>1347</v>
      </c>
      <c r="B1335" t="str">
        <f>HYPERLINK("https://www.suredividend.com/sure-analysis-RLI/","RLI Corp.")</f>
        <v>RLI Corp.</v>
      </c>
      <c r="C1335">
        <v>-1.482292807594E-2</v>
      </c>
      <c r="D1335">
        <v>1.3962653527939E-2</v>
      </c>
      <c r="E1335">
        <v>5.2444366786066003E-2</v>
      </c>
      <c r="F1335">
        <v>3.4202578607674013E-2</v>
      </c>
      <c r="G1335">
        <v>0.24033915351357299</v>
      </c>
      <c r="H1335">
        <v>0.35041807710554801</v>
      </c>
      <c r="I1335">
        <v>1.0204107609485089</v>
      </c>
    </row>
    <row r="1336" spans="1:9" x14ac:dyDescent="0.35">
      <c r="A1336" s="1" t="s">
        <v>1348</v>
      </c>
      <c r="B1336" t="str">
        <f>HYPERLINK("https://www.suredividend.com/sure-analysis-research-database/","RLJ Lodging Trust")</f>
        <v>RLJ Lodging Trust</v>
      </c>
      <c r="C1336">
        <v>-3.9743396982908998E-2</v>
      </c>
      <c r="D1336">
        <v>-3.8789557120782997E-2</v>
      </c>
      <c r="E1336">
        <v>-5.3518677692482003E-2</v>
      </c>
      <c r="F1336">
        <v>-7.1147394752661006E-2</v>
      </c>
      <c r="G1336">
        <v>-7.6216925094499011E-2</v>
      </c>
      <c r="H1336">
        <v>-0.33150042566256799</v>
      </c>
      <c r="I1336">
        <v>-0.43860389344022099</v>
      </c>
    </row>
    <row r="1337" spans="1:9" x14ac:dyDescent="0.35">
      <c r="A1337" s="1" t="s">
        <v>1349</v>
      </c>
      <c r="B1337" t="str">
        <f>HYPERLINK("https://www.suredividend.com/sure-analysis-research-database/","Relmada Therapeutics Inc")</f>
        <v>Relmada Therapeutics Inc</v>
      </c>
      <c r="C1337">
        <v>3.2362459546919999E-3</v>
      </c>
      <c r="D1337">
        <v>9.1549295774648001E-2</v>
      </c>
      <c r="E1337">
        <v>0.143911439114391</v>
      </c>
      <c r="F1337">
        <v>-0.111747851002865</v>
      </c>
      <c r="G1337">
        <v>-0.5</v>
      </c>
      <c r="H1337">
        <v>-0.8688108336859921</v>
      </c>
      <c r="I1337">
        <v>0.63157894736842102</v>
      </c>
    </row>
    <row r="1338" spans="1:9" x14ac:dyDescent="0.35">
      <c r="A1338" s="1" t="s">
        <v>1350</v>
      </c>
      <c r="B1338" t="str">
        <f>HYPERLINK("https://www.suredividend.com/sure-analysis-research-database/","Rallybio Corp")</f>
        <v>Rallybio Corp</v>
      </c>
      <c r="C1338">
        <v>-0.25354969574036501</v>
      </c>
      <c r="D1338">
        <v>-0.32477064220183399</v>
      </c>
      <c r="E1338">
        <v>-0.14617169373549799</v>
      </c>
      <c r="F1338">
        <v>-0.43987823439878199</v>
      </c>
      <c r="G1338">
        <v>-0.57701149425287301</v>
      </c>
      <c r="H1338">
        <v>-0.76288659793814406</v>
      </c>
      <c r="I1338">
        <v>-0.73900709219858107</v>
      </c>
    </row>
    <row r="1339" spans="1:9" x14ac:dyDescent="0.35">
      <c r="A1339" s="1" t="s">
        <v>1351</v>
      </c>
      <c r="B1339" t="str">
        <f>HYPERLINK("https://www.suredividend.com/sure-analysis-research-database/","Regional Management Corp")</f>
        <v>Regional Management Corp</v>
      </c>
      <c r="C1339">
        <v>-8.6925287356321004E-2</v>
      </c>
      <c r="D1339">
        <v>-0.21259598616002601</v>
      </c>
      <c r="E1339">
        <v>-1.9403618408363001E-2</v>
      </c>
      <c r="F1339">
        <v>-6.5897924911715006E-2</v>
      </c>
      <c r="G1339">
        <v>-7.4357293714951006E-2</v>
      </c>
      <c r="H1339">
        <v>-0.53069151921543101</v>
      </c>
      <c r="I1339">
        <v>-1.1106572523389001E-2</v>
      </c>
    </row>
    <row r="1340" spans="1:9" x14ac:dyDescent="0.35">
      <c r="A1340" s="1" t="s">
        <v>1352</v>
      </c>
      <c r="B1340" t="str">
        <f>HYPERLINK("https://www.suredividend.com/sure-analysis-research-database/","RE/MAX Holdings Inc")</f>
        <v>RE/MAX Holdings Inc</v>
      </c>
      <c r="C1340">
        <v>-0.22199170124481299</v>
      </c>
      <c r="D1340">
        <v>-0.43567440670569202</v>
      </c>
      <c r="E1340">
        <v>-0.37371960452480602</v>
      </c>
      <c r="F1340">
        <v>-0.37349290237070198</v>
      </c>
      <c r="G1340">
        <v>-0.35016549118824403</v>
      </c>
      <c r="H1340">
        <v>-0.61905213398529002</v>
      </c>
      <c r="I1340">
        <v>-0.67145418757191511</v>
      </c>
    </row>
    <row r="1341" spans="1:9" x14ac:dyDescent="0.35">
      <c r="A1341" s="1" t="s">
        <v>1353</v>
      </c>
      <c r="B1341" t="str">
        <f>HYPERLINK("https://www.suredividend.com/sure-analysis-research-database/","RumbleON Inc")</f>
        <v>RumbleON Inc</v>
      </c>
      <c r="C1341">
        <v>7.5993091537132004E-2</v>
      </c>
      <c r="D1341">
        <v>-0.38316831683168301</v>
      </c>
      <c r="E1341">
        <v>-0.20535714285714199</v>
      </c>
      <c r="F1341">
        <v>-3.7094281298299003E-2</v>
      </c>
      <c r="G1341">
        <v>-0.54855072463768106</v>
      </c>
      <c r="H1341">
        <v>-0.83720930232558111</v>
      </c>
      <c r="I1341">
        <v>-0.96120797011207904</v>
      </c>
    </row>
    <row r="1342" spans="1:9" x14ac:dyDescent="0.35">
      <c r="A1342" s="1" t="s">
        <v>1354</v>
      </c>
      <c r="B1342" t="str">
        <f>HYPERLINK("https://www.suredividend.com/sure-analysis-research-database/","Rambus Inc.")</f>
        <v>Rambus Inc.</v>
      </c>
      <c r="C1342">
        <v>3.0243024302430001E-2</v>
      </c>
      <c r="D1342">
        <v>-7.4247816240698011E-2</v>
      </c>
      <c r="E1342">
        <v>0.14322812624850101</v>
      </c>
      <c r="F1342">
        <v>0.59771077610273504</v>
      </c>
      <c r="G1342">
        <v>1.213926499032882</v>
      </c>
      <c r="H1342">
        <v>1.577927927927927</v>
      </c>
      <c r="I1342">
        <v>5.1937229437229444</v>
      </c>
    </row>
    <row r="1343" spans="1:9" x14ac:dyDescent="0.35">
      <c r="A1343" s="1" t="s">
        <v>1355</v>
      </c>
      <c r="B1343" t="str">
        <f>HYPERLINK("https://www.suredividend.com/sure-analysis-research-database/","Rimini Street Inc.")</f>
        <v>Rimini Street Inc.</v>
      </c>
      <c r="C1343">
        <v>-0.12608695652173901</v>
      </c>
      <c r="D1343">
        <v>-0.60588235294117609</v>
      </c>
      <c r="E1343">
        <v>-0.49750000000000011</v>
      </c>
      <c r="F1343">
        <v>-0.47244094488188898</v>
      </c>
      <c r="G1343">
        <v>-0.57861635220125707</v>
      </c>
      <c r="H1343">
        <v>-0.79510703363914303</v>
      </c>
      <c r="I1343">
        <v>-0.69171779141104306</v>
      </c>
    </row>
    <row r="1344" spans="1:9" x14ac:dyDescent="0.35">
      <c r="A1344" s="1" t="s">
        <v>1356</v>
      </c>
      <c r="B1344" t="str">
        <f>HYPERLINK("https://www.suredividend.com/sure-analysis-research-database/","RMR Group Inc (The)")</f>
        <v>RMR Group Inc (The)</v>
      </c>
      <c r="C1344">
        <v>-6.3422417231751002E-2</v>
      </c>
      <c r="D1344">
        <v>5.8259081562710008E-3</v>
      </c>
      <c r="E1344">
        <v>1.1341639165319999E-3</v>
      </c>
      <c r="F1344">
        <v>-0.10086543616450901</v>
      </c>
      <c r="G1344">
        <v>3.5323582713447002E-2</v>
      </c>
      <c r="H1344">
        <v>-0.20121926327105399</v>
      </c>
      <c r="I1344">
        <v>-0.53365971856721506</v>
      </c>
    </row>
    <row r="1345" spans="1:9" x14ac:dyDescent="0.35">
      <c r="A1345" s="1" t="s">
        <v>1357</v>
      </c>
      <c r="B1345" t="str">
        <f>HYPERLINK("https://www.suredividend.com/sure-analysis-research-database/","Avidity Biosciences Inc")</f>
        <v>Avidity Biosciences Inc</v>
      </c>
      <c r="C1345">
        <v>-0.118402282453637</v>
      </c>
      <c r="D1345">
        <v>-0.42936288088642599</v>
      </c>
      <c r="E1345">
        <v>-0.58744993324432504</v>
      </c>
      <c r="F1345">
        <v>-0.72149616944569606</v>
      </c>
      <c r="G1345">
        <v>-0.62340036563071299</v>
      </c>
      <c r="H1345">
        <v>-0.71282527881040803</v>
      </c>
      <c r="I1345">
        <v>-0.78315789473684205</v>
      </c>
    </row>
    <row r="1346" spans="1:9" x14ac:dyDescent="0.35">
      <c r="A1346" s="1" t="s">
        <v>1358</v>
      </c>
      <c r="B1346" t="str">
        <f>HYPERLINK("https://www.suredividend.com/sure-analysis-research-database/","Renasant Corp.")</f>
        <v>Renasant Corp.</v>
      </c>
      <c r="C1346">
        <v>-4.9580472921433007E-2</v>
      </c>
      <c r="D1346">
        <v>-8.9034786296041002E-2</v>
      </c>
      <c r="E1346">
        <v>-0.10499114688273201</v>
      </c>
      <c r="F1346">
        <v>-0.31637437007409602</v>
      </c>
      <c r="G1346">
        <v>-0.24748002439952399</v>
      </c>
      <c r="H1346">
        <v>-0.30974118064173001</v>
      </c>
      <c r="I1346">
        <v>-0.24004464585226601</v>
      </c>
    </row>
    <row r="1347" spans="1:9" x14ac:dyDescent="0.35">
      <c r="A1347" s="1" t="s">
        <v>1359</v>
      </c>
      <c r="B1347" t="str">
        <f>HYPERLINK("https://www.suredividend.com/sure-analysis-research-database/","Construction Partners Inc")</f>
        <v>Construction Partners Inc</v>
      </c>
      <c r="C1347">
        <v>9.3969144460028006E-2</v>
      </c>
      <c r="D1347">
        <v>0.34808157621845798</v>
      </c>
      <c r="E1347">
        <v>0.56375300721732102</v>
      </c>
      <c r="F1347">
        <v>0.46122143124765802</v>
      </c>
      <c r="G1347">
        <v>0.43911439114391099</v>
      </c>
      <c r="H1347">
        <v>0.122625215889464</v>
      </c>
      <c r="I1347">
        <v>2.6516853932584268</v>
      </c>
    </row>
    <row r="1348" spans="1:9" x14ac:dyDescent="0.35">
      <c r="A1348" s="1" t="s">
        <v>1360</v>
      </c>
      <c r="B1348" t="str">
        <f>HYPERLINK("https://www.suredividend.com/sure-analysis-research-database/","Ranger Oil Corp")</f>
        <v>Ranger Oil Corp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</row>
    <row r="1349" spans="1:9" x14ac:dyDescent="0.35">
      <c r="A1349" s="1" t="s">
        <v>1361</v>
      </c>
      <c r="B1349" t="str">
        <f>HYPERLINK("https://www.suredividend.com/sure-analysis-research-database/","Gibraltar Industries Inc.")</f>
        <v>Gibraltar Industries Inc.</v>
      </c>
      <c r="C1349">
        <v>-0.101816101816101</v>
      </c>
      <c r="D1349">
        <v>1.5849911046417E-2</v>
      </c>
      <c r="E1349">
        <v>0.32009247583018002</v>
      </c>
      <c r="F1349">
        <v>0.36900610287706997</v>
      </c>
      <c r="G1349">
        <v>0.41943502824858703</v>
      </c>
      <c r="H1349">
        <v>-0.15270470794550101</v>
      </c>
      <c r="I1349">
        <v>0.57814070351758806</v>
      </c>
    </row>
    <row r="1350" spans="1:9" x14ac:dyDescent="0.35">
      <c r="A1350" s="1" t="s">
        <v>1362</v>
      </c>
      <c r="B1350" t="str">
        <f>HYPERLINK("https://www.suredividend.com/sure-analysis-research-database/","Rogers Corp.")</f>
        <v>Rogers Corp.</v>
      </c>
      <c r="C1350">
        <v>-0.125373134328358</v>
      </c>
      <c r="D1350">
        <v>-0.279887647024401</v>
      </c>
      <c r="E1350">
        <v>-0.22899567696259601</v>
      </c>
      <c r="F1350">
        <v>3.1171442936148E-2</v>
      </c>
      <c r="G1350">
        <v>-0.47488798805205812</v>
      </c>
      <c r="H1350">
        <v>-0.343715001866567</v>
      </c>
      <c r="I1350">
        <v>-2.9112426035502001E-2</v>
      </c>
    </row>
    <row r="1351" spans="1:9" x14ac:dyDescent="0.35">
      <c r="A1351" s="1" t="s">
        <v>1363</v>
      </c>
      <c r="B1351" t="str">
        <f>HYPERLINK("https://www.suredividend.com/sure-analysis-research-database/","Retail Opportunity Investments Corp")</f>
        <v>Retail Opportunity Investments Corp</v>
      </c>
      <c r="C1351">
        <v>-0.15467625899280499</v>
      </c>
      <c r="D1351">
        <v>-0.13418956458945799</v>
      </c>
      <c r="E1351">
        <v>-5.3830977976406007E-2</v>
      </c>
      <c r="F1351">
        <v>-0.173460702452887</v>
      </c>
      <c r="G1351">
        <v>-8.1184216699770009E-2</v>
      </c>
      <c r="H1351">
        <v>-0.29923542111478202</v>
      </c>
      <c r="I1351">
        <v>-0.19714113917131201</v>
      </c>
    </row>
    <row r="1352" spans="1:9" x14ac:dyDescent="0.35">
      <c r="A1352" s="1" t="s">
        <v>1364</v>
      </c>
      <c r="B1352" t="str">
        <f>HYPERLINK("https://www.suredividend.com/sure-analysis-research-database/","Root Inc")</f>
        <v>Root Inc</v>
      </c>
      <c r="C1352">
        <v>-8.7203791469194006E-2</v>
      </c>
      <c r="D1352">
        <v>-2.233502538071E-2</v>
      </c>
      <c r="E1352">
        <v>1.4075</v>
      </c>
      <c r="F1352">
        <v>1.1447661469933179</v>
      </c>
      <c r="G1352">
        <v>0.23778920308483201</v>
      </c>
      <c r="H1352">
        <v>-0.89468503937007804</v>
      </c>
      <c r="I1352">
        <v>-0.98018518518518505</v>
      </c>
    </row>
    <row r="1353" spans="1:9" x14ac:dyDescent="0.35">
      <c r="A1353" s="1" t="s">
        <v>1365</v>
      </c>
      <c r="B1353" t="str">
        <f>HYPERLINK("https://www.suredividend.com/sure-analysis-research-database/","Rover Group Inc")</f>
        <v>Rover Group Inc</v>
      </c>
      <c r="C1353">
        <v>1.8662519440123999E-2</v>
      </c>
      <c r="D1353">
        <v>0.31790744466800802</v>
      </c>
      <c r="E1353">
        <v>0.48863636363636298</v>
      </c>
      <c r="F1353">
        <v>0.78474114441416909</v>
      </c>
      <c r="G1353">
        <v>0.67948717948717907</v>
      </c>
      <c r="H1353">
        <v>-0.46877534468775311</v>
      </c>
      <c r="I1353">
        <v>-0.40454545454545399</v>
      </c>
    </row>
    <row r="1354" spans="1:9" x14ac:dyDescent="0.35">
      <c r="A1354" s="1" t="s">
        <v>1366</v>
      </c>
      <c r="B1354" t="str">
        <f>HYPERLINK("https://www.suredividend.com/sure-analysis-research-database/","Repay Holdings Corporation")</f>
        <v>Repay Holdings Corporation</v>
      </c>
      <c r="C1354">
        <v>-0.184796854521625</v>
      </c>
      <c r="D1354">
        <v>-0.20051413881748001</v>
      </c>
      <c r="E1354">
        <v>-9.1970802919708008E-2</v>
      </c>
      <c r="F1354">
        <v>-0.22732919254658299</v>
      </c>
      <c r="G1354">
        <v>-1.5822784810126E-2</v>
      </c>
      <c r="H1354">
        <v>-0.72838427947598205</v>
      </c>
      <c r="I1354">
        <v>-0.35942327497425303</v>
      </c>
    </row>
    <row r="1355" spans="1:9" x14ac:dyDescent="0.35">
      <c r="A1355" s="1" t="s">
        <v>1367</v>
      </c>
      <c r="B1355" t="str">
        <f>HYPERLINK("https://www.suredividend.com/sure-analysis-research-database/","Rapid7 Inc")</f>
        <v>Rapid7 Inc</v>
      </c>
      <c r="C1355">
        <v>7.4493574384665001E-2</v>
      </c>
      <c r="D1355">
        <v>0.13742218123126501</v>
      </c>
      <c r="E1355">
        <v>5.0468483816013002E-2</v>
      </c>
      <c r="F1355">
        <v>0.45173631547969412</v>
      </c>
      <c r="G1355">
        <v>0.25873947435570299</v>
      </c>
      <c r="H1355">
        <v>-0.59035044012622506</v>
      </c>
      <c r="I1355">
        <v>0.48004800480047999</v>
      </c>
    </row>
    <row r="1356" spans="1:9" x14ac:dyDescent="0.35">
      <c r="A1356" s="1" t="s">
        <v>1368</v>
      </c>
      <c r="B1356" t="str">
        <f>HYPERLINK("https://www.suredividend.com/sure-analysis-RPT/","RPT Realty")</f>
        <v>RPT Realty</v>
      </c>
      <c r="C1356">
        <v>-8.8092232452616007E-2</v>
      </c>
      <c r="D1356">
        <v>-3.4200340320499012E-2</v>
      </c>
      <c r="E1356">
        <v>0.15519670774529701</v>
      </c>
      <c r="F1356">
        <v>7.1943715172206005E-2</v>
      </c>
      <c r="G1356">
        <v>0.30213913854609098</v>
      </c>
      <c r="H1356">
        <v>-0.16579854802109301</v>
      </c>
      <c r="I1356">
        <v>4.1299154259447003E-2</v>
      </c>
    </row>
    <row r="1357" spans="1:9" x14ac:dyDescent="0.35">
      <c r="A1357" s="1" t="s">
        <v>1369</v>
      </c>
      <c r="B1357" t="str">
        <f>HYPERLINK("https://www.suredividend.com/sure-analysis-research-database/","Red River Bancshares Inc")</f>
        <v>Red River Bancshares Inc</v>
      </c>
      <c r="C1357">
        <v>-2.6953614709569002E-2</v>
      </c>
      <c r="D1357">
        <v>-2.7099976601930999E-2</v>
      </c>
      <c r="E1357">
        <v>-7.1357454583440014E-3</v>
      </c>
      <c r="F1357">
        <v>-8.0531029362985007E-2</v>
      </c>
      <c r="G1357">
        <v>-0.11617455599965</v>
      </c>
      <c r="H1357">
        <v>-8.5769253420758002E-2</v>
      </c>
      <c r="I1357">
        <v>-5.0500643261857013E-2</v>
      </c>
    </row>
    <row r="1358" spans="1:9" x14ac:dyDescent="0.35">
      <c r="A1358" s="1" t="s">
        <v>1370</v>
      </c>
      <c r="B1358" t="str">
        <f>HYPERLINK("https://www.suredividend.com/sure-analysis-research-database/","Red Rock Resorts Inc")</f>
        <v>Red Rock Resorts Inc</v>
      </c>
      <c r="C1358">
        <v>-8.9948279739149012E-2</v>
      </c>
      <c r="D1358">
        <v>-0.16573558332543101</v>
      </c>
      <c r="E1358">
        <v>-5.0465851260766012E-2</v>
      </c>
      <c r="F1358">
        <v>3.9798566326660997E-2</v>
      </c>
      <c r="G1358">
        <v>0.13731849133170501</v>
      </c>
      <c r="H1358">
        <v>-0.18954803334728401</v>
      </c>
      <c r="I1358">
        <v>0.93346805979561709</v>
      </c>
    </row>
    <row r="1359" spans="1:9" x14ac:dyDescent="0.35">
      <c r="A1359" s="1" t="s">
        <v>1371</v>
      </c>
      <c r="B1359" t="str">
        <f>HYPERLINK("https://www.suredividend.com/sure-analysis-research-database/","Rush Street Interactive Inc")</f>
        <v>Rush Street Interactive Inc</v>
      </c>
      <c r="C1359">
        <v>-0.26744186046511598</v>
      </c>
      <c r="D1359">
        <v>5.2924791086351002E-2</v>
      </c>
      <c r="E1359">
        <v>0.231270358306189</v>
      </c>
      <c r="F1359">
        <v>5.2924791086351002E-2</v>
      </c>
      <c r="G1359">
        <v>9.2485549132947001E-2</v>
      </c>
      <c r="H1359">
        <v>-0.80545548121461608</v>
      </c>
      <c r="I1359">
        <v>-0.6070686070686071</v>
      </c>
    </row>
    <row r="1360" spans="1:9" x14ac:dyDescent="0.35">
      <c r="A1360" s="1" t="s">
        <v>1372</v>
      </c>
      <c r="B1360" t="str">
        <f>HYPERLINK("https://www.suredividend.com/sure-analysis-research-database/","Reservoir Media Inc")</f>
        <v>Reservoir Media Inc</v>
      </c>
      <c r="C1360">
        <v>-3.4188034188029999E-3</v>
      </c>
      <c r="D1360">
        <v>-1.5202702702701999E-2</v>
      </c>
      <c r="E1360">
        <v>-6.5705128205127999E-2</v>
      </c>
      <c r="F1360">
        <v>-2.3450586264656001E-2</v>
      </c>
      <c r="G1360">
        <v>0.25917926565874699</v>
      </c>
      <c r="H1360">
        <v>-0.35150166852057801</v>
      </c>
      <c r="I1360">
        <v>-0.41816367265469001</v>
      </c>
    </row>
    <row r="1361" spans="1:9" x14ac:dyDescent="0.35">
      <c r="A1361" s="1" t="s">
        <v>1373</v>
      </c>
      <c r="B1361" t="str">
        <f>HYPERLINK("https://www.suredividend.com/sure-analysis-RTL/","Necessity Retail REIT Inc (The)")</f>
        <v>Necessity Retail REIT Inc (The)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</row>
    <row r="1362" spans="1:9" x14ac:dyDescent="0.35">
      <c r="A1362" s="1" t="s">
        <v>1374</v>
      </c>
      <c r="B1362" t="str">
        <f>HYPERLINK("https://www.suredividend.com/sure-analysis-research-database/","Rush Enterprises Inc")</f>
        <v>Rush Enterprises Inc</v>
      </c>
      <c r="C1362">
        <v>-4.2500000000000003E-3</v>
      </c>
      <c r="D1362">
        <v>-2.9483430799220001E-2</v>
      </c>
      <c r="E1362">
        <v>0.11691895256950199</v>
      </c>
      <c r="F1362">
        <v>0.16134976659289699</v>
      </c>
      <c r="G1362">
        <v>0.30964593855218803</v>
      </c>
      <c r="H1362">
        <v>0.296325829202644</v>
      </c>
      <c r="I1362">
        <v>1.656732545807458</v>
      </c>
    </row>
    <row r="1363" spans="1:9" x14ac:dyDescent="0.35">
      <c r="A1363" s="1" t="s">
        <v>1375</v>
      </c>
      <c r="B1363" t="str">
        <f>HYPERLINK("https://www.suredividend.com/sure-analysis-research-database/","Rush Enterprises Inc")</f>
        <v>Rush Enterprises Inc</v>
      </c>
      <c r="C1363">
        <v>3.0467163168583999E-2</v>
      </c>
      <c r="D1363">
        <v>-5.1073769348760007E-3</v>
      </c>
      <c r="E1363">
        <v>0.15673418927272101</v>
      </c>
      <c r="F1363">
        <v>0.235466492774171</v>
      </c>
      <c r="G1363">
        <v>0.38342675352219302</v>
      </c>
      <c r="H1363">
        <v>0.48478630588679011</v>
      </c>
      <c r="I1363">
        <v>3.5740045078888052</v>
      </c>
    </row>
    <row r="1364" spans="1:9" x14ac:dyDescent="0.35">
      <c r="A1364" s="1" t="s">
        <v>1376</v>
      </c>
      <c r="B1364" t="str">
        <f>HYPERLINK("https://www.suredividend.com/sure-analysis-research-database/","Revolve Group Inc")</f>
        <v>Revolve Group Inc</v>
      </c>
      <c r="C1364">
        <v>0.111877394636015</v>
      </c>
      <c r="D1364">
        <v>-0.197899391929242</v>
      </c>
      <c r="E1364">
        <v>-0.39186923721709899</v>
      </c>
      <c r="F1364">
        <v>-0.34815813117699901</v>
      </c>
      <c r="G1364">
        <v>-0.30139624458353398</v>
      </c>
      <c r="H1364">
        <v>-0.7865862626856891</v>
      </c>
      <c r="I1364">
        <v>-0.57323529411764707</v>
      </c>
    </row>
    <row r="1365" spans="1:9" x14ac:dyDescent="0.35">
      <c r="A1365" s="1" t="s">
        <v>1377</v>
      </c>
      <c r="B1365" t="str">
        <f>HYPERLINK("https://www.suredividend.com/sure-analysis-research-database/","Revolution Medicines Inc")</f>
        <v>Revolution Medicines Inc</v>
      </c>
      <c r="C1365">
        <v>-5.8249370277078001E-2</v>
      </c>
      <c r="D1365">
        <v>0.12190547636909201</v>
      </c>
      <c r="E1365">
        <v>0.35094850948509398</v>
      </c>
      <c r="F1365">
        <v>0.25566750629722901</v>
      </c>
      <c r="G1365">
        <v>0.62466051059206906</v>
      </c>
      <c r="H1365">
        <v>0.10983302411873801</v>
      </c>
      <c r="I1365">
        <v>3.4948096885812997E-2</v>
      </c>
    </row>
    <row r="1366" spans="1:9" x14ac:dyDescent="0.35">
      <c r="A1366" s="1" t="s">
        <v>1378</v>
      </c>
      <c r="B1366" t="str">
        <f>HYPERLINK("https://www.suredividend.com/sure-analysis-research-database/","Revance Therapeutics Inc")</f>
        <v>Revance Therapeutics Inc</v>
      </c>
      <c r="C1366">
        <v>-0.48571428571428499</v>
      </c>
      <c r="D1366">
        <v>-0.616170590848511</v>
      </c>
      <c r="E1366">
        <v>-0.71588293324564201</v>
      </c>
      <c r="F1366">
        <v>-0.53196099674972908</v>
      </c>
      <c r="G1366">
        <v>-0.65577689243027804</v>
      </c>
      <c r="H1366">
        <v>-0.61955085865257609</v>
      </c>
      <c r="I1366">
        <v>-0.63909774436090205</v>
      </c>
    </row>
    <row r="1367" spans="1:9" x14ac:dyDescent="0.35">
      <c r="A1367" s="1" t="s">
        <v>1379</v>
      </c>
      <c r="B1367" t="str">
        <f>HYPERLINK("https://www.suredividend.com/sure-analysis-research-database/","Redwood Trust Inc.")</f>
        <v>Redwood Trust Inc.</v>
      </c>
      <c r="C1367">
        <v>-8.3738969726943002E-2</v>
      </c>
      <c r="D1367">
        <v>8.8149373232143002E-2</v>
      </c>
      <c r="E1367">
        <v>0.119076761671621</v>
      </c>
      <c r="F1367">
        <v>0.13088736104863999</v>
      </c>
      <c r="G1367">
        <v>0.29490315816579898</v>
      </c>
      <c r="H1367">
        <v>-0.35903272210790799</v>
      </c>
      <c r="I1367">
        <v>-0.31850962701954411</v>
      </c>
    </row>
    <row r="1368" spans="1:9" x14ac:dyDescent="0.35">
      <c r="A1368" s="1" t="s">
        <v>1380</v>
      </c>
      <c r="B1368" t="str">
        <f>HYPERLINK("https://www.suredividend.com/sure-analysis-research-database/","Prometheus Biosciences Inc")</f>
        <v>Prometheus Biosciences Inc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1:9" x14ac:dyDescent="0.35">
      <c r="A1369" s="1" t="s">
        <v>1381</v>
      </c>
      <c r="B1369" t="str">
        <f>HYPERLINK("https://www.suredividend.com/sure-analysis-research-database/","Recursion Pharmaceuticals Inc")</f>
        <v>Recursion Pharmaceuticals Inc</v>
      </c>
      <c r="C1369">
        <v>-0.25554259043173799</v>
      </c>
      <c r="D1369">
        <v>-0.46386554621848702</v>
      </c>
      <c r="E1369">
        <v>7.4074074074073001E-2</v>
      </c>
      <c r="F1369">
        <v>-0.17250324254215299</v>
      </c>
      <c r="G1369">
        <v>-0.39180171591992302</v>
      </c>
      <c r="H1369">
        <v>-0.66491596638655404</v>
      </c>
      <c r="I1369">
        <v>-0.79616613418530302</v>
      </c>
    </row>
    <row r="1370" spans="1:9" x14ac:dyDescent="0.35">
      <c r="A1370" s="1" t="s">
        <v>1382</v>
      </c>
      <c r="B1370" t="str">
        <f>HYPERLINK("https://www.suredividend.com/sure-analysis-research-database/","RxSight Inc")</f>
        <v>RxSight Inc</v>
      </c>
      <c r="C1370">
        <v>-0.18840093865236299</v>
      </c>
      <c r="D1370">
        <v>-0.25392912172573101</v>
      </c>
      <c r="E1370">
        <v>0.37635019897669097</v>
      </c>
      <c r="F1370">
        <v>0.9108129439621151</v>
      </c>
      <c r="G1370">
        <v>1.3642578125</v>
      </c>
      <c r="H1370">
        <v>0.78539823008849508</v>
      </c>
      <c r="I1370">
        <v>0.51312499999999994</v>
      </c>
    </row>
    <row r="1371" spans="1:9" x14ac:dyDescent="0.35">
      <c r="A1371" s="1" t="s">
        <v>1383</v>
      </c>
      <c r="B1371" t="str">
        <f>HYPERLINK("https://www.suredividend.com/sure-analysis-research-database/","Rackspace Technology Inc")</f>
        <v>Rackspace Technology Inc</v>
      </c>
      <c r="C1371">
        <v>-0.126623376623376</v>
      </c>
      <c r="D1371">
        <v>-0.45546558704453399</v>
      </c>
      <c r="E1371">
        <v>-0.248603351955307</v>
      </c>
      <c r="F1371">
        <v>-0.54406779661016902</v>
      </c>
      <c r="G1371">
        <v>-0.6460526315789471</v>
      </c>
      <c r="H1371">
        <v>-0.90997322623828603</v>
      </c>
      <c r="I1371">
        <v>-0.91793776693105511</v>
      </c>
    </row>
    <row r="1372" spans="1:9" x14ac:dyDescent="0.35">
      <c r="A1372" s="1" t="s">
        <v>1384</v>
      </c>
      <c r="B1372" t="str">
        <f>HYPERLINK("https://www.suredividend.com/sure-analysis-research-database/","Rayonier Advanced Materials Inc")</f>
        <v>Rayonier Advanced Materials Inc</v>
      </c>
      <c r="C1372">
        <v>-0.105095541401273</v>
      </c>
      <c r="D1372">
        <v>-0.37694013303769403</v>
      </c>
      <c r="E1372">
        <v>-0.47866419294990697</v>
      </c>
      <c r="F1372">
        <v>-0.7072916666666661</v>
      </c>
      <c r="G1372">
        <v>-7.8688524590163011E-2</v>
      </c>
      <c r="H1372">
        <v>-0.63363754889178603</v>
      </c>
      <c r="I1372">
        <v>-0.79828723610443109</v>
      </c>
    </row>
    <row r="1373" spans="1:9" x14ac:dyDescent="0.35">
      <c r="A1373" s="1" t="s">
        <v>1385</v>
      </c>
      <c r="B1373" t="str">
        <f>HYPERLINK("https://www.suredividend.com/sure-analysis-research-database/","Ryerson Holding Corp.")</f>
        <v>Ryerson Holding Corp.</v>
      </c>
      <c r="C1373">
        <v>-5.7424396873938008E-2</v>
      </c>
      <c r="D1373">
        <v>-0.33772304695147198</v>
      </c>
      <c r="E1373">
        <v>-0.24216760826567199</v>
      </c>
      <c r="F1373">
        <v>-6.8877551020408004E-2</v>
      </c>
      <c r="G1373">
        <v>-2.0414505210447999E-2</v>
      </c>
      <c r="H1373">
        <v>0.252867956569652</v>
      </c>
      <c r="I1373">
        <v>1.891963178031921</v>
      </c>
    </row>
    <row r="1374" spans="1:9" x14ac:dyDescent="0.35">
      <c r="A1374" s="1" t="s">
        <v>1386</v>
      </c>
      <c r="B1374" t="str">
        <f>HYPERLINK("https://www.suredividend.com/sure-analysis-research-database/","Sabre Corp")</f>
        <v>Sabre Corp</v>
      </c>
      <c r="C1374">
        <v>-0.199134199134199</v>
      </c>
      <c r="D1374">
        <v>-5.3763440860210001E-3</v>
      </c>
      <c r="E1374">
        <v>-9.090909090909001E-2</v>
      </c>
      <c r="F1374">
        <v>-0.40129449838187597</v>
      </c>
      <c r="G1374">
        <v>-0.316081330868761</v>
      </c>
      <c r="H1374">
        <v>-0.69869706840390811</v>
      </c>
      <c r="I1374">
        <v>-0.83538142568583607</v>
      </c>
    </row>
    <row r="1375" spans="1:9" x14ac:dyDescent="0.35">
      <c r="A1375" s="1" t="s">
        <v>1387</v>
      </c>
      <c r="B1375" t="str">
        <f>HYPERLINK("https://www.suredividend.com/sure-analysis-SAFE/","Safehold Inc.")</f>
        <v>Safehold Inc.</v>
      </c>
      <c r="C1375">
        <v>-0.14323431654413399</v>
      </c>
      <c r="D1375">
        <v>-0.33278341466982497</v>
      </c>
      <c r="E1375">
        <v>-0.40931639704586198</v>
      </c>
      <c r="F1375">
        <v>1.152031454783748</v>
      </c>
      <c r="G1375">
        <v>1.3910764212488349</v>
      </c>
      <c r="H1375">
        <v>-0.13522509427205101</v>
      </c>
      <c r="I1375">
        <v>1.1890706448559509</v>
      </c>
    </row>
    <row r="1376" spans="1:9" x14ac:dyDescent="0.35">
      <c r="A1376" s="1" t="s">
        <v>1388</v>
      </c>
      <c r="B1376" t="str">
        <f>HYPERLINK("https://www.suredividend.com/sure-analysis-research-database/","Safety Insurance Group, Inc.")</f>
        <v>Safety Insurance Group, Inc.</v>
      </c>
      <c r="C1376">
        <v>1.3854813104343E-2</v>
      </c>
      <c r="D1376">
        <v>6.5879711112459008E-2</v>
      </c>
      <c r="E1376">
        <v>-6.7723281822160003E-3</v>
      </c>
      <c r="F1376">
        <v>-0.11314726047717</v>
      </c>
      <c r="G1376">
        <v>-6.0136544433131003E-2</v>
      </c>
      <c r="H1376">
        <v>-1.3864849651238E-2</v>
      </c>
      <c r="I1376">
        <v>8.3275764229848004E-2</v>
      </c>
    </row>
    <row r="1377" spans="1:9" x14ac:dyDescent="0.35">
      <c r="A1377" s="1" t="s">
        <v>1389</v>
      </c>
      <c r="B1377" t="str">
        <f>HYPERLINK("https://www.suredividend.com/sure-analysis-research-database/","Sage Therapeutics Inc")</f>
        <v>Sage Therapeutics Inc</v>
      </c>
      <c r="C1377">
        <v>-6.8506184586108007E-2</v>
      </c>
      <c r="D1377">
        <v>-0.57973814123202405</v>
      </c>
      <c r="E1377">
        <v>-0.55469638389811204</v>
      </c>
      <c r="F1377">
        <v>-0.48662821185107502</v>
      </c>
      <c r="G1377">
        <v>-0.48378592143422011</v>
      </c>
      <c r="H1377">
        <v>-0.56430796617712509</v>
      </c>
      <c r="I1377">
        <v>-0.83717255717255712</v>
      </c>
    </row>
    <row r="1378" spans="1:9" x14ac:dyDescent="0.35">
      <c r="A1378" s="1" t="s">
        <v>1390</v>
      </c>
      <c r="B1378" t="str">
        <f>HYPERLINK("https://www.suredividend.com/sure-analysis-research-database/","Sonic Automotive, Inc.")</f>
        <v>Sonic Automotive, Inc.</v>
      </c>
      <c r="C1378">
        <v>-0.203957382039573</v>
      </c>
      <c r="D1378">
        <v>-0.17286425405561401</v>
      </c>
      <c r="E1378">
        <v>-0.21865808634724501</v>
      </c>
      <c r="F1378">
        <v>-0.13611192553714199</v>
      </c>
      <c r="G1378">
        <v>-4.9358817060646001E-2</v>
      </c>
      <c r="H1378">
        <v>-0.16258533763782601</v>
      </c>
      <c r="I1378">
        <v>1.5712090950990929</v>
      </c>
    </row>
    <row r="1379" spans="1:9" x14ac:dyDescent="0.35">
      <c r="A1379" s="1" t="s">
        <v>1391</v>
      </c>
      <c r="B1379" t="str">
        <f>HYPERLINK("https://www.suredividend.com/sure-analysis-research-database/","Saia Inc.")</f>
        <v>Saia Inc.</v>
      </c>
      <c r="C1379">
        <v>-3.8691280941963002E-2</v>
      </c>
      <c r="D1379">
        <v>7.4073056852512004E-2</v>
      </c>
      <c r="E1379">
        <v>0.49571636196741298</v>
      </c>
      <c r="F1379">
        <v>0.86508012209080409</v>
      </c>
      <c r="G1379">
        <v>0.99301804097441604</v>
      </c>
      <c r="H1379">
        <v>0.49514451751032201</v>
      </c>
      <c r="I1379">
        <v>5.2173290937996821</v>
      </c>
    </row>
    <row r="1380" spans="1:9" x14ac:dyDescent="0.35">
      <c r="A1380" s="1" t="s">
        <v>1392</v>
      </c>
      <c r="B1380" t="str">
        <f>HYPERLINK("https://www.suredividend.com/sure-analysis-research-database/","Silvercrest Asset Management Group Inc")</f>
        <v>Silvercrest Asset Management Group Inc</v>
      </c>
      <c r="C1380">
        <v>-9.0858104318564004E-2</v>
      </c>
      <c r="D1380">
        <v>-0.20143849450711801</v>
      </c>
      <c r="E1380">
        <v>-8.5993312696291013E-2</v>
      </c>
      <c r="F1380">
        <v>-9.4205935437725014E-2</v>
      </c>
      <c r="G1380">
        <v>6.1280607568417002E-2</v>
      </c>
      <c r="H1380">
        <v>0.14270004300104999</v>
      </c>
      <c r="I1380">
        <v>0.54804083542635607</v>
      </c>
    </row>
    <row r="1381" spans="1:9" x14ac:dyDescent="0.35">
      <c r="A1381" s="1" t="s">
        <v>1393</v>
      </c>
      <c r="B1381" t="str">
        <f>HYPERLINK("https://www.suredividend.com/sure-analysis-research-database/","Sana Biotechnology Inc")</f>
        <v>Sana Biotechnology Inc</v>
      </c>
      <c r="C1381">
        <v>-0.25055928411633099</v>
      </c>
      <c r="D1381">
        <v>-0.42041522491349398</v>
      </c>
      <c r="E1381">
        <v>-0.35452793834296698</v>
      </c>
      <c r="F1381">
        <v>-0.151898734177215</v>
      </c>
      <c r="G1381">
        <v>-0.33925049309664701</v>
      </c>
      <c r="H1381">
        <v>-0.83886483886483809</v>
      </c>
      <c r="I1381">
        <v>-0.90455840455840408</v>
      </c>
    </row>
    <row r="1382" spans="1:9" x14ac:dyDescent="0.35">
      <c r="A1382" s="1" t="s">
        <v>1394</v>
      </c>
      <c r="B1382" t="str">
        <f>HYPERLINK("https://www.suredividend.com/sure-analysis-research-database/","Sanmina Corp")</f>
        <v>Sanmina Corp</v>
      </c>
      <c r="C1382">
        <v>1.1492051331162E-2</v>
      </c>
      <c r="D1382">
        <v>-0.12955332124608501</v>
      </c>
      <c r="E1382">
        <v>-6.2155922571479012E-2</v>
      </c>
      <c r="F1382">
        <v>-7.8198638505847004E-2</v>
      </c>
      <c r="G1382">
        <v>5.1363726856460012E-2</v>
      </c>
      <c r="H1382">
        <v>0.33628542510121401</v>
      </c>
      <c r="I1382">
        <v>1.2040901502504171</v>
      </c>
    </row>
    <row r="1383" spans="1:9" x14ac:dyDescent="0.35">
      <c r="A1383" s="1" t="s">
        <v>1395</v>
      </c>
      <c r="B1383" t="str">
        <f>HYPERLINK("https://www.suredividend.com/sure-analysis-research-database/","Sandy Spring Bancorp")</f>
        <v>Sandy Spring Bancorp</v>
      </c>
      <c r="C1383">
        <v>-7.2661217075385004E-2</v>
      </c>
      <c r="D1383">
        <v>-8.3511738859191012E-2</v>
      </c>
      <c r="E1383">
        <v>-7.320416286553201E-2</v>
      </c>
      <c r="F1383">
        <v>-0.37856253785077498</v>
      </c>
      <c r="G1383">
        <v>-0.40805932161627001</v>
      </c>
      <c r="H1383">
        <v>-0.51830193174607209</v>
      </c>
      <c r="I1383">
        <v>-0.31860651361452202</v>
      </c>
    </row>
    <row r="1384" spans="1:9" x14ac:dyDescent="0.35">
      <c r="A1384" s="1" t="s">
        <v>1396</v>
      </c>
      <c r="B1384" t="str">
        <f>HYPERLINK("https://www.suredividend.com/sure-analysis-research-database/","EchoStar Corp")</f>
        <v>EchoStar Corp</v>
      </c>
      <c r="C1384">
        <v>-0.227369542066027</v>
      </c>
      <c r="D1384">
        <v>-0.22406417112299401</v>
      </c>
      <c r="E1384">
        <v>-0.169908466819222</v>
      </c>
      <c r="F1384">
        <v>-0.13009592326139</v>
      </c>
      <c r="G1384">
        <v>-0.17369020501138899</v>
      </c>
      <c r="H1384">
        <v>-0.42941407786079411</v>
      </c>
      <c r="I1384">
        <v>-0.66574521999539205</v>
      </c>
    </row>
    <row r="1385" spans="1:9" x14ac:dyDescent="0.35">
      <c r="A1385" s="1" t="s">
        <v>1397</v>
      </c>
      <c r="B1385" t="str">
        <f>HYPERLINK("https://www.suredividend.com/sure-analysis-research-database/","Cassava Sciences Inc")</f>
        <v>Cassava Sciences Inc</v>
      </c>
      <c r="C1385">
        <v>-0.23441524987119999</v>
      </c>
      <c r="D1385">
        <v>-0.31299121590383711</v>
      </c>
      <c r="E1385">
        <v>-0.36277873070325911</v>
      </c>
      <c r="F1385">
        <v>-0.49695328368314101</v>
      </c>
      <c r="G1385">
        <v>-0.59243006034009804</v>
      </c>
      <c r="H1385">
        <v>-0.70094586435902606</v>
      </c>
      <c r="I1385">
        <v>11.383333333333329</v>
      </c>
    </row>
    <row r="1386" spans="1:9" x14ac:dyDescent="0.35">
      <c r="A1386" s="1" t="s">
        <v>1398</v>
      </c>
      <c r="B1386" t="str">
        <f>HYPERLINK("https://www.suredividend.com/sure-analysis-research-database/","Spirit Airlines Inc")</f>
        <v>Spirit Airlines Inc</v>
      </c>
      <c r="C1386">
        <v>-2.6236001760476999E-2</v>
      </c>
      <c r="D1386">
        <v>-0.14862459849606299</v>
      </c>
      <c r="E1386">
        <v>-4.7823981924794007E-2</v>
      </c>
      <c r="F1386">
        <v>-0.138602297060541</v>
      </c>
      <c r="G1386">
        <v>-0.136388771427642</v>
      </c>
      <c r="H1386">
        <v>-0.30112574472005499</v>
      </c>
      <c r="I1386">
        <v>-0.65748122919730601</v>
      </c>
    </row>
    <row r="1387" spans="1:9" x14ac:dyDescent="0.35">
      <c r="A1387" s="1" t="s">
        <v>1399</v>
      </c>
      <c r="B1387" t="str">
        <f>HYPERLINK("https://www.suredividend.com/sure-analysis-research-database/","Safe Bulkers, Inc")</f>
        <v>Safe Bulkers, Inc</v>
      </c>
      <c r="C1387">
        <v>5.0793650793650003E-2</v>
      </c>
      <c r="D1387">
        <v>2.1541880130855999E-2</v>
      </c>
      <c r="E1387">
        <v>-0.112362563689997</v>
      </c>
      <c r="F1387">
        <v>0.18714582885015399</v>
      </c>
      <c r="G1387">
        <v>0.30191944619257299</v>
      </c>
      <c r="H1387">
        <v>-0.210570249707839</v>
      </c>
      <c r="I1387">
        <v>0.42715474496615302</v>
      </c>
    </row>
    <row r="1388" spans="1:9" x14ac:dyDescent="0.35">
      <c r="A1388" s="1" t="s">
        <v>1400</v>
      </c>
      <c r="B1388" t="str">
        <f>HYPERLINK("https://www.suredividend.com/sure-analysis-research-database/","Seacoast Banking Corp. Of Florida")</f>
        <v>Seacoast Banking Corp. Of Florida</v>
      </c>
      <c r="C1388">
        <v>-9.8646879092099002E-2</v>
      </c>
      <c r="D1388">
        <v>-0.102544601143006</v>
      </c>
      <c r="E1388">
        <v>-5.3208317094977003E-2</v>
      </c>
      <c r="F1388">
        <v>-0.31150601807088302</v>
      </c>
      <c r="G1388">
        <v>-0.31377338238275099</v>
      </c>
      <c r="H1388">
        <v>-0.39269171384457002</v>
      </c>
      <c r="I1388">
        <v>-0.186950256317376</v>
      </c>
    </row>
    <row r="1389" spans="1:9" x14ac:dyDescent="0.35">
      <c r="A1389" s="1" t="s">
        <v>1401</v>
      </c>
      <c r="B1389" t="str">
        <f>HYPERLINK("https://www.suredividend.com/sure-analysis-research-database/","Sinclair Inc")</f>
        <v>Sinclair Inc</v>
      </c>
      <c r="C1389">
        <v>-0.20765472312703501</v>
      </c>
      <c r="D1389">
        <v>-0.26644099486584</v>
      </c>
      <c r="E1389">
        <v>-0.33008358463805199</v>
      </c>
      <c r="F1389">
        <v>-0.33008358463805199</v>
      </c>
      <c r="G1389">
        <v>-0.33008358463805199</v>
      </c>
      <c r="H1389">
        <v>-0.33008358463805199</v>
      </c>
      <c r="I1389">
        <v>-0.33008358463805199</v>
      </c>
    </row>
    <row r="1390" spans="1:9" x14ac:dyDescent="0.35">
      <c r="A1390" s="1" t="s">
        <v>1402</v>
      </c>
      <c r="B1390" t="str">
        <f>HYPERLINK("https://www.suredividend.com/sure-analysis-research-database/","Sally Beauty Holdings Inc")</f>
        <v>Sally Beauty Holdings Inc</v>
      </c>
      <c r="C1390">
        <v>-0.20568927789934299</v>
      </c>
      <c r="D1390">
        <v>-0.39145012573344501</v>
      </c>
      <c r="E1390">
        <v>-0.48142857142857098</v>
      </c>
      <c r="F1390">
        <v>-0.42012779552715601</v>
      </c>
      <c r="G1390">
        <v>-0.41920000000000002</v>
      </c>
      <c r="H1390">
        <v>-0.54766355140186906</v>
      </c>
      <c r="I1390">
        <v>-0.60735532720389407</v>
      </c>
    </row>
    <row r="1391" spans="1:9" x14ac:dyDescent="0.35">
      <c r="A1391" s="1" t="s">
        <v>1403</v>
      </c>
      <c r="B1391" t="str">
        <f>HYPERLINK("https://www.suredividend.com/sure-analysis-research-database/","SilverBow Resources Inc")</f>
        <v>SilverBow Resources Inc</v>
      </c>
      <c r="C1391">
        <v>-1.1993146773272E-2</v>
      </c>
      <c r="D1391">
        <v>0.18129054284738799</v>
      </c>
      <c r="E1391">
        <v>0.37247124157080502</v>
      </c>
      <c r="F1391">
        <v>0.22347949080622301</v>
      </c>
      <c r="G1391">
        <v>0.11901681759379</v>
      </c>
      <c r="H1391">
        <v>0.20473537604456801</v>
      </c>
      <c r="I1391">
        <v>0.172086720867208</v>
      </c>
    </row>
    <row r="1392" spans="1:9" x14ac:dyDescent="0.35">
      <c r="A1392" s="1" t="s">
        <v>1404</v>
      </c>
      <c r="B1392" t="str">
        <f>HYPERLINK("https://www.suredividend.com/sure-analysis-SBRA/","Sabra Healthcare REIT Inc")</f>
        <v>Sabra Healthcare REIT Inc</v>
      </c>
      <c r="C1392">
        <v>6.3527653213751006E-2</v>
      </c>
      <c r="D1392">
        <v>0.14906330749353999</v>
      </c>
      <c r="E1392">
        <v>0.28495706274888699</v>
      </c>
      <c r="F1392">
        <v>0.232931309350523</v>
      </c>
      <c r="G1392">
        <v>0.25427493565560699</v>
      </c>
      <c r="H1392">
        <v>0.124634474037777</v>
      </c>
      <c r="I1392">
        <v>1.8501950399025999E-2</v>
      </c>
    </row>
    <row r="1393" spans="1:9" x14ac:dyDescent="0.35">
      <c r="A1393" s="1" t="s">
        <v>1405</v>
      </c>
      <c r="B1393" t="str">
        <f>HYPERLINK("https://www.suredividend.com/sure-analysis-SBSI/","Southside Bancshares Inc")</f>
        <v>Southside Bancshares Inc</v>
      </c>
      <c r="C1393">
        <v>-5.4428668018931002E-2</v>
      </c>
      <c r="D1393">
        <v>5.3730061257242001E-2</v>
      </c>
      <c r="E1393">
        <v>-0.11772684545551999</v>
      </c>
      <c r="F1393">
        <v>-0.19676292875686299</v>
      </c>
      <c r="G1393">
        <v>-0.223277784411682</v>
      </c>
      <c r="H1393">
        <v>-0.220713366284221</v>
      </c>
      <c r="I1393">
        <v>9.3974651384350003E-3</v>
      </c>
    </row>
    <row r="1394" spans="1:9" x14ac:dyDescent="0.35">
      <c r="A1394" s="1" t="s">
        <v>1406</v>
      </c>
      <c r="B1394" t="str">
        <f>HYPERLINK("https://www.suredividend.com/sure-analysis-research-database/","Sterling Bancorp Inc")</f>
        <v>Sterling Bancorp Inc</v>
      </c>
      <c r="C1394">
        <v>-5.8727569331157997E-2</v>
      </c>
      <c r="D1394">
        <v>2.1238938053097001E-2</v>
      </c>
      <c r="E1394">
        <v>1.2280701754385E-2</v>
      </c>
      <c r="F1394">
        <v>-5.2545155993431007E-2</v>
      </c>
      <c r="G1394">
        <v>-4.4701986754966012E-2</v>
      </c>
      <c r="H1394">
        <v>0.111753371868978</v>
      </c>
      <c r="I1394">
        <v>-0.4710498331561</v>
      </c>
    </row>
    <row r="1395" spans="1:9" x14ac:dyDescent="0.35">
      <c r="A1395" s="1" t="s">
        <v>1407</v>
      </c>
      <c r="B1395" t="str">
        <f>HYPERLINK("https://www.suredividend.com/sure-analysis-SCHL/","Scholastic Corp.")</f>
        <v>Scholastic Corp.</v>
      </c>
      <c r="C1395">
        <v>-6.473551637279501E-2</v>
      </c>
      <c r="D1395">
        <v>-6.6729002030926007E-2</v>
      </c>
      <c r="E1395">
        <v>6.4919048370212007E-2</v>
      </c>
      <c r="F1395">
        <v>-4.0746941137566002E-2</v>
      </c>
      <c r="G1395">
        <v>0.18396969445737599</v>
      </c>
      <c r="H1395">
        <v>8.7398998995481009E-2</v>
      </c>
      <c r="I1395">
        <v>-7.6040037953190014E-3</v>
      </c>
    </row>
    <row r="1396" spans="1:9" x14ac:dyDescent="0.35">
      <c r="A1396" s="1" t="s">
        <v>1408</v>
      </c>
      <c r="B1396" t="str">
        <f>HYPERLINK("https://www.suredividend.com/sure-analysis-SCL/","Stepan Co.")</f>
        <v>Stepan Co.</v>
      </c>
      <c r="C1396">
        <v>-0.22137964774950999</v>
      </c>
      <c r="D1396">
        <v>-0.31128344051029511</v>
      </c>
      <c r="E1396">
        <v>-0.35636507021747699</v>
      </c>
      <c r="F1396">
        <v>-0.39504863558094699</v>
      </c>
      <c r="G1396">
        <v>-0.317628571704202</v>
      </c>
      <c r="H1396">
        <v>-0.45058406728317002</v>
      </c>
      <c r="I1396">
        <v>-0.20438426015609801</v>
      </c>
    </row>
    <row r="1397" spans="1:9" x14ac:dyDescent="0.35">
      <c r="A1397" s="1" t="s">
        <v>1409</v>
      </c>
      <c r="B1397" t="str">
        <f>HYPERLINK("https://www.suredividend.com/sure-analysis-research-database/","Steelcase, Inc.")</f>
        <v>Steelcase, Inc.</v>
      </c>
      <c r="C1397">
        <v>0.31036765629101998</v>
      </c>
      <c r="D1397">
        <v>0.52016737731401708</v>
      </c>
      <c r="E1397">
        <v>0.502185234618303</v>
      </c>
      <c r="F1397">
        <v>0.67912357940002011</v>
      </c>
      <c r="G1397">
        <v>0.75750153092467809</v>
      </c>
      <c r="H1397">
        <v>2.0027366587884E-2</v>
      </c>
      <c r="I1397">
        <v>-0.16032153541204899</v>
      </c>
    </row>
    <row r="1398" spans="1:9" x14ac:dyDescent="0.35">
      <c r="A1398" s="1" t="s">
        <v>1410</v>
      </c>
      <c r="B1398" t="str">
        <f>HYPERLINK("https://www.suredividend.com/sure-analysis-research-database/","Scansource, Inc.")</f>
        <v>Scansource, Inc.</v>
      </c>
      <c r="C1398">
        <v>6.0435931307792998E-2</v>
      </c>
      <c r="D1398">
        <v>9.2920353982300002E-2</v>
      </c>
      <c r="E1398">
        <v>7.8602620087336011E-2</v>
      </c>
      <c r="F1398">
        <v>9.8904859685147006E-2</v>
      </c>
      <c r="G1398">
        <v>0.16551724137931001</v>
      </c>
      <c r="H1398">
        <v>-0.13380091718370599</v>
      </c>
      <c r="I1398">
        <v>-0.12459105779716401</v>
      </c>
    </row>
    <row r="1399" spans="1:9" x14ac:dyDescent="0.35">
      <c r="A1399" s="1" t="s">
        <v>1411</v>
      </c>
      <c r="B1399" t="str">
        <f>HYPERLINK("https://www.suredividend.com/sure-analysis-research-database/","Sculptor Capital Management Inc")</f>
        <v>Sculptor Capital Management Inc</v>
      </c>
      <c r="C1399">
        <v>1.6638935108153001E-2</v>
      </c>
      <c r="D1399">
        <v>0.28496319663511999</v>
      </c>
      <c r="E1399">
        <v>0.47264401060496503</v>
      </c>
      <c r="F1399">
        <v>0.45419061559149299</v>
      </c>
      <c r="G1399">
        <v>0.38399682881250302</v>
      </c>
      <c r="H1399">
        <v>-0.52025188738874906</v>
      </c>
      <c r="I1399">
        <v>-0.26451558540827802</v>
      </c>
    </row>
    <row r="1400" spans="1:9" x14ac:dyDescent="0.35">
      <c r="A1400" s="1" t="s">
        <v>1412</v>
      </c>
      <c r="B1400" t="str">
        <f>HYPERLINK("https://www.suredividend.com/sure-analysis-research-database/","Shoe Carnival, Inc.")</f>
        <v>Shoe Carnival, Inc.</v>
      </c>
      <c r="C1400">
        <v>7.6442419198603007E-2</v>
      </c>
      <c r="D1400">
        <v>5.7399788252006007E-2</v>
      </c>
      <c r="E1400">
        <v>-7.4370986790134999E-2</v>
      </c>
      <c r="F1400">
        <v>1.6302924393417E-2</v>
      </c>
      <c r="G1400">
        <v>6.1125680855356003E-2</v>
      </c>
      <c r="H1400">
        <v>-0.238549286803451</v>
      </c>
      <c r="I1400">
        <v>0.294744442499562</v>
      </c>
    </row>
    <row r="1401" spans="1:9" x14ac:dyDescent="0.35">
      <c r="A1401" s="1" t="s">
        <v>1413</v>
      </c>
      <c r="B1401" t="str">
        <f>HYPERLINK("https://www.suredividend.com/sure-analysis-research-database/","SecureWorks Corp")</f>
        <v>SecureWorks Corp</v>
      </c>
      <c r="C1401">
        <v>-4.9586776859504002E-2</v>
      </c>
      <c r="D1401">
        <v>-0.22611036339165499</v>
      </c>
      <c r="E1401">
        <v>-0.32352941176470501</v>
      </c>
      <c r="F1401">
        <v>-0.100156494522691</v>
      </c>
      <c r="G1401">
        <v>-0.19692737430167501</v>
      </c>
      <c r="H1401">
        <v>-0.69560614081524608</v>
      </c>
      <c r="I1401">
        <v>-0.5956399437412091</v>
      </c>
    </row>
    <row r="1402" spans="1:9" x14ac:dyDescent="0.35">
      <c r="A1402" s="1" t="s">
        <v>1414</v>
      </c>
      <c r="B1402" t="str">
        <f>HYPERLINK("https://www.suredividend.com/sure-analysis-research-database/","Sandridge Energy Inc")</f>
        <v>Sandridge Energy Inc</v>
      </c>
      <c r="C1402">
        <v>3.0418250950569999E-2</v>
      </c>
      <c r="D1402">
        <v>6.6390340838289999E-2</v>
      </c>
      <c r="E1402">
        <v>0.19446403385049299</v>
      </c>
      <c r="F1402">
        <v>8.4346991037131003E-2</v>
      </c>
      <c r="G1402">
        <v>3.6857543680653013E-2</v>
      </c>
      <c r="H1402">
        <v>0.602996993148321</v>
      </c>
      <c r="I1402">
        <v>0.67420022446226802</v>
      </c>
    </row>
    <row r="1403" spans="1:9" x14ac:dyDescent="0.35">
      <c r="A1403" s="1" t="s">
        <v>1415</v>
      </c>
      <c r="B1403" t="str">
        <f>HYPERLINK("https://www.suredividend.com/sure-analysis-research-database/","Schrodinger Inc")</f>
        <v>Schrodinger Inc</v>
      </c>
      <c r="C1403">
        <v>-0.29003935815924903</v>
      </c>
      <c r="D1403">
        <v>-0.560449859418931</v>
      </c>
      <c r="E1403">
        <v>-0.14696253182975599</v>
      </c>
      <c r="F1403">
        <v>0.25468164794007397</v>
      </c>
      <c r="G1403">
        <v>7.0287539936102011E-2</v>
      </c>
      <c r="H1403">
        <v>-0.5764089595375721</v>
      </c>
      <c r="I1403">
        <v>-0.18121508379888199</v>
      </c>
    </row>
    <row r="1404" spans="1:9" x14ac:dyDescent="0.35">
      <c r="A1404" s="1" t="s">
        <v>1416</v>
      </c>
      <c r="B1404" t="str">
        <f>HYPERLINK("https://www.suredividend.com/sure-analysis-research-database/","SeaWorld Entertainment Inc")</f>
        <v>SeaWorld Entertainment Inc</v>
      </c>
      <c r="C1404">
        <v>-0.12894628946289399</v>
      </c>
      <c r="D1404">
        <v>-0.20221554637626701</v>
      </c>
      <c r="E1404">
        <v>-0.25573655631459102</v>
      </c>
      <c r="F1404">
        <v>-0.20594281442720899</v>
      </c>
      <c r="G1404">
        <v>-0.139355884140165</v>
      </c>
      <c r="H1404">
        <v>-0.28262704710450698</v>
      </c>
      <c r="I1404">
        <v>0.46517241379310298</v>
      </c>
    </row>
    <row r="1405" spans="1:9" x14ac:dyDescent="0.35">
      <c r="A1405" s="1" t="s">
        <v>1417</v>
      </c>
      <c r="B1405" t="str">
        <f>HYPERLINK("https://www.suredividend.com/sure-analysis-research-database/","Vivid Seats Inc")</f>
        <v>Vivid Seats Inc</v>
      </c>
      <c r="C1405">
        <v>-2.1116138763197002E-2</v>
      </c>
      <c r="D1405">
        <v>-0.201722017220172</v>
      </c>
      <c r="E1405">
        <v>-0.15384615384615299</v>
      </c>
      <c r="F1405">
        <v>-0.110958904109588</v>
      </c>
      <c r="G1405">
        <v>-0.13002680965147401</v>
      </c>
      <c r="H1405">
        <v>-0.46051537822111299</v>
      </c>
      <c r="I1405">
        <v>-0.35099999999999998</v>
      </c>
    </row>
    <row r="1406" spans="1:9" x14ac:dyDescent="0.35">
      <c r="A1406" s="1" t="s">
        <v>1418</v>
      </c>
      <c r="B1406" t="str">
        <f>HYPERLINK("https://www.suredividend.com/sure-analysis-research-database/","Seer Inc")</f>
        <v>Seer Inc</v>
      </c>
      <c r="C1406">
        <v>-0.29296875</v>
      </c>
      <c r="D1406">
        <v>-0.62133891213389103</v>
      </c>
      <c r="E1406">
        <v>-0.53589743589743499</v>
      </c>
      <c r="F1406">
        <v>-0.68793103448275805</v>
      </c>
      <c r="G1406">
        <v>-0.70947030497592301</v>
      </c>
      <c r="H1406">
        <v>-0.94515151515151508</v>
      </c>
      <c r="I1406">
        <v>-0.96794190577399908</v>
      </c>
    </row>
    <row r="1407" spans="1:9" x14ac:dyDescent="0.35">
      <c r="A1407" s="1" t="s">
        <v>1419</v>
      </c>
      <c r="B1407" t="str">
        <f>HYPERLINK("https://www.suredividend.com/sure-analysis-research-database/","Select Medical Holdings Corporation")</f>
        <v>Select Medical Holdings Corporation</v>
      </c>
      <c r="C1407">
        <v>-0.10436799381523</v>
      </c>
      <c r="D1407">
        <v>-0.21911598672126401</v>
      </c>
      <c r="E1407">
        <v>-0.17312311079864801</v>
      </c>
      <c r="F1407">
        <v>-5.4193063810332003E-2</v>
      </c>
      <c r="G1407">
        <v>7.5897935966195013E-2</v>
      </c>
      <c r="H1407">
        <v>-0.28145903820330598</v>
      </c>
      <c r="I1407">
        <v>0.41892181538706502</v>
      </c>
    </row>
    <row r="1408" spans="1:9" x14ac:dyDescent="0.35">
      <c r="A1408" s="1" t="s">
        <v>1420</v>
      </c>
      <c r="B1408" t="str">
        <f>HYPERLINK("https://www.suredividend.com/sure-analysis-research-database/","Seneca Foods Corp.")</f>
        <v>Seneca Foods Corp.</v>
      </c>
      <c r="C1408">
        <v>2.245508982035E-3</v>
      </c>
      <c r="D1408">
        <v>0.47183292113217912</v>
      </c>
      <c r="E1408">
        <v>6.6932270916334011E-2</v>
      </c>
      <c r="F1408">
        <v>-0.12124692370795701</v>
      </c>
      <c r="G1408">
        <v>-5.9360730593606997E-2</v>
      </c>
      <c r="H1408">
        <v>3.0991337824830999E-2</v>
      </c>
      <c r="I1408">
        <v>0.71446862996158711</v>
      </c>
    </row>
    <row r="1409" spans="1:9" x14ac:dyDescent="0.35">
      <c r="A1409" s="1" t="s">
        <v>1421</v>
      </c>
      <c r="B1409" t="str">
        <f>HYPERLINK("https://www.suredividend.com/sure-analysis-research-database/","Senseonics Holdings Inc")</f>
        <v>Senseonics Holdings Inc</v>
      </c>
      <c r="C1409">
        <v>5.6569343065690008E-3</v>
      </c>
      <c r="D1409">
        <v>-0.37017142857142799</v>
      </c>
      <c r="E1409">
        <v>-7.0500927643784003E-2</v>
      </c>
      <c r="F1409">
        <v>-0.46495145631067902</v>
      </c>
      <c r="G1409">
        <v>-0.51230088495575199</v>
      </c>
      <c r="H1409">
        <v>-0.83299999999999996</v>
      </c>
      <c r="I1409">
        <v>-0.84254285714285704</v>
      </c>
    </row>
    <row r="1410" spans="1:9" x14ac:dyDescent="0.35">
      <c r="A1410" s="1" t="s">
        <v>1422</v>
      </c>
      <c r="B1410" t="str">
        <f>HYPERLINK("https://www.suredividend.com/sure-analysis-research-database/","ServisFirst Bancshares Inc")</f>
        <v>ServisFirst Bancshares Inc</v>
      </c>
      <c r="C1410">
        <v>3.7869521395789999E-3</v>
      </c>
      <c r="D1410">
        <v>0.19917420875310601</v>
      </c>
      <c r="E1410">
        <v>2.7948412181458999E-2</v>
      </c>
      <c r="F1410">
        <v>-0.242749723542378</v>
      </c>
      <c r="G1410">
        <v>-0.38857788628430801</v>
      </c>
      <c r="H1410">
        <v>-0.29772146283154199</v>
      </c>
      <c r="I1410">
        <v>0.57099013115577502</v>
      </c>
    </row>
    <row r="1411" spans="1:9" x14ac:dyDescent="0.35">
      <c r="A1411" s="1" t="s">
        <v>1423</v>
      </c>
      <c r="B1411" t="str">
        <f>HYPERLINK("https://www.suredividend.com/sure-analysis-research-database/","Stitch Fix Inc")</f>
        <v>Stitch Fix Inc</v>
      </c>
      <c r="C1411">
        <v>-6.1919504643962002E-2</v>
      </c>
      <c r="D1411">
        <v>-0.24249999999999999</v>
      </c>
      <c r="E1411">
        <v>-0.30821917808219101</v>
      </c>
      <c r="F1411">
        <v>-2.5723472668810001E-2</v>
      </c>
      <c r="G1411">
        <v>-0.131805157593123</v>
      </c>
      <c r="H1411">
        <v>-0.90995542347696812</v>
      </c>
      <c r="I1411">
        <v>-0.88283062645011612</v>
      </c>
    </row>
    <row r="1412" spans="1:9" x14ac:dyDescent="0.35">
      <c r="A1412" s="1" t="s">
        <v>1424</v>
      </c>
      <c r="B1412" t="str">
        <f>HYPERLINK("https://www.suredividend.com/sure-analysis-SFL/","SFL Corporation Ltd")</f>
        <v>SFL Corporation Ltd</v>
      </c>
      <c r="C1412">
        <v>3.6178107606679E-2</v>
      </c>
      <c r="D1412">
        <v>0.22879584607599401</v>
      </c>
      <c r="E1412">
        <v>0.24195287917366201</v>
      </c>
      <c r="F1412">
        <v>0.30268467333753102</v>
      </c>
      <c r="G1412">
        <v>0.31189514234708199</v>
      </c>
      <c r="H1412">
        <v>0.633088686803707</v>
      </c>
      <c r="I1412">
        <v>0.34524827478231501</v>
      </c>
    </row>
    <row r="1413" spans="1:9" x14ac:dyDescent="0.35">
      <c r="A1413" s="1" t="s">
        <v>1425</v>
      </c>
      <c r="B1413" t="str">
        <f>HYPERLINK("https://www.suredividend.com/sure-analysis-research-database/","Sprouts Farmers Market Inc")</f>
        <v>Sprouts Farmers Market Inc</v>
      </c>
      <c r="C1413">
        <v>5.9068627450980002E-2</v>
      </c>
      <c r="D1413">
        <v>0.14828594206749901</v>
      </c>
      <c r="E1413">
        <v>0.30445283018867902</v>
      </c>
      <c r="F1413">
        <v>0.33487797343219</v>
      </c>
      <c r="G1413">
        <v>0.60215053763440807</v>
      </c>
      <c r="H1413">
        <v>0.95431931252826707</v>
      </c>
      <c r="I1413">
        <v>0.58104646908159507</v>
      </c>
    </row>
    <row r="1414" spans="1:9" x14ac:dyDescent="0.35">
      <c r="A1414" s="1" t="s">
        <v>1426</v>
      </c>
      <c r="B1414" t="str">
        <f>HYPERLINK("https://www.suredividend.com/sure-analysis-research-database/","Simmons First National Corp.")</f>
        <v>Simmons First National Corp.</v>
      </c>
      <c r="C1414">
        <v>-8.2191780821917013E-2</v>
      </c>
      <c r="D1414">
        <v>-6.0599510436809008E-2</v>
      </c>
      <c r="E1414">
        <v>3.4196141077799998E-3</v>
      </c>
      <c r="F1414">
        <v>-0.22085095867311999</v>
      </c>
      <c r="G1414">
        <v>-0.28937599434329098</v>
      </c>
      <c r="H1414">
        <v>-0.42560556105262698</v>
      </c>
      <c r="I1414">
        <v>-0.30654085500752498</v>
      </c>
    </row>
    <row r="1415" spans="1:9" x14ac:dyDescent="0.35">
      <c r="A1415" s="1" t="s">
        <v>1427</v>
      </c>
      <c r="B1415" t="str">
        <f>HYPERLINK("https://www.suredividend.com/sure-analysis-research-database/","Southern First Bancshares Inc")</f>
        <v>Southern First Bancshares Inc</v>
      </c>
      <c r="C1415">
        <v>-2.0029133284777002E-2</v>
      </c>
      <c r="D1415">
        <v>8.333333333333301E-2</v>
      </c>
      <c r="E1415">
        <v>-0.10982467747270901</v>
      </c>
      <c r="F1415">
        <v>-0.41180327868852401</v>
      </c>
      <c r="G1415">
        <v>-0.37418604651162701</v>
      </c>
      <c r="H1415">
        <v>-0.50166666666666604</v>
      </c>
      <c r="I1415">
        <v>-0.26233552631578899</v>
      </c>
    </row>
    <row r="1416" spans="1:9" x14ac:dyDescent="0.35">
      <c r="A1416" s="1" t="s">
        <v>1428</v>
      </c>
      <c r="B1416" t="str">
        <f>HYPERLINK("https://www.suredividend.com/sure-analysis-research-database/","Sweetgreen Inc")</f>
        <v>Sweetgreen Inc</v>
      </c>
      <c r="C1416">
        <v>-0.12977707006369399</v>
      </c>
      <c r="D1416">
        <v>-0.27471798274717901</v>
      </c>
      <c r="E1416">
        <v>0.43626806833114301</v>
      </c>
      <c r="F1416">
        <v>0.27537922987164498</v>
      </c>
      <c r="G1416">
        <v>-0.40240568616730399</v>
      </c>
      <c r="H1416">
        <v>-0.7791919191919191</v>
      </c>
      <c r="I1416">
        <v>-0.7791919191919191</v>
      </c>
    </row>
    <row r="1417" spans="1:9" x14ac:dyDescent="0.35">
      <c r="A1417" s="1" t="s">
        <v>1429</v>
      </c>
      <c r="B1417" t="str">
        <f>HYPERLINK("https://www.suredividend.com/sure-analysis-research-database/","Superior Group of Companies Inc..")</f>
        <v>Superior Group of Companies Inc..</v>
      </c>
      <c r="C1417">
        <v>-3.6708860759493013E-2</v>
      </c>
      <c r="D1417">
        <v>-0.25507547132872599</v>
      </c>
      <c r="E1417">
        <v>3.5331891215324013E-2</v>
      </c>
      <c r="F1417">
        <v>-0.18325731151059799</v>
      </c>
      <c r="G1417">
        <v>-3.1436935217003012E-2</v>
      </c>
      <c r="H1417">
        <v>-0.63621240224104603</v>
      </c>
      <c r="I1417">
        <v>-0.49591298703019199</v>
      </c>
    </row>
    <row r="1418" spans="1:9" x14ac:dyDescent="0.35">
      <c r="A1418" s="1" t="s">
        <v>1430</v>
      </c>
      <c r="B1418" t="str">
        <f>HYPERLINK("https://www.suredividend.com/sure-analysis-research-database/","SMART Global Holdings Inc")</f>
        <v>SMART Global Holdings Inc</v>
      </c>
      <c r="C1418">
        <v>-0.44255319148936101</v>
      </c>
      <c r="D1418">
        <v>-0.51961862852951901</v>
      </c>
      <c r="E1418">
        <v>-0.2002442002442</v>
      </c>
      <c r="F1418">
        <v>-0.119623655913978</v>
      </c>
      <c r="G1418">
        <v>1.7080745341613999E-2</v>
      </c>
      <c r="H1418">
        <v>-0.51055482906781202</v>
      </c>
      <c r="I1418">
        <v>-0.17219589257503901</v>
      </c>
    </row>
    <row r="1419" spans="1:9" x14ac:dyDescent="0.35">
      <c r="A1419" s="1" t="s">
        <v>1431</v>
      </c>
      <c r="B1419" t="str">
        <f>HYPERLINK("https://www.suredividend.com/sure-analysis-research-database/","Sight Sciences Inc")</f>
        <v>Sight Sciences Inc</v>
      </c>
      <c r="C1419">
        <v>9.5652173913043009E-2</v>
      </c>
      <c r="D1419">
        <v>-0.51476251604621304</v>
      </c>
      <c r="E1419">
        <v>-0.58823529411764708</v>
      </c>
      <c r="F1419">
        <v>-0.69041769041769008</v>
      </c>
      <c r="G1419">
        <v>-0.40095087163232901</v>
      </c>
      <c r="H1419">
        <v>-0.82418604651162808</v>
      </c>
      <c r="I1419">
        <v>-0.88716417910447709</v>
      </c>
    </row>
    <row r="1420" spans="1:9" x14ac:dyDescent="0.35">
      <c r="A1420" s="1" t="s">
        <v>1432</v>
      </c>
      <c r="B1420" t="str">
        <f>HYPERLINK("https://www.suredividend.com/sure-analysis-research-database/","Sangamo Therapeutics Inc")</f>
        <v>Sangamo Therapeutics Inc</v>
      </c>
      <c r="C1420">
        <v>-0.43960772540778498</v>
      </c>
      <c r="D1420">
        <v>-0.56589147286821706</v>
      </c>
      <c r="E1420">
        <v>-0.66060606060606009</v>
      </c>
      <c r="F1420">
        <v>-0.82165605095541405</v>
      </c>
      <c r="G1420">
        <v>-0.8790496760259171</v>
      </c>
      <c r="H1420">
        <v>-0.93600000000000005</v>
      </c>
      <c r="I1420">
        <v>-0.9596541786743511</v>
      </c>
    </row>
    <row r="1421" spans="1:9" x14ac:dyDescent="0.35">
      <c r="A1421" s="1" t="s">
        <v>1433</v>
      </c>
      <c r="B1421" t="str">
        <f>HYPERLINK("https://www.suredividend.com/sure-analysis-research-database/","Surgery Partners Inc")</f>
        <v>Surgery Partners Inc</v>
      </c>
      <c r="C1421">
        <v>-0.24607497596924</v>
      </c>
      <c r="D1421">
        <v>-0.46607669616519098</v>
      </c>
      <c r="E1421">
        <v>-0.36250338661609299</v>
      </c>
      <c r="F1421">
        <v>-0.155419956927494</v>
      </c>
      <c r="G1421">
        <v>-4.9292929292929007E-2</v>
      </c>
      <c r="H1421">
        <v>-0.42581747193753011</v>
      </c>
      <c r="I1421">
        <v>0.657042253521126</v>
      </c>
    </row>
    <row r="1422" spans="1:9" x14ac:dyDescent="0.35">
      <c r="A1422" s="1" t="s">
        <v>1434</v>
      </c>
      <c r="B1422" t="str">
        <f>HYPERLINK("https://www.suredividend.com/sure-analysis-research-database/","Shake Shack Inc")</f>
        <v>Shake Shack Inc</v>
      </c>
      <c r="C1422">
        <v>-0.13788659793814401</v>
      </c>
      <c r="D1422">
        <v>-0.32038095238095199</v>
      </c>
      <c r="E1422">
        <v>-9.4392004441970004E-3</v>
      </c>
      <c r="F1422">
        <v>0.28870695882494501</v>
      </c>
      <c r="G1422">
        <v>0.118962993936859</v>
      </c>
      <c r="H1422">
        <v>-0.29046798356091702</v>
      </c>
      <c r="I1422">
        <v>-7.7718421506117005E-2</v>
      </c>
    </row>
    <row r="1423" spans="1:9" x14ac:dyDescent="0.35">
      <c r="A1423" s="1" t="s">
        <v>1435</v>
      </c>
      <c r="B1423" t="str">
        <f>HYPERLINK("https://www.suredividend.com/sure-analysis-research-database/","Shore Bancshares Inc.")</f>
        <v>Shore Bancshares Inc.</v>
      </c>
      <c r="C1423">
        <v>-9.557522123893801E-2</v>
      </c>
      <c r="D1423">
        <v>-0.10431802844798101</v>
      </c>
      <c r="E1423">
        <v>-0.211620497867055</v>
      </c>
      <c r="F1423">
        <v>-0.39061475165464099</v>
      </c>
      <c r="G1423">
        <v>-0.39624870772411702</v>
      </c>
      <c r="H1423">
        <v>-0.38669083096791201</v>
      </c>
      <c r="I1423">
        <v>-0.29985613482222301</v>
      </c>
    </row>
    <row r="1424" spans="1:9" x14ac:dyDescent="0.35">
      <c r="A1424" s="1" t="s">
        <v>1436</v>
      </c>
      <c r="B1424" t="str">
        <f>HYPERLINK("https://www.suredividend.com/sure-analysis-research-database/","Sharecare Inc")</f>
        <v>Sharecare Inc</v>
      </c>
      <c r="C1424">
        <v>0.27848231776471799</v>
      </c>
      <c r="D1424">
        <v>-0.28735632183908</v>
      </c>
      <c r="E1424">
        <v>-0.20512820512820501</v>
      </c>
      <c r="F1424">
        <v>-0.22500000000000001</v>
      </c>
      <c r="G1424">
        <v>-0.32972972972972903</v>
      </c>
      <c r="H1424">
        <v>-0.81844802342606104</v>
      </c>
      <c r="I1424">
        <v>-0.876</v>
      </c>
    </row>
    <row r="1425" spans="1:9" x14ac:dyDescent="0.35">
      <c r="A1425" s="1" t="s">
        <v>1437</v>
      </c>
      <c r="B1425" t="str">
        <f>HYPERLINK("https://www.suredividend.com/sure-analysis-research-database/","Shenandoah Telecommunications Co.")</f>
        <v>Shenandoah Telecommunications Co.</v>
      </c>
      <c r="C1425">
        <v>3.2411820781696001E-2</v>
      </c>
      <c r="D1425">
        <v>0.17525773195876199</v>
      </c>
      <c r="E1425">
        <v>8.083832335329301E-2</v>
      </c>
      <c r="F1425">
        <v>0.36397984886649798</v>
      </c>
      <c r="G1425">
        <v>0.255331973293768</v>
      </c>
      <c r="H1425">
        <v>-0.30184434287629802</v>
      </c>
      <c r="I1425">
        <v>-5.0607944035836003E-2</v>
      </c>
    </row>
    <row r="1426" spans="1:9" x14ac:dyDescent="0.35">
      <c r="A1426" s="1" t="s">
        <v>1438</v>
      </c>
      <c r="B1426" t="str">
        <f>HYPERLINK("https://www.suredividend.com/sure-analysis-research-database/","Shoals Technologies Group Inc")</f>
        <v>Shoals Technologies Group Inc</v>
      </c>
      <c r="C1426">
        <v>-0.23439733206288699</v>
      </c>
      <c r="D1426">
        <v>-0.36607495069033502</v>
      </c>
      <c r="E1426">
        <v>-0.30008710801393701</v>
      </c>
      <c r="F1426">
        <v>-0.34860154033238699</v>
      </c>
      <c r="G1426">
        <v>-0.196098049024512</v>
      </c>
      <c r="H1426">
        <v>-0.43074743181013098</v>
      </c>
      <c r="I1426">
        <v>-0.48127824402840502</v>
      </c>
    </row>
    <row r="1427" spans="1:9" x14ac:dyDescent="0.35">
      <c r="A1427" s="1" t="s">
        <v>1439</v>
      </c>
      <c r="B1427" t="str">
        <f>HYPERLINK("https://www.suredividend.com/sure-analysis-research-database/","Sunstone Hotel Investors Inc")</f>
        <v>Sunstone Hotel Investors Inc</v>
      </c>
      <c r="C1427">
        <v>9.7188138506600005E-3</v>
      </c>
      <c r="D1427">
        <v>-5.7060937689294003E-2</v>
      </c>
      <c r="E1427">
        <v>-1.5712765172670999E-2</v>
      </c>
      <c r="F1427">
        <v>-1.5546772068510999E-2</v>
      </c>
      <c r="G1427">
        <v>-4.7813232745437001E-2</v>
      </c>
      <c r="H1427">
        <v>-0.21820723367568101</v>
      </c>
      <c r="I1427">
        <v>-0.27636166421321701</v>
      </c>
    </row>
    <row r="1428" spans="1:9" x14ac:dyDescent="0.35">
      <c r="A1428" s="1" t="s">
        <v>1440</v>
      </c>
      <c r="B1428" t="str">
        <f>HYPERLINK("https://www.suredividend.com/sure-analysis-research-database/","Steven Madden Ltd.")</f>
        <v>Steven Madden Ltd.</v>
      </c>
      <c r="C1428">
        <v>5.0314465408800007E-3</v>
      </c>
      <c r="D1428">
        <v>-8.6049123068230003E-3</v>
      </c>
      <c r="E1428">
        <v>-9.4394369150470003E-2</v>
      </c>
      <c r="F1428">
        <v>3.2416455348634E-2</v>
      </c>
      <c r="G1428">
        <v>0.206561337939105</v>
      </c>
      <c r="H1428">
        <v>-0.20780888265359199</v>
      </c>
      <c r="I1428">
        <v>0.173602032872607</v>
      </c>
    </row>
    <row r="1429" spans="1:9" x14ac:dyDescent="0.35">
      <c r="A1429" s="1" t="s">
        <v>1441</v>
      </c>
      <c r="B1429" t="str">
        <f>HYPERLINK("https://www.suredividend.com/sure-analysis-research-database/","Shyft Group Inc (The)")</f>
        <v>Shyft Group Inc (The)</v>
      </c>
      <c r="C1429">
        <v>-9.5669036845507011E-2</v>
      </c>
      <c r="D1429">
        <v>-0.33161020309685602</v>
      </c>
      <c r="E1429">
        <v>-0.37844598166882099</v>
      </c>
      <c r="F1429">
        <v>-0.43205806891624099</v>
      </c>
      <c r="G1429">
        <v>-0.297940994926507</v>
      </c>
      <c r="H1429">
        <v>-0.61583348207543209</v>
      </c>
      <c r="I1429">
        <v>0.19345179700229401</v>
      </c>
    </row>
    <row r="1430" spans="1:9" x14ac:dyDescent="0.35">
      <c r="A1430" s="1" t="s">
        <v>1442</v>
      </c>
      <c r="B1430" t="str">
        <f>HYPERLINK("https://www.suredividend.com/sure-analysis-research-database/","SI-BONE Inc")</f>
        <v>SI-BONE Inc</v>
      </c>
      <c r="C1430">
        <v>-0.22757999098693099</v>
      </c>
      <c r="D1430">
        <v>-0.34354653389505901</v>
      </c>
      <c r="E1430">
        <v>-0.137393054856567</v>
      </c>
      <c r="F1430">
        <v>0.26029411764705901</v>
      </c>
      <c r="G1430">
        <v>-1.4376078205865001E-2</v>
      </c>
      <c r="H1430">
        <v>-0.249890590809628</v>
      </c>
      <c r="I1430">
        <v>-0.14556331006979001</v>
      </c>
    </row>
    <row r="1431" spans="1:9" x14ac:dyDescent="0.35">
      <c r="A1431" s="1" t="s">
        <v>1443</v>
      </c>
      <c r="B1431" t="str">
        <f>HYPERLINK("https://www.suredividend.com/sure-analysis-research-database/","Signet Jewelers Ltd")</f>
        <v>Signet Jewelers Ltd</v>
      </c>
      <c r="C1431">
        <v>-9.2505241090146004E-2</v>
      </c>
      <c r="D1431">
        <v>-1.4601707587394999E-2</v>
      </c>
      <c r="E1431">
        <v>-5.8336630378772007E-2</v>
      </c>
      <c r="F1431">
        <v>2.7422661448953001E-2</v>
      </c>
      <c r="G1431">
        <v>0.194679656464914</v>
      </c>
      <c r="H1431">
        <v>-0.18102281098607101</v>
      </c>
      <c r="I1431">
        <v>0.35006851704934211</v>
      </c>
    </row>
    <row r="1432" spans="1:9" x14ac:dyDescent="0.35">
      <c r="A1432" s="1" t="s">
        <v>1444</v>
      </c>
      <c r="B1432" t="str">
        <f>HYPERLINK("https://www.suredividend.com/sure-analysis-research-database/","SIGA Technologies Inc")</f>
        <v>SIGA Technologies Inc</v>
      </c>
      <c r="C1432">
        <v>0.19037199124726401</v>
      </c>
      <c r="D1432">
        <v>0.10344827586206901</v>
      </c>
      <c r="E1432">
        <v>7.1203528670447006E-2</v>
      </c>
      <c r="F1432">
        <v>-0.134019962113373</v>
      </c>
      <c r="G1432">
        <v>-0.30871476859735097</v>
      </c>
      <c r="H1432">
        <v>-4.6015712682379001E-2</v>
      </c>
      <c r="I1432">
        <v>0.31706372264187499</v>
      </c>
    </row>
    <row r="1433" spans="1:9" x14ac:dyDescent="0.35">
      <c r="A1433" s="1" t="s">
        <v>1445</v>
      </c>
      <c r="B1433" t="str">
        <f>HYPERLINK("https://www.suredividend.com/sure-analysis-research-database/","Selective Insurance Group Inc.")</f>
        <v>Selective Insurance Group Inc.</v>
      </c>
      <c r="C1433">
        <v>2.8797912903872999E-2</v>
      </c>
      <c r="D1433">
        <v>9.566351065421301E-2</v>
      </c>
      <c r="E1433">
        <v>9.1351890466717003E-2</v>
      </c>
      <c r="F1433">
        <v>0.17094841911113901</v>
      </c>
      <c r="G1433">
        <v>0.16364453513802399</v>
      </c>
      <c r="H1433">
        <v>0.34385383148416299</v>
      </c>
      <c r="I1433">
        <v>0.90967727515705998</v>
      </c>
    </row>
    <row r="1434" spans="1:9" x14ac:dyDescent="0.35">
      <c r="A1434" s="1" t="s">
        <v>1446</v>
      </c>
      <c r="B1434" t="str">
        <f>HYPERLINK("https://www.suredividend.com/sure-analysis-research-database/","Silk Road Medical Inc")</f>
        <v>Silk Road Medical Inc</v>
      </c>
      <c r="C1434">
        <v>-0.54905437352245801</v>
      </c>
      <c r="D1434">
        <v>-0.65064102564102511</v>
      </c>
      <c r="E1434">
        <v>-0.81471588149587104</v>
      </c>
      <c r="F1434">
        <v>-0.8556291390728471</v>
      </c>
      <c r="G1434">
        <v>-0.81179082387765111</v>
      </c>
      <c r="H1434">
        <v>-0.86844827586206907</v>
      </c>
      <c r="I1434">
        <v>-0.7891100055279161</v>
      </c>
    </row>
    <row r="1435" spans="1:9" x14ac:dyDescent="0.35">
      <c r="A1435" s="1" t="s">
        <v>1447</v>
      </c>
      <c r="B1435" t="str">
        <f>HYPERLINK("https://www.suredividend.com/sure-analysis-research-database/","SITE Centers Corp")</f>
        <v>SITE Centers Corp</v>
      </c>
      <c r="C1435">
        <v>-0.12107066887260599</v>
      </c>
      <c r="D1435">
        <v>-0.142997061704211</v>
      </c>
      <c r="E1435">
        <v>2.3083867085070001E-2</v>
      </c>
      <c r="F1435">
        <v>-0.10154097048675299</v>
      </c>
      <c r="G1435">
        <v>0.13496552184570201</v>
      </c>
      <c r="H1435">
        <v>-0.233138718117258</v>
      </c>
      <c r="I1435">
        <v>0.206994482310938</v>
      </c>
    </row>
    <row r="1436" spans="1:9" x14ac:dyDescent="0.35">
      <c r="A1436" s="1" t="s">
        <v>1448</v>
      </c>
      <c r="B1436" t="str">
        <f>HYPERLINK("https://www.suredividend.com/sure-analysis-research-database/","SiTime Corp")</f>
        <v>SiTime Corp</v>
      </c>
      <c r="C1436">
        <v>-2.0194141098976999E-2</v>
      </c>
      <c r="D1436">
        <v>-0.10604143602720199</v>
      </c>
      <c r="E1436">
        <v>-6.6088393225938999E-2</v>
      </c>
      <c r="F1436">
        <v>0.112477858689234</v>
      </c>
      <c r="G1436">
        <v>0.54229195088676607</v>
      </c>
      <c r="H1436">
        <v>-0.49181875393329111</v>
      </c>
      <c r="I1436">
        <v>5.0616621983914216</v>
      </c>
    </row>
    <row r="1437" spans="1:9" x14ac:dyDescent="0.35">
      <c r="A1437" s="1" t="s">
        <v>1449</v>
      </c>
      <c r="B1437" t="str">
        <f>HYPERLINK("https://www.suredividend.com/sure-analysis-SJW/","SJW Group")</f>
        <v>SJW Group</v>
      </c>
      <c r="C1437">
        <v>-8.8947125019269005E-2</v>
      </c>
      <c r="D1437">
        <v>-0.15090476772001399</v>
      </c>
      <c r="E1437">
        <v>-0.24474291227644099</v>
      </c>
      <c r="F1437">
        <v>-0.26089892699032002</v>
      </c>
      <c r="G1437">
        <v>-3.0204772836543999E-2</v>
      </c>
      <c r="H1437">
        <v>-9.234436239879E-2</v>
      </c>
      <c r="I1437">
        <v>0.122100054870882</v>
      </c>
    </row>
    <row r="1438" spans="1:9" x14ac:dyDescent="0.35">
      <c r="A1438" s="1" t="s">
        <v>1450</v>
      </c>
      <c r="B1438" t="str">
        <f>HYPERLINK("https://www.suredividend.com/sure-analysis-research-database/","Skillsoft Corp.")</f>
        <v>Skillsoft Corp.</v>
      </c>
      <c r="C1438">
        <v>-0.23482142857142799</v>
      </c>
      <c r="D1438">
        <v>-0.36985294117647011</v>
      </c>
      <c r="E1438">
        <v>-0.43245033112582698</v>
      </c>
      <c r="F1438">
        <v>-0.34076923076922999</v>
      </c>
      <c r="G1438">
        <v>-0.41700680272108798</v>
      </c>
      <c r="H1438">
        <v>-0.93219936708860707</v>
      </c>
      <c r="I1438">
        <v>0.73131313131313103</v>
      </c>
    </row>
    <row r="1439" spans="1:9" x14ac:dyDescent="0.35">
      <c r="A1439" s="1" t="s">
        <v>1451</v>
      </c>
      <c r="B1439" t="str">
        <f>HYPERLINK("https://www.suredividend.com/sure-analysis-research-database/","Beauty Health Company (The)")</f>
        <v>Beauty Health Company (The)</v>
      </c>
      <c r="C1439">
        <v>-0.24517087667161899</v>
      </c>
      <c r="D1439">
        <v>-0.39307048984468301</v>
      </c>
      <c r="E1439">
        <v>-0.62286562731997008</v>
      </c>
      <c r="F1439">
        <v>-0.44175824175824102</v>
      </c>
      <c r="G1439">
        <v>-0.5763135946622181</v>
      </c>
      <c r="H1439">
        <v>-0.80156249999999996</v>
      </c>
      <c r="I1439">
        <v>-0.53136099041504004</v>
      </c>
    </row>
    <row r="1440" spans="1:9" x14ac:dyDescent="0.35">
      <c r="A1440" s="1" t="s">
        <v>1452</v>
      </c>
      <c r="B1440" t="str">
        <f>HYPERLINK("https://www.suredividend.com/sure-analysis-research-database/","Skillz Inc")</f>
        <v>Skillz Inc</v>
      </c>
      <c r="C1440">
        <v>-0.33649289099525997</v>
      </c>
      <c r="D1440">
        <v>-0.65432098765432101</v>
      </c>
      <c r="E1440">
        <v>-0.69853574504737204</v>
      </c>
      <c r="F1440">
        <v>-0.58538993089832103</v>
      </c>
      <c r="G1440">
        <v>-0.76404494382022403</v>
      </c>
      <c r="H1440">
        <v>-0.97594501718213011</v>
      </c>
      <c r="I1440">
        <v>-0.57575757575757502</v>
      </c>
    </row>
    <row r="1441" spans="1:9" x14ac:dyDescent="0.35">
      <c r="A1441" s="1" t="s">
        <v>1453</v>
      </c>
      <c r="B1441" t="str">
        <f>HYPERLINK("https://www.suredividend.com/sure-analysis-SKT/","Tanger Factory Outlet Centers, Inc.")</f>
        <v>Tanger Factory Outlet Centers, Inc.</v>
      </c>
      <c r="C1441">
        <v>-2.2080679405519998E-2</v>
      </c>
      <c r="D1441">
        <v>1.1103257218873E-2</v>
      </c>
      <c r="E1441">
        <v>0.22558019487948999</v>
      </c>
      <c r="F1441">
        <v>0.33027575929113501</v>
      </c>
      <c r="G1441">
        <v>0.48640101201771002</v>
      </c>
      <c r="H1441">
        <v>0.50847246693871107</v>
      </c>
      <c r="I1441">
        <v>0.43037259249597798</v>
      </c>
    </row>
    <row r="1442" spans="1:9" x14ac:dyDescent="0.35">
      <c r="A1442" s="1" t="s">
        <v>1454</v>
      </c>
      <c r="B1442" t="str">
        <f>HYPERLINK("https://www.suredividend.com/sure-analysis-research-database/","Skyward Specialty Insurance Group Inc")</f>
        <v>Skyward Specialty Insurance Group Inc</v>
      </c>
      <c r="C1442">
        <v>0.13110938712179901</v>
      </c>
      <c r="D1442">
        <v>0.18200243210376901</v>
      </c>
      <c r="E1442">
        <v>0.37677053824362611</v>
      </c>
      <c r="F1442">
        <v>0.52670157068062806</v>
      </c>
      <c r="G1442">
        <v>0.52670157068062806</v>
      </c>
      <c r="H1442">
        <v>0.52670157068062806</v>
      </c>
      <c r="I1442">
        <v>0.52670157068062806</v>
      </c>
    </row>
    <row r="1443" spans="1:9" x14ac:dyDescent="0.35">
      <c r="A1443" s="1" t="s">
        <v>1455</v>
      </c>
      <c r="B1443" t="str">
        <f>HYPERLINK("https://www.suredividend.com/sure-analysis-research-database/","Skyline Champion Corp")</f>
        <v>Skyline Champion Corp</v>
      </c>
      <c r="C1443">
        <v>-0.12106850495476</v>
      </c>
      <c r="D1443">
        <v>-0.109040617265977</v>
      </c>
      <c r="E1443">
        <v>-0.123962210134554</v>
      </c>
      <c r="F1443">
        <v>0.18811881188118801</v>
      </c>
      <c r="G1443">
        <v>0.14671163575042101</v>
      </c>
      <c r="H1443">
        <v>0</v>
      </c>
      <c r="I1443">
        <v>1.3990591924735389</v>
      </c>
    </row>
    <row r="1444" spans="1:9" x14ac:dyDescent="0.35">
      <c r="A1444" s="1" t="s">
        <v>1456</v>
      </c>
      <c r="B1444" t="str">
        <f>HYPERLINK("https://www.suredividend.com/sure-analysis-research-database/","SkyWater Technology Inc")</f>
        <v>SkyWater Technology Inc</v>
      </c>
      <c r="C1444">
        <v>-9.5469255663430008E-2</v>
      </c>
      <c r="D1444">
        <v>-0.38773274917853201</v>
      </c>
      <c r="E1444">
        <v>-0.42959183673469298</v>
      </c>
      <c r="F1444">
        <v>-0.213783403656821</v>
      </c>
      <c r="G1444">
        <v>-0.133333333333333</v>
      </c>
      <c r="H1444">
        <v>-0.79110612855007412</v>
      </c>
      <c r="I1444">
        <v>-0.684892897406989</v>
      </c>
    </row>
    <row r="1445" spans="1:9" x14ac:dyDescent="0.35">
      <c r="A1445" s="1" t="s">
        <v>1457</v>
      </c>
      <c r="B1445" t="str">
        <f>HYPERLINK("https://www.suredividend.com/sure-analysis-research-database/","Skywest Inc.")</f>
        <v>Skywest Inc.</v>
      </c>
      <c r="C1445">
        <v>-7.4644273384651003E-2</v>
      </c>
      <c r="D1445">
        <v>-1.8797922334898999E-2</v>
      </c>
      <c r="E1445">
        <v>0.67737843551797006</v>
      </c>
      <c r="F1445">
        <v>1.402786190187765</v>
      </c>
      <c r="G1445">
        <v>1.2286516853932581</v>
      </c>
      <c r="H1445">
        <v>-0.197288547146904</v>
      </c>
      <c r="I1445">
        <v>-0.20426850672470301</v>
      </c>
    </row>
    <row r="1446" spans="1:9" x14ac:dyDescent="0.35">
      <c r="A1446" s="1" t="s">
        <v>1458</v>
      </c>
      <c r="B1446" t="str">
        <f>HYPERLINK("https://www.suredividend.com/sure-analysis-research-database/","Silicon Laboratories Inc")</f>
        <v>Silicon Laboratories Inc</v>
      </c>
      <c r="C1446">
        <v>-0.102029080752485</v>
      </c>
      <c r="D1446">
        <v>-0.31320683588841403</v>
      </c>
      <c r="E1446">
        <v>-0.34849207295267598</v>
      </c>
      <c r="F1446">
        <v>-0.19429498046731</v>
      </c>
      <c r="G1446">
        <v>-4.582751396648E-2</v>
      </c>
      <c r="H1446">
        <v>-0.25482309632558398</v>
      </c>
      <c r="I1446">
        <v>0.33974751807819498</v>
      </c>
    </row>
    <row r="1447" spans="1:9" x14ac:dyDescent="0.35">
      <c r="A1447" s="1" t="s">
        <v>1459</v>
      </c>
      <c r="B1447" t="str">
        <f>HYPERLINK("https://www.suredividend.com/sure-analysis-research-database/","U.S. Silica Holdings Inc")</f>
        <v>U.S. Silica Holdings Inc</v>
      </c>
      <c r="C1447">
        <v>-5.3883834849545002E-2</v>
      </c>
      <c r="D1447">
        <v>2.6575550493545E-2</v>
      </c>
      <c r="E1447">
        <v>8.8566827697262013E-2</v>
      </c>
      <c r="F1447">
        <v>8.1599999999999007E-2</v>
      </c>
      <c r="G1447">
        <v>0.203918076580587</v>
      </c>
      <c r="H1447">
        <v>0.37538148524923698</v>
      </c>
      <c r="I1447">
        <v>-0.227141509703604</v>
      </c>
    </row>
    <row r="1448" spans="1:9" x14ac:dyDescent="0.35">
      <c r="A1448" s="1" t="s">
        <v>1460</v>
      </c>
      <c r="B1448" t="str">
        <f>HYPERLINK("https://www.suredividend.com/sure-analysis-research-database/","Solid Power Inc")</f>
        <v>Solid Power Inc</v>
      </c>
      <c r="C1448">
        <v>-0.17370892018779299</v>
      </c>
      <c r="D1448">
        <v>-0.36690647482014299</v>
      </c>
      <c r="E1448">
        <v>-0.35055350553505499</v>
      </c>
      <c r="F1448">
        <v>-0.30708661417322802</v>
      </c>
      <c r="G1448">
        <v>-0.62393162393162305</v>
      </c>
      <c r="H1448">
        <v>-0.82522343594836112</v>
      </c>
      <c r="I1448">
        <v>-0.82400000000000007</v>
      </c>
    </row>
    <row r="1449" spans="1:9" x14ac:dyDescent="0.35">
      <c r="A1449" s="1" t="s">
        <v>1461</v>
      </c>
      <c r="B1449" t="str">
        <f>HYPERLINK("https://www.suredividend.com/sure-analysis-research-database/","SomaLogic Inc")</f>
        <v>SomaLogic Inc</v>
      </c>
      <c r="C1449">
        <v>-0.24034334763948401</v>
      </c>
      <c r="D1449">
        <v>-0.24034334763948401</v>
      </c>
      <c r="E1449">
        <v>-0.42156862745098012</v>
      </c>
      <c r="F1449">
        <v>-0.29482071713147401</v>
      </c>
      <c r="G1449">
        <v>-0.35401459854014611</v>
      </c>
      <c r="H1449">
        <v>-0.84728213977566802</v>
      </c>
      <c r="I1449">
        <v>-0.87203585887796409</v>
      </c>
    </row>
    <row r="1450" spans="1:9" x14ac:dyDescent="0.35">
      <c r="A1450" s="1" t="s">
        <v>1462</v>
      </c>
      <c r="B1450" t="str">
        <f>HYPERLINK("https://www.suredividend.com/sure-analysis-research-database/","Simulations Plus Inc.")</f>
        <v>Simulations Plus Inc.</v>
      </c>
      <c r="C1450">
        <v>-8.536585365853E-3</v>
      </c>
      <c r="D1450">
        <v>-0.14376348072256601</v>
      </c>
      <c r="E1450">
        <v>-6.4713109662100005E-2</v>
      </c>
      <c r="F1450">
        <v>0.11907016693828899</v>
      </c>
      <c r="G1450">
        <v>-0.128348300440007</v>
      </c>
      <c r="H1450">
        <v>3.3956505150705002E-2</v>
      </c>
      <c r="I1450">
        <v>1.0897486646685961</v>
      </c>
    </row>
    <row r="1451" spans="1:9" x14ac:dyDescent="0.35">
      <c r="A1451" s="1" t="s">
        <v>1463</v>
      </c>
      <c r="B1451" t="str">
        <f>HYPERLINK("https://www.suredividend.com/sure-analysis-research-database/","SelectQuote Inc")</f>
        <v>SelectQuote Inc</v>
      </c>
      <c r="C1451">
        <v>0</v>
      </c>
      <c r="D1451">
        <v>-0.32240437158469898</v>
      </c>
      <c r="E1451">
        <v>-0.32608695652173902</v>
      </c>
      <c r="F1451">
        <v>0.8455127251079021</v>
      </c>
      <c r="G1451">
        <v>1.231018351925153</v>
      </c>
      <c r="H1451">
        <v>-0.90766939687267312</v>
      </c>
      <c r="I1451">
        <v>-0.95407407407407407</v>
      </c>
    </row>
    <row r="1452" spans="1:9" x14ac:dyDescent="0.35">
      <c r="A1452" s="1" t="s">
        <v>1464</v>
      </c>
      <c r="B1452" t="str">
        <f>HYPERLINK("https://www.suredividend.com/sure-analysis-research-database/","Sylvamo Corp")</f>
        <v>Sylvamo Corp</v>
      </c>
      <c r="C1452">
        <v>1.7232449738688E-2</v>
      </c>
      <c r="D1452">
        <v>1.2498652657428E-2</v>
      </c>
      <c r="E1452">
        <v>-3.6686612150990998E-2</v>
      </c>
      <c r="F1452">
        <v>-8.9372571168452E-2</v>
      </c>
      <c r="G1452">
        <v>5.5771927852734007E-2</v>
      </c>
      <c r="H1452">
        <v>0.61443388330942106</v>
      </c>
      <c r="I1452">
        <v>0.72839999999999905</v>
      </c>
    </row>
    <row r="1453" spans="1:9" x14ac:dyDescent="0.35">
      <c r="A1453" s="1" t="s">
        <v>1465</v>
      </c>
      <c r="B1453" t="str">
        <f>HYPERLINK("https://www.suredividend.com/sure-analysis-research-database/","SM Energy Co")</f>
        <v>SM Energy Co</v>
      </c>
      <c r="C1453">
        <v>6.0368779994946997E-2</v>
      </c>
      <c r="D1453">
        <v>0.30008888173155202</v>
      </c>
      <c r="E1453">
        <v>0.36977361864301611</v>
      </c>
      <c r="F1453">
        <v>0.22231733664098499</v>
      </c>
      <c r="G1453">
        <v>-1.7768148359592999E-2</v>
      </c>
      <c r="H1453">
        <v>0.46931175449403512</v>
      </c>
      <c r="I1453">
        <v>0.44275050520324899</v>
      </c>
    </row>
    <row r="1454" spans="1:9" x14ac:dyDescent="0.35">
      <c r="A1454" s="1" t="s">
        <v>1466</v>
      </c>
      <c r="B1454" t="str">
        <f>HYPERLINK("https://www.suredividend.com/sure-analysis-research-database/","Southern Missouri Bancorp, Inc.")</f>
        <v>Southern Missouri Bancorp, Inc.</v>
      </c>
      <c r="C1454">
        <v>-3.9401851412295012E-2</v>
      </c>
      <c r="D1454">
        <v>2.5954337806937001E-2</v>
      </c>
      <c r="E1454">
        <v>0.15719824776109101</v>
      </c>
      <c r="F1454">
        <v>-9.8932612538796011E-2</v>
      </c>
      <c r="G1454">
        <v>-0.227310479136237</v>
      </c>
      <c r="H1454">
        <v>-0.113227309180628</v>
      </c>
      <c r="I1454">
        <v>0.190168099848251</v>
      </c>
    </row>
    <row r="1455" spans="1:9" x14ac:dyDescent="0.35">
      <c r="A1455" s="1" t="s">
        <v>1467</v>
      </c>
      <c r="B1455" t="str">
        <f>HYPERLINK("https://www.suredividend.com/sure-analysis-research-database/","SmartFinancial Inc")</f>
        <v>SmartFinancial Inc</v>
      </c>
      <c r="C1455">
        <v>-7.9414374445430008E-2</v>
      </c>
      <c r="D1455">
        <v>-6.6375105735831011E-2</v>
      </c>
      <c r="E1455">
        <v>-6.5235312932187012E-2</v>
      </c>
      <c r="F1455">
        <v>-0.23531904700484599</v>
      </c>
      <c r="G1455">
        <v>-0.20206425017112301</v>
      </c>
      <c r="H1455">
        <v>-0.17434295605117001</v>
      </c>
      <c r="I1455">
        <v>-7.239768434699001E-2</v>
      </c>
    </row>
    <row r="1456" spans="1:9" x14ac:dyDescent="0.35">
      <c r="A1456" s="1" t="s">
        <v>1468</v>
      </c>
      <c r="B1456" t="str">
        <f>HYPERLINK("https://www.suredividend.com/sure-analysis-research-database/","Super Micro Computer Inc")</f>
        <v>Super Micro Computer Inc</v>
      </c>
      <c r="C1456">
        <v>0.14418679290700401</v>
      </c>
      <c r="D1456">
        <v>-3.4464080167918999E-2</v>
      </c>
      <c r="E1456">
        <v>1.6129180027485099</v>
      </c>
      <c r="F1456">
        <v>2.473812423873325</v>
      </c>
      <c r="G1456">
        <v>4.279526101443909</v>
      </c>
      <c r="H1456">
        <v>7.047404063205418</v>
      </c>
      <c r="I1456">
        <v>17.223642172523959</v>
      </c>
    </row>
    <row r="1457" spans="1:9" x14ac:dyDescent="0.35">
      <c r="A1457" s="1" t="s">
        <v>1469</v>
      </c>
      <c r="B1457" t="str">
        <f>HYPERLINK("https://www.suredividend.com/sure-analysis-research-database/","Summit Financial Group Inc")</f>
        <v>Summit Financial Group Inc</v>
      </c>
      <c r="C1457">
        <v>-4.5914069081718002E-2</v>
      </c>
      <c r="D1457">
        <v>0.12819031300432299</v>
      </c>
      <c r="E1457">
        <v>0.23788755718056701</v>
      </c>
      <c r="F1457">
        <v>-4.6548632333998002E-2</v>
      </c>
      <c r="G1457">
        <v>-0.14101076296448001</v>
      </c>
      <c r="H1457">
        <v>-2.8026314095548999E-2</v>
      </c>
      <c r="I1457">
        <v>0.215513494078061</v>
      </c>
    </row>
    <row r="1458" spans="1:9" x14ac:dyDescent="0.35">
      <c r="A1458" s="1" t="s">
        <v>1470</v>
      </c>
      <c r="B1458" t="str">
        <f>HYPERLINK("https://www.suredividend.com/sure-analysis-research-database/","Standard Motor Products, Inc.")</f>
        <v>Standard Motor Products, Inc.</v>
      </c>
      <c r="C1458">
        <v>-5.0280981958000001E-2</v>
      </c>
      <c r="D1458">
        <v>-0.15523564479381999</v>
      </c>
      <c r="E1458">
        <v>-9.9528591579709003E-2</v>
      </c>
      <c r="F1458">
        <v>-5.5835384267059002E-2</v>
      </c>
      <c r="G1458">
        <v>-5.3531057209640007E-2</v>
      </c>
      <c r="H1458">
        <v>-0.28949959618086601</v>
      </c>
      <c r="I1458">
        <v>-0.19316945451621501</v>
      </c>
    </row>
    <row r="1459" spans="1:9" x14ac:dyDescent="0.35">
      <c r="A1459" s="1" t="s">
        <v>1471</v>
      </c>
      <c r="B1459" t="str">
        <f>HYPERLINK("https://www.suredividend.com/sure-analysis-research-database/","Simply Good Foods Co")</f>
        <v>Simply Good Foods Co</v>
      </c>
      <c r="C1459">
        <v>-3.5440047253396001E-2</v>
      </c>
      <c r="D1459">
        <v>-0.11225876596901301</v>
      </c>
      <c r="E1459">
        <v>-8.5154061624650002E-2</v>
      </c>
      <c r="F1459">
        <v>-0.14120431238495901</v>
      </c>
      <c r="G1459">
        <v>1.5231582219458001E-2</v>
      </c>
      <c r="H1459">
        <v>-6.7123678948871002E-2</v>
      </c>
      <c r="I1459">
        <v>0.83689538807649011</v>
      </c>
    </row>
    <row r="1460" spans="1:9" x14ac:dyDescent="0.35">
      <c r="A1460" s="1" t="s">
        <v>1472</v>
      </c>
      <c r="B1460" t="str">
        <f>HYPERLINK("https://www.suredividend.com/sure-analysis-research-database/","NuScale Power Corporation")</f>
        <v>NuScale Power Corporation</v>
      </c>
      <c r="C1460">
        <v>-3.6666666666666001E-2</v>
      </c>
      <c r="D1460">
        <v>-0.24444444444444399</v>
      </c>
      <c r="E1460">
        <v>-0.35562987736900697</v>
      </c>
      <c r="F1460">
        <v>-0.43664717348927801</v>
      </c>
      <c r="G1460">
        <v>-0.47644927536231801</v>
      </c>
      <c r="H1460">
        <v>-0.41851106639838997</v>
      </c>
      <c r="I1460">
        <v>-0.41909547738693398</v>
      </c>
    </row>
    <row r="1461" spans="1:9" x14ac:dyDescent="0.35">
      <c r="A1461" s="1" t="s">
        <v>1473</v>
      </c>
      <c r="B1461" t="str">
        <f>HYPERLINK("https://www.suredividend.com/sure-analysis-research-database/","SmartRent Inc")</f>
        <v>SmartRent Inc</v>
      </c>
      <c r="C1461">
        <v>-0.103092783505154</v>
      </c>
      <c r="D1461">
        <v>-0.32383419689119097</v>
      </c>
      <c r="E1461">
        <v>6.0975609756096998E-2</v>
      </c>
      <c r="F1461">
        <v>7.4074074074073001E-2</v>
      </c>
      <c r="G1461">
        <v>0.16517857142857101</v>
      </c>
      <c r="H1461">
        <v>-0.78536184210526305</v>
      </c>
      <c r="I1461">
        <v>-0.76486486486486405</v>
      </c>
    </row>
    <row r="1462" spans="1:9" x14ac:dyDescent="0.35">
      <c r="A1462" s="1" t="s">
        <v>1474</v>
      </c>
      <c r="B1462" t="str">
        <f>HYPERLINK("https://www.suredividend.com/sure-analysis-research-database/","Semtech Corp.")</f>
        <v>Semtech Corp.</v>
      </c>
      <c r="C1462">
        <v>-0.122497998398718</v>
      </c>
      <c r="D1462">
        <v>-0.23114696597685</v>
      </c>
      <c r="E1462">
        <v>1.2471131639723E-2</v>
      </c>
      <c r="F1462">
        <v>-0.23597072150575099</v>
      </c>
      <c r="G1462">
        <v>-0.14541910331384</v>
      </c>
      <c r="H1462">
        <v>-0.71554632753698411</v>
      </c>
      <c r="I1462">
        <v>-0.55690317364059005</v>
      </c>
    </row>
    <row r="1463" spans="1:9" x14ac:dyDescent="0.35">
      <c r="A1463" s="1" t="s">
        <v>1475</v>
      </c>
      <c r="B1463" t="str">
        <f>HYPERLINK("https://www.suredividend.com/sure-analysis-research-database/","Sleep Number Corp")</f>
        <v>Sleep Number Corp</v>
      </c>
      <c r="C1463">
        <v>-0.33259668508287199</v>
      </c>
      <c r="D1463">
        <v>-0.40492610837438398</v>
      </c>
      <c r="E1463">
        <v>-0.313115996967399</v>
      </c>
      <c r="F1463">
        <v>-0.302540415704387</v>
      </c>
      <c r="G1463">
        <v>-0.46690203000882602</v>
      </c>
      <c r="H1463">
        <v>-0.79076212471131602</v>
      </c>
      <c r="I1463">
        <v>-0.44621026894865501</v>
      </c>
    </row>
    <row r="1464" spans="1:9" x14ac:dyDescent="0.35">
      <c r="A1464" s="1" t="s">
        <v>1476</v>
      </c>
      <c r="B1464" t="str">
        <f>HYPERLINK("https://www.suredividend.com/sure-analysis-research-database/","Science 37 Holdings Inc")</f>
        <v>Science 37 Holdings Inc</v>
      </c>
      <c r="C1464">
        <v>0.22727272727272699</v>
      </c>
      <c r="D1464">
        <v>0.84007269422989506</v>
      </c>
      <c r="E1464">
        <v>0.13604488078541299</v>
      </c>
      <c r="F1464">
        <v>-2.4566473988438999E-2</v>
      </c>
      <c r="G1464">
        <v>-0.62844036697247707</v>
      </c>
      <c r="H1464">
        <v>-0.96559048428207306</v>
      </c>
      <c r="I1464">
        <v>-0.95968143354902913</v>
      </c>
    </row>
    <row r="1465" spans="1:9" x14ac:dyDescent="0.35">
      <c r="A1465" s="1" t="s">
        <v>1477</v>
      </c>
      <c r="B1465" t="str">
        <f>HYPERLINK("https://www.suredividend.com/sure-analysis-research-database/","Sun Country Airlines Holdings Inc")</f>
        <v>Sun Country Airlines Holdings Inc</v>
      </c>
      <c r="C1465">
        <v>-3.1615120274913998E-2</v>
      </c>
      <c r="D1465">
        <v>-0.37516629711751598</v>
      </c>
      <c r="E1465">
        <v>-0.24328678839956999</v>
      </c>
      <c r="F1465">
        <v>-0.111601513240857</v>
      </c>
      <c r="G1465">
        <v>-1.8802228412256001E-2</v>
      </c>
      <c r="H1465">
        <v>-0.54984025559105409</v>
      </c>
      <c r="I1465">
        <v>-0.612699285321605</v>
      </c>
    </row>
    <row r="1466" spans="1:9" x14ac:dyDescent="0.35">
      <c r="A1466" s="1" t="s">
        <v>1478</v>
      </c>
      <c r="B1466" t="str">
        <f>HYPERLINK("https://www.suredividend.com/sure-analysis-research-database/","Syndax Pharmaceuticals Inc")</f>
        <v>Syndax Pharmaceuticals Inc</v>
      </c>
      <c r="C1466">
        <v>-0.30933179723502302</v>
      </c>
      <c r="D1466">
        <v>-0.43309692671394812</v>
      </c>
      <c r="E1466">
        <v>-0.40050000000000002</v>
      </c>
      <c r="F1466">
        <v>-0.52888015717092307</v>
      </c>
      <c r="G1466">
        <v>-0.49043773905652299</v>
      </c>
      <c r="H1466">
        <v>-0.35502958579881599</v>
      </c>
      <c r="I1466">
        <v>0.8166666666666661</v>
      </c>
    </row>
    <row r="1467" spans="1:9" x14ac:dyDescent="0.35">
      <c r="A1467" s="1" t="s">
        <v>1479</v>
      </c>
      <c r="B1467" t="str">
        <f>HYPERLINK("https://www.suredividend.com/sure-analysis-research-database/","StoneX Group Inc")</f>
        <v>StoneX Group Inc</v>
      </c>
      <c r="C1467">
        <v>-1.4787826832404E-2</v>
      </c>
      <c r="D1467">
        <v>3.6410776688084012E-2</v>
      </c>
      <c r="E1467">
        <v>-0.10979860573199</v>
      </c>
      <c r="F1467">
        <v>-3.5257082896117002E-2</v>
      </c>
      <c r="G1467">
        <v>6.1050201961914997E-2</v>
      </c>
      <c r="H1467">
        <v>0.32707852193995302</v>
      </c>
      <c r="I1467">
        <v>1.0481176208509679</v>
      </c>
    </row>
    <row r="1468" spans="1:9" x14ac:dyDescent="0.35">
      <c r="A1468" s="1" t="s">
        <v>1480</v>
      </c>
      <c r="B1468" t="str">
        <f>HYPERLINK("https://www.suredividend.com/sure-analysis-research-database/","Snap One Holdings Corp")</f>
        <v>Snap One Holdings Corp</v>
      </c>
      <c r="C1468">
        <v>1.7626321974147999E-2</v>
      </c>
      <c r="D1468">
        <v>-0.200369344413665</v>
      </c>
      <c r="E1468">
        <v>-8.1654294803817001E-2</v>
      </c>
      <c r="F1468">
        <v>0.168690958164642</v>
      </c>
      <c r="G1468">
        <v>-0.17366412213740401</v>
      </c>
      <c r="H1468">
        <v>-0.44092963202065799</v>
      </c>
      <c r="I1468">
        <v>-0.47673716012084499</v>
      </c>
    </row>
    <row r="1469" spans="1:9" x14ac:dyDescent="0.35">
      <c r="A1469" s="1" t="s">
        <v>1481</v>
      </c>
      <c r="B1469" t="str">
        <f>HYPERLINK("https://www.suredividend.com/sure-analysis-research-database/","Solaris Oilfield Infrastructure Inc")</f>
        <v>Solaris Oilfield Infrastructure Inc</v>
      </c>
      <c r="C1469">
        <v>-5.1803885291396012E-2</v>
      </c>
      <c r="D1469">
        <v>0.13329795232409</v>
      </c>
      <c r="E1469">
        <v>0.257082587259927</v>
      </c>
      <c r="F1469">
        <v>5.5449724553364013E-2</v>
      </c>
      <c r="G1469">
        <v>-3.1044392346668E-2</v>
      </c>
      <c r="H1469">
        <v>0.34785067129538311</v>
      </c>
      <c r="I1469">
        <v>-0.26653690929387103</v>
      </c>
    </row>
    <row r="1470" spans="1:9" x14ac:dyDescent="0.35">
      <c r="A1470" s="1" t="s">
        <v>1482</v>
      </c>
      <c r="B1470" t="str">
        <f>HYPERLINK("https://www.suredividend.com/sure-analysis-research-database/","Sonder Holdings Inc")</f>
        <v>Sonder Holdings Inc</v>
      </c>
      <c r="C1470">
        <v>5.8823529411763997E-2</v>
      </c>
      <c r="D1470">
        <v>-0.35714285714285698</v>
      </c>
      <c r="E1470">
        <v>-0.29961089494163401</v>
      </c>
      <c r="F1470">
        <v>-0.70967741935483808</v>
      </c>
      <c r="G1470">
        <v>-0.82178217821782107</v>
      </c>
      <c r="H1470">
        <v>-0.276381909547738</v>
      </c>
      <c r="I1470">
        <v>-0.26680244399185299</v>
      </c>
    </row>
    <row r="1471" spans="1:9" x14ac:dyDescent="0.35">
      <c r="A1471" s="1" t="s">
        <v>1483</v>
      </c>
      <c r="B1471" t="str">
        <f>HYPERLINK("https://www.suredividend.com/sure-analysis-research-database/","Sonos Inc")</f>
        <v>Sonos Inc</v>
      </c>
      <c r="C1471">
        <v>-0.175187969924812</v>
      </c>
      <c r="D1471">
        <v>-0.35960303561003998</v>
      </c>
      <c r="E1471">
        <v>-0.45907297830374699</v>
      </c>
      <c r="F1471">
        <v>-0.35088757396449699</v>
      </c>
      <c r="G1471">
        <v>-0.22692036645524999</v>
      </c>
      <c r="H1471">
        <v>-0.65416141235813308</v>
      </c>
      <c r="I1471">
        <v>-0.132806324110671</v>
      </c>
    </row>
    <row r="1472" spans="1:9" x14ac:dyDescent="0.35">
      <c r="A1472" s="1" t="s">
        <v>1484</v>
      </c>
      <c r="B1472" t="str">
        <f>HYPERLINK("https://www.suredividend.com/sure-analysis-research-database/","Sovos Brands Inc")</f>
        <v>Sovos Brands Inc</v>
      </c>
      <c r="C1472">
        <v>-1.1920529801323999E-2</v>
      </c>
      <c r="D1472">
        <v>0.202579258463191</v>
      </c>
      <c r="E1472">
        <v>0.28768699654775598</v>
      </c>
      <c r="F1472">
        <v>0.55741127348643005</v>
      </c>
      <c r="G1472">
        <v>0.59743040685224802</v>
      </c>
      <c r="H1472">
        <v>0.57939308398023903</v>
      </c>
      <c r="I1472">
        <v>0.6553254437869821</v>
      </c>
    </row>
    <row r="1473" spans="1:9" x14ac:dyDescent="0.35">
      <c r="A1473" s="1" t="s">
        <v>1485</v>
      </c>
      <c r="B1473" t="str">
        <f>HYPERLINK("https://www.suredividend.com/sure-analysis-research-database/","SP Plus Corp")</f>
        <v>SP Plus Corp</v>
      </c>
      <c r="C1473">
        <v>0.41735995562950601</v>
      </c>
      <c r="D1473">
        <v>0.28320361536530197</v>
      </c>
      <c r="E1473">
        <v>0.49400760011692402</v>
      </c>
      <c r="F1473">
        <v>0.47206221198156612</v>
      </c>
      <c r="G1473">
        <v>0.55680779774596401</v>
      </c>
      <c r="H1473">
        <v>0.71395036887994601</v>
      </c>
      <c r="I1473">
        <v>0.55019714892326299</v>
      </c>
    </row>
    <row r="1474" spans="1:9" x14ac:dyDescent="0.35">
      <c r="A1474" s="1" t="s">
        <v>1486</v>
      </c>
      <c r="B1474" t="str">
        <f>HYPERLINK("https://www.suredividend.com/sure-analysis-research-database/","Virgin Galactic Holdings Inc")</f>
        <v>Virgin Galactic Holdings Inc</v>
      </c>
      <c r="C1474">
        <v>-0.2</v>
      </c>
      <c r="D1474">
        <v>-0.56842105263157805</v>
      </c>
      <c r="E1474">
        <v>-0.50750750750750706</v>
      </c>
      <c r="F1474">
        <v>-0.52873563218390807</v>
      </c>
      <c r="G1474">
        <v>-0.64270152505446609</v>
      </c>
      <c r="H1474">
        <v>-0.9180409795102441</v>
      </c>
      <c r="I1474">
        <v>-0.83484390735146008</v>
      </c>
    </row>
    <row r="1475" spans="1:9" x14ac:dyDescent="0.35">
      <c r="A1475" s="1" t="s">
        <v>1487</v>
      </c>
      <c r="B1475" t="str">
        <f>HYPERLINK("https://www.suredividend.com/sure-analysis-research-database/","South Plains Financial Inc")</f>
        <v>South Plains Financial Inc</v>
      </c>
      <c r="C1475">
        <v>-4.8579970104629996E-3</v>
      </c>
      <c r="D1475">
        <v>0.140646951992598</v>
      </c>
      <c r="E1475">
        <v>0.29155228774019498</v>
      </c>
      <c r="F1475">
        <v>-5.9092962226040009E-3</v>
      </c>
      <c r="G1475">
        <v>-7.370691154474901E-2</v>
      </c>
      <c r="H1475">
        <v>0.135752974794216</v>
      </c>
      <c r="I1475">
        <v>0.61314748517394402</v>
      </c>
    </row>
    <row r="1476" spans="1:9" x14ac:dyDescent="0.35">
      <c r="A1476" s="1" t="s">
        <v>1488</v>
      </c>
      <c r="B1476" t="str">
        <f>HYPERLINK("https://www.suredividend.com/sure-analysis-research-database/","Sphere Entertainment Co")</f>
        <v>Sphere Entertainment Co</v>
      </c>
      <c r="C1476">
        <v>-6.6453162530024007E-2</v>
      </c>
      <c r="D1476">
        <v>-6.8143100511070002E-3</v>
      </c>
      <c r="E1476">
        <v>-0.40691759918616399</v>
      </c>
      <c r="F1476">
        <v>-0.222148098732488</v>
      </c>
      <c r="G1476">
        <v>-0.23873775843307901</v>
      </c>
      <c r="H1476">
        <v>-0.50071367399371902</v>
      </c>
      <c r="I1476">
        <v>-0.60479041916167608</v>
      </c>
    </row>
    <row r="1477" spans="1:9" x14ac:dyDescent="0.35">
      <c r="A1477" s="1" t="s">
        <v>1489</v>
      </c>
      <c r="B1477" t="str">
        <f>HYPERLINK("https://www.suredividend.com/sure-analysis-research-database/","Spire Global Inc")</f>
        <v>Spire Global Inc</v>
      </c>
      <c r="C1477">
        <v>-0.32188065099457502</v>
      </c>
      <c r="D1477">
        <v>-0.28511514412078598</v>
      </c>
      <c r="E1477">
        <v>-0.22902960526315699</v>
      </c>
      <c r="F1477">
        <v>-0.51171875</v>
      </c>
      <c r="G1477">
        <v>-0.5659722222222221</v>
      </c>
      <c r="H1477">
        <v>-0.921875</v>
      </c>
      <c r="I1477">
        <v>-0.61340206185567003</v>
      </c>
    </row>
    <row r="1478" spans="1:9" x14ac:dyDescent="0.35">
      <c r="A1478" s="1" t="s">
        <v>1490</v>
      </c>
      <c r="B1478" t="str">
        <f>HYPERLINK("https://www.suredividend.com/sure-analysis-research-database/","Sapiens International Corp NV")</f>
        <v>Sapiens International Corp NV</v>
      </c>
      <c r="C1478">
        <v>-9.097246427326601E-2</v>
      </c>
      <c r="D1478">
        <v>-4.8156543108110001E-3</v>
      </c>
      <c r="E1478">
        <v>0.24211769636699601</v>
      </c>
      <c r="F1478">
        <v>0.47010743960045498</v>
      </c>
      <c r="G1478">
        <v>0.47489622566817002</v>
      </c>
      <c r="H1478">
        <v>-0.127980847677513</v>
      </c>
      <c r="I1478">
        <v>1.5117255593115859</v>
      </c>
    </row>
    <row r="1479" spans="1:9" x14ac:dyDescent="0.35">
      <c r="A1479" s="1" t="s">
        <v>1491</v>
      </c>
      <c r="B1479" t="str">
        <f>HYPERLINK("https://www.suredividend.com/sure-analysis-research-database/","SiriusPoint Ltd")</f>
        <v>SiriusPoint Ltd</v>
      </c>
      <c r="C1479">
        <v>-3.7142857142857012E-2</v>
      </c>
      <c r="D1479">
        <v>0.13723284589426299</v>
      </c>
      <c r="E1479">
        <v>7.7825159914711006E-2</v>
      </c>
      <c r="F1479">
        <v>0.71355932203389805</v>
      </c>
      <c r="G1479">
        <v>1.0219999999999989</v>
      </c>
      <c r="H1479">
        <v>7.3248407643311003E-2</v>
      </c>
      <c r="I1479">
        <v>-0.133676092544987</v>
      </c>
    </row>
    <row r="1480" spans="1:9" x14ac:dyDescent="0.35">
      <c r="A1480" s="1" t="s">
        <v>1492</v>
      </c>
      <c r="B1480" t="str">
        <f>HYPERLINK("https://www.suredividend.com/sure-analysis-research-database/","SPS Commerce Inc.")</f>
        <v>SPS Commerce Inc.</v>
      </c>
      <c r="C1480">
        <v>-4.9968734011710002E-2</v>
      </c>
      <c r="D1480">
        <v>-0.11884424760097</v>
      </c>
      <c r="E1480">
        <v>0.103175127071093</v>
      </c>
      <c r="F1480">
        <v>0.30125360118352401</v>
      </c>
      <c r="G1480">
        <v>0.39115957712478111</v>
      </c>
      <c r="H1480">
        <v>2.5653614827543001E-2</v>
      </c>
      <c r="I1480">
        <v>2.944765726425115</v>
      </c>
    </row>
    <row r="1481" spans="1:9" x14ac:dyDescent="0.35">
      <c r="A1481" s="1" t="s">
        <v>1493</v>
      </c>
      <c r="B1481" t="str">
        <f>HYPERLINK("https://www.suredividend.com/sure-analysis-research-database/","Sprout Social Inc")</f>
        <v>Sprout Social Inc</v>
      </c>
      <c r="C1481">
        <v>-2.2360999194198001E-2</v>
      </c>
      <c r="D1481">
        <v>-0.12786413873663399</v>
      </c>
      <c r="E1481">
        <v>-6.7806377257011011E-2</v>
      </c>
      <c r="F1481">
        <v>-0.140453418349273</v>
      </c>
      <c r="G1481">
        <v>-0.10444731500276699</v>
      </c>
      <c r="H1481">
        <v>-0.61575613618368907</v>
      </c>
      <c r="I1481">
        <v>1.923493975903614</v>
      </c>
    </row>
    <row r="1482" spans="1:9" x14ac:dyDescent="0.35">
      <c r="A1482" s="1" t="s">
        <v>1494</v>
      </c>
      <c r="B1482" t="str">
        <f>HYPERLINK("https://www.suredividend.com/sure-analysis-SPTN/","SpartanNash Co")</f>
        <v>SpartanNash Co</v>
      </c>
      <c r="C1482">
        <v>7.6705882352941013E-2</v>
      </c>
      <c r="D1482">
        <v>8.9290390154490001E-2</v>
      </c>
      <c r="E1482">
        <v>-2.1561567212049E-2</v>
      </c>
      <c r="F1482">
        <v>-0.20536241447574</v>
      </c>
      <c r="G1482">
        <v>-0.21745138143088699</v>
      </c>
      <c r="H1482">
        <v>0.103810268137127</v>
      </c>
      <c r="I1482">
        <v>0.59119833647446607</v>
      </c>
    </row>
    <row r="1483" spans="1:9" x14ac:dyDescent="0.35">
      <c r="A1483" s="1" t="s">
        <v>1495</v>
      </c>
      <c r="B1483" t="str">
        <f>HYPERLINK("https://www.suredividend.com/sure-analysis-research-database/","Sportsman`s Warehouse Holdings Inc")</f>
        <v>Sportsman`s Warehouse Holdings Inc</v>
      </c>
      <c r="C1483">
        <v>0.36565096952908499</v>
      </c>
      <c r="D1483">
        <v>-0.16156462585034001</v>
      </c>
      <c r="E1483">
        <v>-0.313370473537604</v>
      </c>
      <c r="F1483">
        <v>-0.47608926673751312</v>
      </c>
      <c r="G1483">
        <v>-0.39878048780487801</v>
      </c>
      <c r="H1483">
        <v>-0.72225352112676</v>
      </c>
      <c r="I1483">
        <v>-6.8052930056710009E-2</v>
      </c>
    </row>
    <row r="1484" spans="1:9" x14ac:dyDescent="0.35">
      <c r="A1484" s="1" t="s">
        <v>1496</v>
      </c>
      <c r="B1484" t="str">
        <f>HYPERLINK("https://www.suredividend.com/sure-analysis-research-database/","Sunpower Corp")</f>
        <v>Sunpower Corp</v>
      </c>
      <c r="C1484">
        <v>-0.221606648199446</v>
      </c>
      <c r="D1484">
        <v>-0.44356435643564301</v>
      </c>
      <c r="E1484">
        <v>-0.60000000000000009</v>
      </c>
      <c r="F1484">
        <v>-0.68829728230726506</v>
      </c>
      <c r="G1484">
        <v>-0.664076509264793</v>
      </c>
      <c r="H1484">
        <v>-0.79593318809005009</v>
      </c>
      <c r="I1484">
        <v>1.8042170857184001E-2</v>
      </c>
    </row>
    <row r="1485" spans="1:9" x14ac:dyDescent="0.35">
      <c r="A1485" s="1" t="s">
        <v>1497</v>
      </c>
      <c r="B1485" t="str">
        <f>HYPERLINK("https://www.suredividend.com/sure-analysis-research-database/","SPX Technologies Inc")</f>
        <v>SPX Technologies Inc</v>
      </c>
      <c r="C1485">
        <v>1.0751328105236E-2</v>
      </c>
      <c r="D1485">
        <v>-5.7235286798550007E-3</v>
      </c>
      <c r="E1485">
        <v>0.19607843137254899</v>
      </c>
      <c r="F1485">
        <v>0.217212490479816</v>
      </c>
      <c r="G1485">
        <v>0.39216027874564402</v>
      </c>
      <c r="H1485">
        <v>0.249374609130706</v>
      </c>
      <c r="I1485">
        <v>0.249374609130706</v>
      </c>
    </row>
    <row r="1486" spans="1:9" x14ac:dyDescent="0.35">
      <c r="A1486" s="1" t="s">
        <v>1498</v>
      </c>
      <c r="B1486" t="str">
        <f>HYPERLINK("https://www.suredividend.com/sure-analysis-research-database/","Squarespace Inc")</f>
        <v>Squarespace Inc</v>
      </c>
      <c r="C1486">
        <v>-8.7512622012790014E-3</v>
      </c>
      <c r="D1486">
        <v>-8.5119602360981012E-2</v>
      </c>
      <c r="E1486">
        <v>-9.0487955528103001E-2</v>
      </c>
      <c r="F1486">
        <v>0.32837167343256601</v>
      </c>
      <c r="G1486">
        <v>0.41111643507426898</v>
      </c>
      <c r="H1486">
        <v>-0.23307291666666599</v>
      </c>
      <c r="I1486">
        <v>-0.32531500572737598</v>
      </c>
    </row>
    <row r="1487" spans="1:9" x14ac:dyDescent="0.35">
      <c r="A1487" s="1" t="s">
        <v>1499</v>
      </c>
      <c r="B1487" t="str">
        <f>HYPERLINK("https://www.suredividend.com/sure-analysis-SR/","Spire Inc.")</f>
        <v>Spire Inc.</v>
      </c>
      <c r="C1487">
        <v>-4.9299258037921997E-2</v>
      </c>
      <c r="D1487">
        <v>-7.3971467528775009E-2</v>
      </c>
      <c r="E1487">
        <v>-0.13249923269963301</v>
      </c>
      <c r="F1487">
        <v>-0.13408341392795101</v>
      </c>
      <c r="G1487">
        <v>-4.6559196503719001E-2</v>
      </c>
      <c r="H1487">
        <v>-2.5308838146496999E-2</v>
      </c>
      <c r="I1487">
        <v>-3.9092887687522997E-2</v>
      </c>
    </row>
    <row r="1488" spans="1:9" x14ac:dyDescent="0.35">
      <c r="A1488" s="1" t="s">
        <v>1500</v>
      </c>
      <c r="B1488" t="str">
        <f>HYPERLINK("https://www.suredividend.com/sure-analysis-SRCE/","1st Source Corp.")</f>
        <v>1st Source Corp.</v>
      </c>
      <c r="C1488">
        <v>-3.7301404559060003E-2</v>
      </c>
      <c r="D1488">
        <v>-1.5160080652759001E-2</v>
      </c>
      <c r="E1488">
        <v>-7.4895253468800008E-3</v>
      </c>
      <c r="F1488">
        <v>-0.18418716280158801</v>
      </c>
      <c r="G1488">
        <v>-0.124821290642641</v>
      </c>
      <c r="H1488">
        <v>-6.9292207965665001E-2</v>
      </c>
      <c r="I1488">
        <v>-2.4236554371797999E-2</v>
      </c>
    </row>
    <row r="1489" spans="1:9" x14ac:dyDescent="0.35">
      <c r="A1489" s="1" t="s">
        <v>1501</v>
      </c>
      <c r="B1489" t="str">
        <f>HYPERLINK("https://www.suredividend.com/sure-analysis-research-database/","Surmodics, Inc.")</f>
        <v>Surmodics, Inc.</v>
      </c>
      <c r="C1489">
        <v>-0.14380594859948001</v>
      </c>
      <c r="D1489">
        <v>-1.3639387890884E-2</v>
      </c>
      <c r="E1489">
        <v>0.26009349766255802</v>
      </c>
      <c r="F1489">
        <v>-0.13100820633059701</v>
      </c>
      <c r="G1489">
        <v>4.40379403794E-3</v>
      </c>
      <c r="H1489">
        <v>-0.45992714025500903</v>
      </c>
      <c r="I1489">
        <v>-0.52560000000000007</v>
      </c>
    </row>
    <row r="1490" spans="1:9" x14ac:dyDescent="0.35">
      <c r="A1490" s="1" t="s">
        <v>1502</v>
      </c>
      <c r="B1490" t="str">
        <f>HYPERLINK("https://www.suredividend.com/sure-analysis-research-database/","Stoneridge Inc.")</f>
        <v>Stoneridge Inc.</v>
      </c>
      <c r="C1490">
        <v>-5.4927302100161002E-2</v>
      </c>
      <c r="D1490">
        <v>-8.4984358706986007E-2</v>
      </c>
      <c r="E1490">
        <v>-5.7971014492753013E-2</v>
      </c>
      <c r="F1490">
        <v>-0.18599257884972101</v>
      </c>
      <c r="G1490">
        <v>2.8119507908611001E-2</v>
      </c>
      <c r="H1490">
        <v>-0.16864045476077599</v>
      </c>
      <c r="I1490">
        <v>-0.29489754921655198</v>
      </c>
    </row>
    <row r="1491" spans="1:9" x14ac:dyDescent="0.35">
      <c r="A1491" s="1" t="s">
        <v>1503</v>
      </c>
      <c r="B1491" t="str">
        <f>HYPERLINK("https://www.suredividend.com/sure-analysis-research-database/","SouthState Corporation")</f>
        <v>SouthState Corporation</v>
      </c>
      <c r="C1491">
        <v>-4.2251503867086003E-2</v>
      </c>
      <c r="D1491">
        <v>-3.6885541040745012E-2</v>
      </c>
      <c r="E1491">
        <v>1.0636850839249999E-2</v>
      </c>
      <c r="F1491">
        <v>-9.9590392399234007E-2</v>
      </c>
      <c r="G1491">
        <v>-0.20066175213700699</v>
      </c>
      <c r="H1491">
        <v>-7.9929333289304003E-2</v>
      </c>
      <c r="I1491">
        <v>-1.0295179795635E-2</v>
      </c>
    </row>
    <row r="1492" spans="1:9" x14ac:dyDescent="0.35">
      <c r="A1492" s="1" t="s">
        <v>1504</v>
      </c>
      <c r="B1492" t="str">
        <f>HYPERLINK("https://www.suredividend.com/sure-analysis-research-database/","Simpson Manufacturing Co., Inc.")</f>
        <v>Simpson Manufacturing Co., Inc.</v>
      </c>
      <c r="C1492">
        <v>-0.109535679870497</v>
      </c>
      <c r="D1492">
        <v>-6.7255632712746011E-2</v>
      </c>
      <c r="E1492">
        <v>0.24204758577575</v>
      </c>
      <c r="F1492">
        <v>0.53782584890604901</v>
      </c>
      <c r="G1492">
        <v>0.76131852487292007</v>
      </c>
      <c r="H1492">
        <v>0.19138008728556599</v>
      </c>
      <c r="I1492">
        <v>1.257498537889548</v>
      </c>
    </row>
    <row r="1493" spans="1:9" x14ac:dyDescent="0.35">
      <c r="A1493" s="1" t="s">
        <v>1505</v>
      </c>
      <c r="B1493" t="str">
        <f>HYPERLINK("https://www.suredividend.com/sure-analysis-research-database/","E.W. Scripps Co.")</f>
        <v>E.W. Scripps Co.</v>
      </c>
      <c r="C1493">
        <v>-0.28490832157968898</v>
      </c>
      <c r="D1493">
        <v>-0.47569803516028902</v>
      </c>
      <c r="E1493">
        <v>-0.44590163934426202</v>
      </c>
      <c r="F1493">
        <v>-0.61561789234268305</v>
      </c>
      <c r="G1493">
        <v>-0.613272311212814</v>
      </c>
      <c r="H1493">
        <v>-0.72035300606729102</v>
      </c>
      <c r="I1493">
        <v>-0.67878457659118807</v>
      </c>
    </row>
    <row r="1494" spans="1:9" x14ac:dyDescent="0.35">
      <c r="A1494" s="1" t="s">
        <v>1506</v>
      </c>
      <c r="B1494" t="str">
        <f>HYPERLINK("https://www.suredividend.com/sure-analysis-research-database/","SoundThinking Inc")</f>
        <v>SoundThinking Inc</v>
      </c>
      <c r="C1494">
        <v>-0.24326970141948101</v>
      </c>
      <c r="D1494">
        <v>-0.35151006711409299</v>
      </c>
      <c r="E1494">
        <v>-0.44647332617257401</v>
      </c>
      <c r="F1494">
        <v>-0.54300916346438</v>
      </c>
      <c r="G1494">
        <v>-0.49772579597140998</v>
      </c>
      <c r="H1494">
        <v>-0.59347883250065703</v>
      </c>
      <c r="I1494">
        <v>-0.61609138316364509</v>
      </c>
    </row>
    <row r="1495" spans="1:9" x14ac:dyDescent="0.35">
      <c r="A1495" s="1" t="s">
        <v>1507</v>
      </c>
      <c r="B1495" t="str">
        <f>HYPERLINK("https://www.suredividend.com/sure-analysis-research-database/","Shutterstock Inc")</f>
        <v>Shutterstock Inc</v>
      </c>
      <c r="C1495">
        <v>-9.5762919421993012E-2</v>
      </c>
      <c r="D1495">
        <v>-0.32684979561175997</v>
      </c>
      <c r="E1495">
        <v>-0.49119654256198803</v>
      </c>
      <c r="F1495">
        <v>-0.28857715430861702</v>
      </c>
      <c r="G1495">
        <v>-0.22381369846886101</v>
      </c>
      <c r="H1495">
        <v>-0.68849507346352601</v>
      </c>
      <c r="I1495">
        <v>-0.171353799607672</v>
      </c>
    </row>
    <row r="1496" spans="1:9" x14ac:dyDescent="0.35">
      <c r="A1496" s="1" t="s">
        <v>1508</v>
      </c>
      <c r="B1496" t="str">
        <f>HYPERLINK("https://www.suredividend.com/sure-analysis-research-database/","Staar Surgical Co.")</f>
        <v>Staar Surgical Co.</v>
      </c>
      <c r="C1496">
        <v>-6.8035055350553E-2</v>
      </c>
      <c r="D1496">
        <v>-0.28236547682472002</v>
      </c>
      <c r="E1496">
        <v>-0.39205656687227303</v>
      </c>
      <c r="F1496">
        <v>-0.16749072929542599</v>
      </c>
      <c r="G1496">
        <v>-0.41409308394954297</v>
      </c>
      <c r="H1496">
        <v>-0.648272260423013</v>
      </c>
      <c r="I1496">
        <v>-1.7744287797762999E-2</v>
      </c>
    </row>
    <row r="1497" spans="1:9" x14ac:dyDescent="0.35">
      <c r="A1497" s="1" t="s">
        <v>1509</v>
      </c>
      <c r="B1497" t="str">
        <f>HYPERLINK("https://www.suredividend.com/sure-analysis-STAG/","STAG Industrial Inc")</f>
        <v>STAG Industrial Inc</v>
      </c>
      <c r="C1497">
        <v>-5.8530442400350012E-2</v>
      </c>
      <c r="D1497">
        <v>-8.1093069052956004E-2</v>
      </c>
      <c r="E1497">
        <v>8.5289421031703005E-2</v>
      </c>
      <c r="F1497">
        <v>9.8669392840598003E-2</v>
      </c>
      <c r="G1497">
        <v>0.29652738768016201</v>
      </c>
      <c r="H1497">
        <v>-0.12569723040000799</v>
      </c>
      <c r="I1497">
        <v>0.67978156489798702</v>
      </c>
    </row>
    <row r="1498" spans="1:9" x14ac:dyDescent="0.35">
      <c r="A1498" s="1" t="s">
        <v>1510</v>
      </c>
      <c r="B1498" t="str">
        <f>HYPERLINK("https://www.suredividend.com/sure-analysis-research-database/","S &amp; T Bancorp, Inc.")</f>
        <v>S &amp; T Bancorp, Inc.</v>
      </c>
      <c r="C1498">
        <v>-2.4584237165582001E-2</v>
      </c>
      <c r="D1498">
        <v>-3.0720205783345E-2</v>
      </c>
      <c r="E1498">
        <v>-4.6565621941004998E-2</v>
      </c>
      <c r="F1498">
        <v>-0.17568232299931799</v>
      </c>
      <c r="G1498">
        <v>-0.106658013588863</v>
      </c>
      <c r="H1498">
        <v>-2.4647709115097002E-2</v>
      </c>
      <c r="I1498">
        <v>-0.16512461242349</v>
      </c>
    </row>
    <row r="1499" spans="1:9" x14ac:dyDescent="0.35">
      <c r="A1499" s="1" t="s">
        <v>1511</v>
      </c>
      <c r="B1499" t="str">
        <f>HYPERLINK("https://www.suredividend.com/sure-analysis-research-database/","Stewart Information Services Corp.")</f>
        <v>Stewart Information Services Corp.</v>
      </c>
      <c r="C1499">
        <v>-7.9628400796284013E-2</v>
      </c>
      <c r="D1499">
        <v>-1.9120201974960001E-2</v>
      </c>
      <c r="E1499">
        <v>3.1106661677574001E-2</v>
      </c>
      <c r="F1499">
        <v>6.3242922959720008E-3</v>
      </c>
      <c r="G1499">
        <v>1.1525212770353E-2</v>
      </c>
      <c r="H1499">
        <v>-0.346849463006972</v>
      </c>
      <c r="I1499">
        <v>0.14013119317839301</v>
      </c>
    </row>
    <row r="1500" spans="1:9" x14ac:dyDescent="0.35">
      <c r="A1500" s="1" t="s">
        <v>1512</v>
      </c>
      <c r="B1500" t="str">
        <f>HYPERLINK("https://www.suredividend.com/sure-analysis-research-database/","Stellar Bancorp Inc")</f>
        <v>Stellar Bancorp Inc</v>
      </c>
      <c r="C1500">
        <v>-4.1058394160580006E-3</v>
      </c>
      <c r="D1500">
        <v>-5.3322694235805997E-2</v>
      </c>
      <c r="E1500">
        <v>-2.9061440885275E-2</v>
      </c>
      <c r="F1500">
        <v>-0.24311767561195399</v>
      </c>
      <c r="G1500">
        <v>-0.19580625672310301</v>
      </c>
      <c r="H1500">
        <v>-0.17388523703022499</v>
      </c>
      <c r="I1500">
        <v>-0.32180326391887698</v>
      </c>
    </row>
    <row r="1501" spans="1:9" x14ac:dyDescent="0.35">
      <c r="A1501" s="1" t="s">
        <v>1513</v>
      </c>
      <c r="B1501" t="str">
        <f>HYPERLINK("https://www.suredividend.com/sure-analysis-research-database/","Stem Inc")</f>
        <v>Stem Inc</v>
      </c>
      <c r="C1501">
        <v>-0.20539419087136901</v>
      </c>
      <c r="D1501">
        <v>-0.41881638846737401</v>
      </c>
      <c r="E1501">
        <v>-0.18336886993603399</v>
      </c>
      <c r="F1501">
        <v>-0.57158836689038006</v>
      </c>
      <c r="G1501">
        <v>-0.68657937806873903</v>
      </c>
      <c r="H1501">
        <v>-0.82638259292837701</v>
      </c>
      <c r="I1501">
        <v>-0.60515463917525703</v>
      </c>
    </row>
    <row r="1502" spans="1:9" x14ac:dyDescent="0.35">
      <c r="A1502" s="1" t="s">
        <v>1514</v>
      </c>
      <c r="B1502" t="str">
        <f>HYPERLINK("https://www.suredividend.com/sure-analysis-research-database/","StepStone Group Inc")</f>
        <v>StepStone Group Inc</v>
      </c>
      <c r="C1502">
        <v>-6.8322981366459007E-2</v>
      </c>
      <c r="D1502">
        <v>0.18353933492979599</v>
      </c>
      <c r="E1502">
        <v>0.35286875820176611</v>
      </c>
      <c r="F1502">
        <v>0.23644037060239301</v>
      </c>
      <c r="G1502">
        <v>0.261903960695898</v>
      </c>
      <c r="H1502">
        <v>-0.25493604867751102</v>
      </c>
      <c r="I1502">
        <v>0.29047244196100103</v>
      </c>
    </row>
    <row r="1503" spans="1:9" x14ac:dyDescent="0.35">
      <c r="A1503" s="1" t="s">
        <v>1515</v>
      </c>
      <c r="B1503" t="str">
        <f>HYPERLINK("https://www.suredividend.com/sure-analysis-research-database/","Sterling Check Corp")</f>
        <v>Sterling Check Corp</v>
      </c>
      <c r="C1503">
        <v>-4.2962962962962002E-2</v>
      </c>
      <c r="D1503">
        <v>2.9482071713146998E-2</v>
      </c>
      <c r="E1503">
        <v>0.180987202925045</v>
      </c>
      <c r="F1503">
        <v>-0.164835164835164</v>
      </c>
      <c r="G1503">
        <v>-0.31056563500533602</v>
      </c>
      <c r="H1503">
        <v>-0.49531249999999999</v>
      </c>
      <c r="I1503">
        <v>-0.51970260223048304</v>
      </c>
    </row>
    <row r="1504" spans="1:9" x14ac:dyDescent="0.35">
      <c r="A1504" s="1" t="s">
        <v>1516</v>
      </c>
      <c r="B1504" t="str">
        <f>HYPERLINK("https://www.suredividend.com/sure-analysis-research-database/","Stagwell Inc")</f>
        <v>Stagwell Inc</v>
      </c>
      <c r="C1504">
        <v>-0.26102941176470601</v>
      </c>
      <c r="D1504">
        <v>-0.45602165087956698</v>
      </c>
      <c r="E1504">
        <v>-0.36492890995260602</v>
      </c>
      <c r="F1504">
        <v>-0.35265700483091711</v>
      </c>
      <c r="G1504">
        <v>-0.43300423131170601</v>
      </c>
      <c r="H1504">
        <v>-0.53633217993079507</v>
      </c>
      <c r="I1504">
        <v>-0.27567567567567502</v>
      </c>
    </row>
    <row r="1505" spans="1:9" x14ac:dyDescent="0.35">
      <c r="A1505" s="1" t="s">
        <v>1517</v>
      </c>
      <c r="B1505" t="str">
        <f>HYPERLINK("https://www.suredividend.com/sure-analysis-research-database/","Star Holdings")</f>
        <v>Star Holdings</v>
      </c>
      <c r="C1505">
        <v>-3.6144578313251997E-2</v>
      </c>
      <c r="D1505">
        <v>-0.205298013245033</v>
      </c>
      <c r="E1505">
        <v>-0.243856332703213</v>
      </c>
      <c r="F1505">
        <v>-0.309948246118458</v>
      </c>
      <c r="G1505">
        <v>-0.309948246118458</v>
      </c>
      <c r="H1505">
        <v>-0.309948246118458</v>
      </c>
      <c r="I1505">
        <v>-0.309948246118458</v>
      </c>
    </row>
    <row r="1506" spans="1:9" x14ac:dyDescent="0.35">
      <c r="A1506" s="1" t="s">
        <v>1518</v>
      </c>
      <c r="B1506" t="str">
        <f>HYPERLINK("https://www.suredividend.com/sure-analysis-research-database/","Sunopta, Inc.")</f>
        <v>Sunopta, Inc.</v>
      </c>
      <c r="C1506">
        <v>-8.9743589743589008E-2</v>
      </c>
      <c r="D1506">
        <v>-0.41419141914191399</v>
      </c>
      <c r="E1506">
        <v>-0.58136792452830099</v>
      </c>
      <c r="F1506">
        <v>-0.57938388625592407</v>
      </c>
      <c r="G1506">
        <v>-0.62592202318229706</v>
      </c>
      <c r="H1506">
        <v>-0.56495098039215608</v>
      </c>
      <c r="I1506">
        <v>-0.50349650349650299</v>
      </c>
    </row>
    <row r="1507" spans="1:9" x14ac:dyDescent="0.35">
      <c r="A1507" s="1" t="s">
        <v>1519</v>
      </c>
      <c r="B1507" t="str">
        <f>HYPERLINK("https://www.suredividend.com/sure-analysis-research-database/","ONE Group Hospitality Inc")</f>
        <v>ONE Group Hospitality Inc</v>
      </c>
      <c r="C1507">
        <v>-0.31578947368421001</v>
      </c>
      <c r="D1507">
        <v>-0.38865836791148001</v>
      </c>
      <c r="E1507">
        <v>-0.49369988545246202</v>
      </c>
      <c r="F1507">
        <v>-0.29841269841269802</v>
      </c>
      <c r="G1507">
        <v>-0.34323922734026702</v>
      </c>
      <c r="H1507">
        <v>-0.67831149927219703</v>
      </c>
      <c r="I1507">
        <v>0.33333333333333298</v>
      </c>
    </row>
    <row r="1508" spans="1:9" x14ac:dyDescent="0.35">
      <c r="A1508" s="1" t="s">
        <v>1520</v>
      </c>
      <c r="B1508" t="str">
        <f>HYPERLINK("https://www.suredividend.com/sure-analysis-research-database/","StoneCo Ltd")</f>
        <v>StoneCo Ltd</v>
      </c>
      <c r="C1508">
        <v>-0.14524647887323899</v>
      </c>
      <c r="D1508">
        <v>-0.202136400986031</v>
      </c>
      <c r="E1508">
        <v>-0.17989864864864799</v>
      </c>
      <c r="F1508">
        <v>2.8601694915254001E-2</v>
      </c>
      <c r="G1508">
        <v>-2.9970029970029E-2</v>
      </c>
      <c r="H1508">
        <v>-0.73974805682122702</v>
      </c>
      <c r="I1508">
        <v>-0.69027113237639504</v>
      </c>
    </row>
    <row r="1509" spans="1:9" x14ac:dyDescent="0.35">
      <c r="A1509" s="1" t="s">
        <v>1521</v>
      </c>
      <c r="B1509" t="str">
        <f>HYPERLINK("https://www.suredividend.com/sure-analysis-research-database/","Scorpio Tankers Inc")</f>
        <v>Scorpio Tankers Inc</v>
      </c>
      <c r="C1509">
        <v>6.7683508102955009E-2</v>
      </c>
      <c r="D1509">
        <v>0.33582050389057699</v>
      </c>
      <c r="E1509">
        <v>-3.1063916901789999E-3</v>
      </c>
      <c r="F1509">
        <v>5.6087685451826012E-2</v>
      </c>
      <c r="G1509">
        <v>0.226846019870524</v>
      </c>
      <c r="H1509">
        <v>2.4931447035193428</v>
      </c>
      <c r="I1509">
        <v>2.5445505699763902</v>
      </c>
    </row>
    <row r="1510" spans="1:9" x14ac:dyDescent="0.35">
      <c r="A1510" s="1" t="s">
        <v>1522</v>
      </c>
      <c r="B1510" t="str">
        <f>HYPERLINK("https://www.suredividend.com/sure-analysis-research-database/","Stoke Therapeutics Inc")</f>
        <v>Stoke Therapeutics Inc</v>
      </c>
      <c r="C1510">
        <v>-0.17771084337349399</v>
      </c>
      <c r="D1510">
        <v>-0.59655172413793101</v>
      </c>
      <c r="E1510">
        <v>-0.49877600979192099</v>
      </c>
      <c r="F1510">
        <v>-0.55633802816901401</v>
      </c>
      <c r="G1510">
        <v>-0.65617128463476004</v>
      </c>
      <c r="H1510">
        <v>-0.8258928571428571</v>
      </c>
      <c r="I1510">
        <v>-0.83985138834571704</v>
      </c>
    </row>
    <row r="1511" spans="1:9" x14ac:dyDescent="0.35">
      <c r="A1511" s="1" t="s">
        <v>1523</v>
      </c>
      <c r="B1511" t="str">
        <f>HYPERLINK("https://www.suredividend.com/sure-analysis-research-database/","Sitio Royalties Corp")</f>
        <v>Sitio Royalties Corp</v>
      </c>
      <c r="C1511">
        <v>-6.1855670103092002E-2</v>
      </c>
      <c r="D1511">
        <v>-4.0717763314579013E-2</v>
      </c>
      <c r="E1511">
        <v>-2.6834340033665999E-2</v>
      </c>
      <c r="F1511">
        <v>-8.9669583774851014E-2</v>
      </c>
      <c r="G1511">
        <v>-0.12892109592149201</v>
      </c>
      <c r="H1511">
        <v>-0.12892109592149201</v>
      </c>
      <c r="I1511">
        <v>-0.12892109592149201</v>
      </c>
    </row>
    <row r="1512" spans="1:9" x14ac:dyDescent="0.35">
      <c r="A1512" s="1" t="s">
        <v>1524</v>
      </c>
      <c r="B1512" t="str">
        <f>HYPERLINK("https://www.suredividend.com/sure-analysis-research-database/","Strategic Education Inc")</f>
        <v>Strategic Education Inc</v>
      </c>
      <c r="C1512">
        <v>5.3947885295272002E-2</v>
      </c>
      <c r="D1512">
        <v>0.205586227349387</v>
      </c>
      <c r="E1512">
        <v>-0.115477981456796</v>
      </c>
      <c r="F1512">
        <v>6.7246189258854006E-2</v>
      </c>
      <c r="G1512">
        <v>0.33984975172246101</v>
      </c>
      <c r="H1512">
        <v>0.228710518000174</v>
      </c>
      <c r="I1512">
        <v>-0.25781534549069102</v>
      </c>
    </row>
    <row r="1513" spans="1:9" x14ac:dyDescent="0.35">
      <c r="A1513" s="1" t="s">
        <v>1525</v>
      </c>
      <c r="B1513" t="str">
        <f>HYPERLINK("https://www.suredividend.com/sure-analysis-research-database/","Sarcos Technology and Robotics Corporation")</f>
        <v>Sarcos Technology and Robotics Corporation</v>
      </c>
      <c r="C1513">
        <v>-3.6423841059602002E-2</v>
      </c>
      <c r="D1513">
        <v>-0.53365384615384603</v>
      </c>
      <c r="E1513">
        <v>-0.74739583333333304</v>
      </c>
      <c r="F1513">
        <v>-0.78398360947799706</v>
      </c>
      <c r="G1513">
        <v>-0.94198564593301404</v>
      </c>
      <c r="H1513">
        <v>-0.98134615384615409</v>
      </c>
      <c r="I1513">
        <v>-0.98667582417582411</v>
      </c>
    </row>
    <row r="1514" spans="1:9" x14ac:dyDescent="0.35">
      <c r="A1514" s="1" t="s">
        <v>1526</v>
      </c>
      <c r="B1514" t="str">
        <f>HYPERLINK("https://www.suredividend.com/sure-analysis-research-database/","Sterling Infrastructure Inc")</f>
        <v>Sterling Infrastructure Inc</v>
      </c>
      <c r="C1514">
        <v>-2.7027027027026002E-2</v>
      </c>
      <c r="D1514">
        <v>0.22407344440666399</v>
      </c>
      <c r="E1514">
        <v>0.96078431372549011</v>
      </c>
      <c r="F1514">
        <v>1.1951219512195119</v>
      </c>
      <c r="G1514">
        <v>2.053435114503817</v>
      </c>
      <c r="H1514">
        <v>2.1168831168831161</v>
      </c>
      <c r="I1514">
        <v>4.3531598513011156</v>
      </c>
    </row>
    <row r="1515" spans="1:9" x14ac:dyDescent="0.35">
      <c r="A1515" s="1" t="s">
        <v>1527</v>
      </c>
      <c r="B1515" t="str">
        <f>HYPERLINK("https://www.suredividend.com/sure-analysis-research-database/","Sutro Biopharma Inc")</f>
        <v>Sutro Biopharma Inc</v>
      </c>
      <c r="C1515">
        <v>7.6726342710990002E-3</v>
      </c>
      <c r="D1515">
        <v>-0.16701902748414299</v>
      </c>
      <c r="E1515">
        <v>-0.104545454545454</v>
      </c>
      <c r="F1515">
        <v>-0.51237623762376205</v>
      </c>
      <c r="G1515">
        <v>-0.29516994633273702</v>
      </c>
      <c r="H1515">
        <v>-0.79252238020010501</v>
      </c>
      <c r="I1515">
        <v>-0.72676837725381405</v>
      </c>
    </row>
    <row r="1516" spans="1:9" x14ac:dyDescent="0.35">
      <c r="A1516" s="1" t="s">
        <v>1528</v>
      </c>
      <c r="B1516" t="str">
        <f>HYPERLINK("https://www.suredividend.com/sure-analysis-research-database/","Stratus Properties Inc.")</f>
        <v>Stratus Properties Inc.</v>
      </c>
      <c r="C1516">
        <v>-3.3963585434173001E-2</v>
      </c>
      <c r="D1516">
        <v>2.8326500186357999E-2</v>
      </c>
      <c r="E1516">
        <v>0.36923076923076897</v>
      </c>
      <c r="F1516">
        <v>0.43027475375842411</v>
      </c>
      <c r="G1516">
        <v>0.181584582441113</v>
      </c>
      <c r="H1516">
        <v>-0.12689873417721501</v>
      </c>
      <c r="I1516">
        <v>-3.8675958188153003E-2</v>
      </c>
    </row>
    <row r="1517" spans="1:9" x14ac:dyDescent="0.35">
      <c r="A1517" s="1" t="s">
        <v>1529</v>
      </c>
      <c r="B1517" t="str">
        <f>HYPERLINK("https://www.suredividend.com/sure-analysis-research-database/","Summit Materials Inc")</f>
        <v>Summit Materials Inc</v>
      </c>
      <c r="C1517">
        <v>2.4687499999998998E-2</v>
      </c>
      <c r="D1517">
        <v>-0.113783783783783</v>
      </c>
      <c r="E1517">
        <v>0.22808988764044899</v>
      </c>
      <c r="F1517">
        <v>0.15498414934836199</v>
      </c>
      <c r="G1517">
        <v>0.36445914736907697</v>
      </c>
      <c r="H1517">
        <v>-2.4702475114989999E-3</v>
      </c>
      <c r="I1517">
        <v>1.1186413299821021</v>
      </c>
    </row>
    <row r="1518" spans="1:9" x14ac:dyDescent="0.35">
      <c r="A1518" s="1" t="s">
        <v>1530</v>
      </c>
      <c r="B1518" t="str">
        <f>HYPERLINK("https://www.suredividend.com/sure-analysis-research-database/","Sunlight Financial Holdings Inc")</f>
        <v>Sunlight Financial Holdings Inc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</row>
    <row r="1519" spans="1:9" x14ac:dyDescent="0.35">
      <c r="A1519" s="1" t="s">
        <v>1531</v>
      </c>
      <c r="B1519" t="str">
        <f>HYPERLINK("https://www.suredividend.com/sure-analysis-research-database/","Supernus Pharmaceuticals Inc")</f>
        <v>Supernus Pharmaceuticals Inc</v>
      </c>
      <c r="C1519">
        <v>-0.15018816284639</v>
      </c>
      <c r="D1519">
        <v>-0.172827172827172</v>
      </c>
      <c r="E1519">
        <v>-0.31114808652246201</v>
      </c>
      <c r="F1519">
        <v>-0.30361648444070599</v>
      </c>
      <c r="G1519">
        <v>-0.23475046210720801</v>
      </c>
      <c r="H1519">
        <v>-0.215413771320277</v>
      </c>
      <c r="I1519">
        <v>-0.46775230340689911</v>
      </c>
    </row>
    <row r="1520" spans="1:9" x14ac:dyDescent="0.35">
      <c r="A1520" s="1" t="s">
        <v>1532</v>
      </c>
      <c r="B1520" t="str">
        <f>HYPERLINK("https://www.suredividend.com/sure-analysis-research-database/","Service Properties Trust")</f>
        <v>Service Properties Trust</v>
      </c>
      <c r="C1520">
        <v>-9.6370463078848001E-2</v>
      </c>
      <c r="D1520">
        <v>-0.162782068229782</v>
      </c>
      <c r="E1520">
        <v>-0.18733045934963899</v>
      </c>
      <c r="F1520">
        <v>8.4800769276999005E-2</v>
      </c>
      <c r="G1520">
        <v>0.104989286807468</v>
      </c>
      <c r="H1520">
        <v>-0.30611617268288899</v>
      </c>
      <c r="I1520">
        <v>-0.70279749065582109</v>
      </c>
    </row>
    <row r="1521" spans="1:9" x14ac:dyDescent="0.35">
      <c r="A1521" s="1" t="s">
        <v>1533</v>
      </c>
      <c r="B1521" t="str">
        <f>HYPERLINK("https://www.suredividend.com/sure-analysis-research-database/","ShockWave Medical Inc")</f>
        <v>ShockWave Medical Inc</v>
      </c>
      <c r="C1521">
        <v>-9.618900295317101E-2</v>
      </c>
      <c r="D1521">
        <v>-0.28474978669733197</v>
      </c>
      <c r="E1521">
        <v>-0.25796644088669901</v>
      </c>
      <c r="F1521">
        <v>-6.2253781430864012E-2</v>
      </c>
      <c r="G1521">
        <v>-0.24054671498345601</v>
      </c>
      <c r="H1521">
        <v>-3.977683645004E-3</v>
      </c>
      <c r="I1521">
        <v>5.3216393442622953</v>
      </c>
    </row>
    <row r="1522" spans="1:9" x14ac:dyDescent="0.35">
      <c r="A1522" s="1" t="s">
        <v>1534</v>
      </c>
      <c r="B1522" t="str">
        <f>HYPERLINK("https://www.suredividend.com/sure-analysis-research-database/","Smith &amp; Wesson Brands Inc")</f>
        <v>Smith &amp; Wesson Brands Inc</v>
      </c>
      <c r="C1522">
        <v>0.247236437624965</v>
      </c>
      <c r="D1522">
        <v>8.7900183621570011E-2</v>
      </c>
      <c r="E1522">
        <v>0.192139958578187</v>
      </c>
      <c r="F1522">
        <v>0.69382042632598806</v>
      </c>
      <c r="G1522">
        <v>0.44145611499073611</v>
      </c>
      <c r="H1522">
        <v>-0.277355611466365</v>
      </c>
      <c r="I1522">
        <v>-2.6134800550205999E-2</v>
      </c>
    </row>
    <row r="1523" spans="1:9" x14ac:dyDescent="0.35">
      <c r="A1523" s="1" t="s">
        <v>1535</v>
      </c>
      <c r="B1523" t="str">
        <f>HYPERLINK("https://www.suredividend.com/sure-analysis-research-database/","SolarWinds Corp")</f>
        <v>SolarWinds Corp</v>
      </c>
      <c r="C1523">
        <v>-9.3439363817097013E-2</v>
      </c>
      <c r="D1523">
        <v>-0.13142857142857101</v>
      </c>
      <c r="E1523">
        <v>7.5471698113207003E-2</v>
      </c>
      <c r="F1523">
        <v>-2.5641025641024998E-2</v>
      </c>
      <c r="G1523">
        <v>0.14142678347934901</v>
      </c>
      <c r="H1523">
        <v>-0.52819451629591307</v>
      </c>
      <c r="I1523">
        <v>-0.70663355571710706</v>
      </c>
    </row>
    <row r="1524" spans="1:9" x14ac:dyDescent="0.35">
      <c r="A1524" s="1" t="s">
        <v>1536</v>
      </c>
      <c r="B1524" t="str">
        <f>HYPERLINK("https://www.suredividend.com/sure-analysis-research-database/","Latham Group Inc")</f>
        <v>Latham Group Inc</v>
      </c>
      <c r="C1524">
        <v>-0.13703703703703701</v>
      </c>
      <c r="D1524">
        <v>-0.45047169811320698</v>
      </c>
      <c r="E1524">
        <v>4.3103448275860004E-3</v>
      </c>
      <c r="F1524">
        <v>-0.27639751552795</v>
      </c>
      <c r="G1524">
        <v>-0.34733893557422901</v>
      </c>
      <c r="H1524">
        <v>-0.8233510235026531</v>
      </c>
      <c r="I1524">
        <v>-0.91449541284403613</v>
      </c>
    </row>
    <row r="1525" spans="1:9" x14ac:dyDescent="0.35">
      <c r="A1525" s="1" t="s">
        <v>1537</v>
      </c>
      <c r="B1525" t="str">
        <f>HYPERLINK("https://www.suredividend.com/sure-analysis-research-database/","Swk Holdings Corp")</f>
        <v>Swk Holdings Corp</v>
      </c>
      <c r="C1525">
        <v>1.8625561978163001E-2</v>
      </c>
      <c r="D1525">
        <v>-2.8186274509802999E-2</v>
      </c>
      <c r="E1525">
        <v>-9.3714285714285001E-2</v>
      </c>
      <c r="F1525">
        <v>-0.100907029478458</v>
      </c>
      <c r="G1525">
        <v>-9.4231867504283001E-2</v>
      </c>
      <c r="H1525">
        <v>-0.184994861253854</v>
      </c>
      <c r="I1525">
        <v>12.79130434782609</v>
      </c>
    </row>
    <row r="1526" spans="1:9" x14ac:dyDescent="0.35">
      <c r="A1526" s="1" t="s">
        <v>1538</v>
      </c>
      <c r="B1526" t="str">
        <f>HYPERLINK("https://www.suredividend.com/sure-analysis-research-database/","SpringWorks Therapeutics Inc")</f>
        <v>SpringWorks Therapeutics Inc</v>
      </c>
      <c r="C1526">
        <v>-0.13857251328777501</v>
      </c>
      <c r="D1526">
        <v>-0.20664335664335601</v>
      </c>
      <c r="E1526">
        <v>-5.1817801922272998E-2</v>
      </c>
      <c r="F1526">
        <v>-0.12764321414840399</v>
      </c>
      <c r="G1526">
        <v>-9.9603174603174013E-2</v>
      </c>
      <c r="H1526">
        <v>-0.62876308900523503</v>
      </c>
      <c r="I1526">
        <v>2.6513477684489998E-3</v>
      </c>
    </row>
    <row r="1527" spans="1:9" x14ac:dyDescent="0.35">
      <c r="A1527" s="1" t="s">
        <v>1539</v>
      </c>
      <c r="B1527" t="str">
        <f>HYPERLINK("https://www.suredividend.com/sure-analysis-SWX/","Southwest Gas Holdings Inc")</f>
        <v>Southwest Gas Holdings Inc</v>
      </c>
      <c r="C1527">
        <v>-9.8606980748160003E-2</v>
      </c>
      <c r="D1527">
        <v>-9.7729989550024002E-2</v>
      </c>
      <c r="E1527">
        <v>-3.433214970478E-3</v>
      </c>
      <c r="F1527">
        <v>-4.1068062687740013E-2</v>
      </c>
      <c r="G1527">
        <v>-0.128889292250911</v>
      </c>
      <c r="H1527">
        <v>-0.100309478541935</v>
      </c>
      <c r="I1527">
        <v>-0.14171085536806999</v>
      </c>
    </row>
    <row r="1528" spans="1:9" x14ac:dyDescent="0.35">
      <c r="A1528" s="1" t="s">
        <v>1540</v>
      </c>
      <c r="B1528" t="str">
        <f>HYPERLINK("https://www.suredividend.com/sure-analysis-research-database/","SunCoke Energy Inc")</f>
        <v>SunCoke Energy Inc</v>
      </c>
      <c r="C1528">
        <v>1.7726798748696E-2</v>
      </c>
      <c r="D1528">
        <v>0.20772647965055099</v>
      </c>
      <c r="E1528">
        <v>0.15998526248232001</v>
      </c>
      <c r="F1528">
        <v>0.16567934263328801</v>
      </c>
      <c r="G1528">
        <v>0.61242359160746707</v>
      </c>
      <c r="H1528">
        <v>0.52884600322686703</v>
      </c>
      <c r="I1528">
        <v>6.5292846383897998E-2</v>
      </c>
    </row>
    <row r="1529" spans="1:9" x14ac:dyDescent="0.35">
      <c r="A1529" s="1" t="s">
        <v>1541</v>
      </c>
      <c r="B1529" t="str">
        <f>HYPERLINK("https://www.suredividend.com/sure-analysis-SXI/","Standex International Corp.")</f>
        <v>Standex International Corp.</v>
      </c>
      <c r="C1529">
        <v>1.2433515231055001E-2</v>
      </c>
      <c r="D1529">
        <v>6.0972820217333003E-2</v>
      </c>
      <c r="E1529">
        <v>0.233444809298677</v>
      </c>
      <c r="F1529">
        <v>0.44010218368499898</v>
      </c>
      <c r="G1529">
        <v>0.77346112288148405</v>
      </c>
      <c r="H1529">
        <v>0.41437242470736901</v>
      </c>
      <c r="I1529">
        <v>0.56567625741738703</v>
      </c>
    </row>
    <row r="1530" spans="1:9" x14ac:dyDescent="0.35">
      <c r="A1530" s="1" t="s">
        <v>1542</v>
      </c>
      <c r="B1530" t="str">
        <f>HYPERLINK("https://www.suredividend.com/sure-analysis-SXT/","Sensient Technologies Corp.")</f>
        <v>Sensient Technologies Corp.</v>
      </c>
      <c r="C1530">
        <v>-0.166954068035742</v>
      </c>
      <c r="D1530">
        <v>-0.223048299961254</v>
      </c>
      <c r="E1530">
        <v>-0.28588610461217501</v>
      </c>
      <c r="F1530">
        <v>-0.25850886887020902</v>
      </c>
      <c r="G1530">
        <v>-0.21180307832873699</v>
      </c>
      <c r="H1530">
        <v>-0.42383172503523803</v>
      </c>
      <c r="I1530">
        <v>-0.21049738367687701</v>
      </c>
    </row>
    <row r="1531" spans="1:9" x14ac:dyDescent="0.35">
      <c r="A1531" s="1" t="s">
        <v>1543</v>
      </c>
      <c r="B1531" t="str">
        <f>HYPERLINK("https://www.suredividend.com/sure-analysis-SYBT/","Stock Yards Bancorp Inc")</f>
        <v>Stock Yards Bancorp Inc</v>
      </c>
      <c r="C1531">
        <v>-7.8135868305124007E-2</v>
      </c>
      <c r="D1531">
        <v>-8.3668276853866005E-2</v>
      </c>
      <c r="E1531">
        <v>-0.21076190457285601</v>
      </c>
      <c r="F1531">
        <v>-0.36895199368951997</v>
      </c>
      <c r="G1531">
        <v>-0.42328417614200797</v>
      </c>
      <c r="H1531">
        <v>-0.328187728950107</v>
      </c>
      <c r="I1531">
        <v>0.33114154761944598</v>
      </c>
    </row>
    <row r="1532" spans="1:9" x14ac:dyDescent="0.35">
      <c r="A1532" s="1" t="s">
        <v>1544</v>
      </c>
      <c r="B1532" t="str">
        <f>HYPERLINK("https://www.suredividend.com/sure-analysis-research-database/","Synaptics Inc")</f>
        <v>Synaptics Inc</v>
      </c>
      <c r="C1532">
        <v>0.101543460601137</v>
      </c>
      <c r="D1532">
        <v>5.9374999999999997E-2</v>
      </c>
      <c r="E1532">
        <v>-2.3255813953488001E-2</v>
      </c>
      <c r="F1532">
        <v>-2.522068095838E-3</v>
      </c>
      <c r="G1532">
        <v>0.12411179535765</v>
      </c>
      <c r="H1532">
        <v>-0.45303676385847602</v>
      </c>
      <c r="I1532">
        <v>1.5856714791609909</v>
      </c>
    </row>
    <row r="1533" spans="1:9" x14ac:dyDescent="0.35">
      <c r="A1533" s="1" t="s">
        <v>1545</v>
      </c>
      <c r="B1533" t="str">
        <f>HYPERLINK("https://www.suredividend.com/sure-analysis-research-database/","Talos Energy Inc")</f>
        <v>Talos Energy Inc</v>
      </c>
      <c r="C1533">
        <v>-4.5949214026602E-2</v>
      </c>
      <c r="D1533">
        <v>0.105816398037841</v>
      </c>
      <c r="E1533">
        <v>4.7808764940239001E-2</v>
      </c>
      <c r="F1533">
        <v>-0.16419491525423699</v>
      </c>
      <c r="G1533">
        <v>-0.20583794665324601</v>
      </c>
      <c r="H1533">
        <v>0.25837320574162598</v>
      </c>
      <c r="I1533">
        <v>-0.49390635022450202</v>
      </c>
    </row>
    <row r="1534" spans="1:9" x14ac:dyDescent="0.35">
      <c r="A1534" s="1" t="s">
        <v>1546</v>
      </c>
      <c r="B1534" t="str">
        <f>HYPERLINK("https://www.suredividend.com/sure-analysis-research-database/","Talaris Therapeutics Inc")</f>
        <v>Talaris Therapeutics Inc</v>
      </c>
      <c r="C1534">
        <v>0.04</v>
      </c>
      <c r="D1534">
        <v>-6.8403908794787999E-2</v>
      </c>
      <c r="E1534">
        <v>0.47422680412371099</v>
      </c>
      <c r="F1534">
        <v>1.8039215686274499</v>
      </c>
      <c r="G1534">
        <v>0.24347826086956501</v>
      </c>
      <c r="H1534">
        <v>-0.81548387096774111</v>
      </c>
      <c r="I1534">
        <v>-0.82400000000000007</v>
      </c>
    </row>
    <row r="1535" spans="1:9" x14ac:dyDescent="0.35">
      <c r="A1535" s="1" t="s">
        <v>1547</v>
      </c>
      <c r="B1535" t="str">
        <f>HYPERLINK("https://www.suredividend.com/sure-analysis-research-database/","Tarsus Pharmaceuticals Inc")</f>
        <v>Tarsus Pharmaceuticals Inc</v>
      </c>
      <c r="C1535">
        <v>-0.19578686493184599</v>
      </c>
      <c r="D1535">
        <v>-0.26458923512747801</v>
      </c>
      <c r="E1535">
        <v>0.121866897147796</v>
      </c>
      <c r="F1535">
        <v>-0.11459754433833499</v>
      </c>
      <c r="G1535">
        <v>-0.23557126030624201</v>
      </c>
      <c r="H1535">
        <v>-0.54488078541374407</v>
      </c>
      <c r="I1535">
        <v>-0.36929057337220511</v>
      </c>
    </row>
    <row r="1536" spans="1:9" x14ac:dyDescent="0.35">
      <c r="A1536" s="1" t="s">
        <v>1548</v>
      </c>
      <c r="B1536" t="str">
        <f>HYPERLINK("https://www.suredividend.com/sure-analysis-research-database/","Bancorp Inc. (The)")</f>
        <v>Bancorp Inc. (The)</v>
      </c>
      <c r="C1536">
        <v>-6.7552602436323009E-2</v>
      </c>
      <c r="D1536">
        <v>-5.1000281769511997E-2</v>
      </c>
      <c r="E1536">
        <v>0.24740740740740699</v>
      </c>
      <c r="F1536">
        <v>0.186751233262861</v>
      </c>
      <c r="G1536">
        <v>0.39173553719008197</v>
      </c>
      <c r="H1536">
        <v>0.12944332662642499</v>
      </c>
      <c r="I1536">
        <v>2.6410810810810812</v>
      </c>
    </row>
    <row r="1537" spans="1:9" x14ac:dyDescent="0.35">
      <c r="A1537" s="1" t="s">
        <v>1549</v>
      </c>
      <c r="B1537" t="str">
        <f>HYPERLINK("https://www.suredividend.com/sure-analysis-research-database/","TrueBlue Inc")</f>
        <v>TrueBlue Inc</v>
      </c>
      <c r="C1537">
        <v>4.4349070100143002E-2</v>
      </c>
      <c r="D1537">
        <v>-0.198242723778143</v>
      </c>
      <c r="E1537">
        <v>-0.20305676855895199</v>
      </c>
      <c r="F1537">
        <v>-0.25434116445352301</v>
      </c>
      <c r="G1537">
        <v>-0.28043371118777699</v>
      </c>
      <c r="H1537">
        <v>-0.52979066022544208</v>
      </c>
      <c r="I1537">
        <v>-0.39519469759734799</v>
      </c>
    </row>
    <row r="1538" spans="1:9" x14ac:dyDescent="0.35">
      <c r="A1538" s="1" t="s">
        <v>1550</v>
      </c>
      <c r="B1538" t="str">
        <f>HYPERLINK("https://www.suredividend.com/sure-analysis-research-database/","Theravance Biopharma Inc")</f>
        <v>Theravance Biopharma Inc</v>
      </c>
      <c r="C1538">
        <v>6.6666666666660001E-3</v>
      </c>
      <c r="D1538">
        <v>-7.4565883554647008E-2</v>
      </c>
      <c r="E1538">
        <v>-0.23993288590604001</v>
      </c>
      <c r="F1538">
        <v>-0.19251336898395699</v>
      </c>
      <c r="G1538">
        <v>-8.6693548387096003E-2</v>
      </c>
      <c r="H1538">
        <v>0.133917396745932</v>
      </c>
      <c r="I1538">
        <v>-0.686288088642659</v>
      </c>
    </row>
    <row r="1539" spans="1:9" x14ac:dyDescent="0.35">
      <c r="A1539" s="1" t="s">
        <v>1551</v>
      </c>
      <c r="B1539" t="str">
        <f>HYPERLINK("https://www.suredividend.com/sure-analysis-research-database/","Texas Capital Bancshares, Inc.")</f>
        <v>Texas Capital Bancshares, Inc.</v>
      </c>
      <c r="C1539">
        <v>-6.9737268893934001E-2</v>
      </c>
      <c r="D1539">
        <v>1.4861995753715E-2</v>
      </c>
      <c r="E1539">
        <v>0.173486088379705</v>
      </c>
      <c r="F1539">
        <v>-4.8913944619466007E-2</v>
      </c>
      <c r="G1539">
        <v>-7.8258074883496009E-2</v>
      </c>
      <c r="H1539">
        <v>-4.7334329845540001E-2</v>
      </c>
      <c r="I1539">
        <v>-0.250098052032945</v>
      </c>
    </row>
    <row r="1540" spans="1:9" x14ac:dyDescent="0.35">
      <c r="A1540" s="1" t="s">
        <v>1552</v>
      </c>
      <c r="B1540" t="str">
        <f>HYPERLINK("https://www.suredividend.com/sure-analysis-research-database/","Trico Bancshares")</f>
        <v>Trico Bancshares</v>
      </c>
      <c r="C1540">
        <v>-5.7623049219687007E-2</v>
      </c>
      <c r="D1540">
        <v>-8.8975736000255004E-2</v>
      </c>
      <c r="E1540">
        <v>-0.16371258346228301</v>
      </c>
      <c r="F1540">
        <v>-0.35878585898189802</v>
      </c>
      <c r="G1540">
        <v>-0.34695846947030801</v>
      </c>
      <c r="H1540">
        <v>-0.224685614955172</v>
      </c>
      <c r="I1540">
        <v>1.6872308041062999E-2</v>
      </c>
    </row>
    <row r="1541" spans="1:9" x14ac:dyDescent="0.35">
      <c r="A1541" s="1" t="s">
        <v>1553</v>
      </c>
      <c r="B1541" t="str">
        <f>HYPERLINK("https://www.suredividend.com/sure-analysis-research-database/","Third Coast Bancshares Inc")</f>
        <v>Third Coast Bancshares Inc</v>
      </c>
      <c r="C1541">
        <v>-8.0178173719376009E-2</v>
      </c>
      <c r="D1541">
        <v>8.5470085470080014E-3</v>
      </c>
      <c r="E1541">
        <v>0.14325259515570901</v>
      </c>
      <c r="F1541">
        <v>-0.10363537710255</v>
      </c>
      <c r="G1541">
        <v>-3.0516431924882001E-2</v>
      </c>
      <c r="H1541">
        <v>-0.33946421431427398</v>
      </c>
      <c r="I1541">
        <v>-0.33946421431427398</v>
      </c>
    </row>
    <row r="1542" spans="1:9" x14ac:dyDescent="0.35">
      <c r="A1542" s="1" t="s">
        <v>1554</v>
      </c>
      <c r="B1542" t="str">
        <f>HYPERLINK("https://www.suredividend.com/sure-analysis-research-database/","Transcontinental Realty Investors, Inc.")</f>
        <v>Transcontinental Realty Investors, Inc.</v>
      </c>
      <c r="C1542">
        <v>-8.8167053364269013E-2</v>
      </c>
      <c r="D1542">
        <v>-0.21489726027397199</v>
      </c>
      <c r="E1542">
        <v>-0.28767477990678297</v>
      </c>
      <c r="F1542">
        <v>-0.37732005432322302</v>
      </c>
      <c r="G1542">
        <v>-0.32074074074073999</v>
      </c>
      <c r="H1542">
        <v>-0.28785917680559098</v>
      </c>
      <c r="I1542">
        <v>-0.124164278892072</v>
      </c>
    </row>
    <row r="1543" spans="1:9" x14ac:dyDescent="0.35">
      <c r="A1543" s="1" t="s">
        <v>1555</v>
      </c>
      <c r="B1543" t="str">
        <f>HYPERLINK("https://www.suredividend.com/sure-analysis-research-database/","Tactile Systems Technology Inc")</f>
        <v>Tactile Systems Technology Inc</v>
      </c>
      <c r="C1543">
        <v>-0.32095006090133998</v>
      </c>
      <c r="D1543">
        <v>-0.55184887459807008</v>
      </c>
      <c r="E1543">
        <v>-0.38089950027762298</v>
      </c>
      <c r="F1543">
        <v>-2.8745644599303E-2</v>
      </c>
      <c r="G1543">
        <v>0.66169895678092405</v>
      </c>
      <c r="H1543">
        <v>-0.68591549295774601</v>
      </c>
      <c r="I1543">
        <v>-0.82050869285254302</v>
      </c>
    </row>
    <row r="1544" spans="1:9" x14ac:dyDescent="0.35">
      <c r="A1544" s="1" t="s">
        <v>1556</v>
      </c>
      <c r="B1544" t="str">
        <f>HYPERLINK("https://www.suredividend.com/sure-analysis-research-database/","Container Store Group Inc")</f>
        <v>Container Store Group Inc</v>
      </c>
      <c r="C1544">
        <v>-0.128755364806867</v>
      </c>
      <c r="D1544">
        <v>-0.377300613496932</v>
      </c>
      <c r="E1544">
        <v>-0.38484848484848411</v>
      </c>
      <c r="F1544">
        <v>-0.52900232018561399</v>
      </c>
      <c r="G1544">
        <v>-0.62476894639556302</v>
      </c>
      <c r="H1544">
        <v>-0.79940711462450509</v>
      </c>
      <c r="I1544">
        <v>-0.80348499515972804</v>
      </c>
    </row>
    <row r="1545" spans="1:9" x14ac:dyDescent="0.35">
      <c r="A1545" s="1" t="s">
        <v>1557</v>
      </c>
      <c r="B1545" t="str">
        <f>HYPERLINK("https://www.suredividend.com/sure-analysis-research-database/","Tucows, Inc.")</f>
        <v>Tucows, Inc.</v>
      </c>
      <c r="C1545">
        <v>-0.12823834196891101</v>
      </c>
      <c r="D1545">
        <v>-0.32384460817146599</v>
      </c>
      <c r="E1545">
        <v>5.5962343096233998E-2</v>
      </c>
      <c r="F1545">
        <v>-0.40477594339622602</v>
      </c>
      <c r="G1545">
        <v>-0.53628847037207106</v>
      </c>
      <c r="H1545">
        <v>-0.75360019526482702</v>
      </c>
      <c r="I1545">
        <v>-0.62395231886757307</v>
      </c>
    </row>
    <row r="1546" spans="1:9" x14ac:dyDescent="0.35">
      <c r="A1546" s="1" t="s">
        <v>1558</v>
      </c>
      <c r="B1546" t="str">
        <f>HYPERLINK("https://www.suredividend.com/sure-analysis-TDS/","Telephone And Data Systems, Inc.")</f>
        <v>Telephone And Data Systems, Inc.</v>
      </c>
      <c r="C1546">
        <v>3.8327526132404012E-2</v>
      </c>
      <c r="D1546">
        <v>1.3652357960182551</v>
      </c>
      <c r="E1546">
        <v>0.70243558737836309</v>
      </c>
      <c r="F1546">
        <v>0.79703910670673406</v>
      </c>
      <c r="G1546">
        <v>0.30548112236330011</v>
      </c>
      <c r="H1546">
        <v>2.9248383884318E-2</v>
      </c>
      <c r="I1546">
        <v>-0.31510260054163602</v>
      </c>
    </row>
    <row r="1547" spans="1:9" x14ac:dyDescent="0.35">
      <c r="A1547" s="1" t="s">
        <v>1559</v>
      </c>
      <c r="B1547" t="str">
        <f>HYPERLINK("https://www.suredividend.com/sure-analysis-research-database/","ThredUp Inc")</f>
        <v>ThredUp Inc</v>
      </c>
      <c r="C1547">
        <v>-0.05</v>
      </c>
      <c r="D1547">
        <v>0.206349206349206</v>
      </c>
      <c r="E1547">
        <v>1.3333333333332999E-2</v>
      </c>
      <c r="F1547">
        <v>1.3206106870229</v>
      </c>
      <c r="G1547">
        <v>1.218978102189781</v>
      </c>
      <c r="H1547">
        <v>-0.84450127877237802</v>
      </c>
      <c r="I1547">
        <v>-0.84799999999999998</v>
      </c>
    </row>
    <row r="1548" spans="1:9" x14ac:dyDescent="0.35">
      <c r="A1548" s="1" t="s">
        <v>1560</v>
      </c>
      <c r="B1548" t="str">
        <f>HYPERLINK("https://www.suredividend.com/sure-analysis-research-database/","Tidewater Inc.")</f>
        <v>Tidewater Inc.</v>
      </c>
      <c r="C1548">
        <v>2.7071005917159E-2</v>
      </c>
      <c r="D1548">
        <v>0.161036789297658</v>
      </c>
      <c r="E1548">
        <v>0.51033282575592709</v>
      </c>
      <c r="F1548">
        <v>0.8841248303934871</v>
      </c>
      <c r="G1548">
        <v>1.8833056478405319</v>
      </c>
      <c r="H1548">
        <v>4.5588470776621302</v>
      </c>
      <c r="I1548">
        <v>1.1232415902140671</v>
      </c>
    </row>
    <row r="1549" spans="1:9" x14ac:dyDescent="0.35">
      <c r="A1549" s="1" t="s">
        <v>1561</v>
      </c>
      <c r="B1549" t="str">
        <f>HYPERLINK("https://www.suredividend.com/sure-analysis-research-database/","Tellurian Inc")</f>
        <v>Tellurian Inc</v>
      </c>
      <c r="C1549">
        <v>-0.32076923076922997</v>
      </c>
      <c r="D1549">
        <v>-0.36474820143884801</v>
      </c>
      <c r="E1549">
        <v>-0.43397435897435899</v>
      </c>
      <c r="F1549">
        <v>-0.47440476190476111</v>
      </c>
      <c r="G1549">
        <v>-0.65507812500000007</v>
      </c>
      <c r="H1549">
        <v>-0.76515957446808502</v>
      </c>
      <c r="I1549">
        <v>-0.89931584948688703</v>
      </c>
    </row>
    <row r="1550" spans="1:9" x14ac:dyDescent="0.35">
      <c r="A1550" s="1" t="s">
        <v>1562</v>
      </c>
      <c r="B1550" t="str">
        <f>HYPERLINK("https://www.suredividend.com/sure-analysis-research-database/","Tenable Holdings Inc")</f>
        <v>Tenable Holdings Inc</v>
      </c>
      <c r="C1550">
        <v>-6.1170795878096013E-2</v>
      </c>
      <c r="D1550">
        <v>-3.0267753201390002E-3</v>
      </c>
      <c r="E1550">
        <v>-6.6899106559163007E-2</v>
      </c>
      <c r="F1550">
        <v>0.122411533420707</v>
      </c>
      <c r="G1550">
        <v>0.46243169398907003</v>
      </c>
      <c r="H1550">
        <v>-0.15791543756145501</v>
      </c>
      <c r="I1550">
        <v>0.52983208288674499</v>
      </c>
    </row>
    <row r="1551" spans="1:9" x14ac:dyDescent="0.35">
      <c r="A1551" s="1" t="s">
        <v>1563</v>
      </c>
      <c r="B1551" t="str">
        <f>HYPERLINK("https://www.suredividend.com/sure-analysis-research-database/","Terex Corp.")</f>
        <v>Terex Corp.</v>
      </c>
      <c r="C1551">
        <v>-9.2868137506413012E-2</v>
      </c>
      <c r="D1551">
        <v>-0.14253427680429101</v>
      </c>
      <c r="E1551">
        <v>0.18618709283524201</v>
      </c>
      <c r="F1551">
        <v>0.24824964992998599</v>
      </c>
      <c r="G1551">
        <v>0.67728143795892803</v>
      </c>
      <c r="H1551">
        <v>0.25182912438045801</v>
      </c>
      <c r="I1551">
        <v>0.54039619315360099</v>
      </c>
    </row>
    <row r="1552" spans="1:9" x14ac:dyDescent="0.35">
      <c r="A1552" s="1" t="s">
        <v>1564</v>
      </c>
      <c r="B1552" t="str">
        <f>HYPERLINK("https://www.suredividend.com/sure-analysis-research-database/","Triumph Financial Inc")</f>
        <v>Triumph Financial Inc</v>
      </c>
      <c r="C1552">
        <v>-0.125642909625275</v>
      </c>
      <c r="D1552">
        <v>-9.2018922630856009E-2</v>
      </c>
      <c r="E1552">
        <v>6.6690570096808011E-2</v>
      </c>
      <c r="F1552">
        <v>0.217515858399836</v>
      </c>
      <c r="G1552">
        <v>0.10512630014858799</v>
      </c>
      <c r="H1552">
        <v>-0.44651162790697602</v>
      </c>
      <c r="I1552">
        <v>0.64774300747715308</v>
      </c>
    </row>
    <row r="1553" spans="1:9" x14ac:dyDescent="0.35">
      <c r="A1553" s="1" t="s">
        <v>1565</v>
      </c>
      <c r="B1553" t="str">
        <f>HYPERLINK("https://www.suredividend.com/sure-analysis-research-database/","Fresh Market Holdings Inc (The)")</f>
        <v>Fresh Market Holdings Inc (The)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</row>
    <row r="1554" spans="1:9" x14ac:dyDescent="0.35">
      <c r="A1554" s="1" t="s">
        <v>1566</v>
      </c>
      <c r="B1554" t="str">
        <f>HYPERLINK("https://www.suredividend.com/sure-analysis-research-database/","Tredegar Corp.")</f>
        <v>Tredegar Corp.</v>
      </c>
      <c r="C1554">
        <v>-7.6335877862589996E-3</v>
      </c>
      <c r="D1554">
        <v>-0.22503725782414299</v>
      </c>
      <c r="E1554">
        <v>-0.41738000268901498</v>
      </c>
      <c r="F1554">
        <v>-0.47296941195548597</v>
      </c>
      <c r="G1554">
        <v>-0.45838410982303701</v>
      </c>
      <c r="H1554">
        <v>-0.55084130877932402</v>
      </c>
      <c r="I1554">
        <v>-0.55380126995023105</v>
      </c>
    </row>
    <row r="1555" spans="1:9" x14ac:dyDescent="0.35">
      <c r="A1555" s="1" t="s">
        <v>1567</v>
      </c>
      <c r="B1555" t="str">
        <f>HYPERLINK("https://www.suredividend.com/sure-analysis-research-database/","Transphorm Inc")</f>
        <v>Transphorm Inc</v>
      </c>
      <c r="C1555">
        <v>-0.114754098360655</v>
      </c>
      <c r="D1555">
        <v>-0.28476821192052898</v>
      </c>
      <c r="E1555">
        <v>-0.33742331288343502</v>
      </c>
      <c r="F1555">
        <v>-0.60294117647058809</v>
      </c>
      <c r="G1555">
        <v>-0.61081081081081001</v>
      </c>
      <c r="H1555">
        <v>-0.68786127167630007</v>
      </c>
      <c r="I1555">
        <v>-0.68786127167630007</v>
      </c>
    </row>
    <row r="1556" spans="1:9" x14ac:dyDescent="0.35">
      <c r="A1556" s="1" t="s">
        <v>1568</v>
      </c>
      <c r="B1556" t="str">
        <f>HYPERLINK("https://www.suredividend.com/sure-analysis-research-database/","Textainer Group Holdings Limited")</f>
        <v>Textainer Group Holdings Limited</v>
      </c>
      <c r="C1556">
        <v>-8.0072090628218004E-2</v>
      </c>
      <c r="D1556">
        <v>-9.822142916634001E-2</v>
      </c>
      <c r="E1556">
        <v>-6.9455445957320007E-3</v>
      </c>
      <c r="F1556">
        <v>0.18149292030130801</v>
      </c>
      <c r="G1556">
        <v>0.32690615100659898</v>
      </c>
      <c r="H1556">
        <v>2.8592155869279001E-2</v>
      </c>
      <c r="I1556">
        <v>2.3381916026683101</v>
      </c>
    </row>
    <row r="1557" spans="1:9" x14ac:dyDescent="0.35">
      <c r="A1557" s="1" t="s">
        <v>1569</v>
      </c>
      <c r="B1557" t="str">
        <f>HYPERLINK("https://www.suredividend.com/sure-analysis-research-database/","Triumph Group Inc.")</f>
        <v>Triumph Group Inc.</v>
      </c>
      <c r="C1557">
        <v>-0.18430034129692799</v>
      </c>
      <c r="D1557">
        <v>-0.39237288135593201</v>
      </c>
      <c r="E1557">
        <v>-0.34639927073837701</v>
      </c>
      <c r="F1557">
        <v>-0.31844106463878302</v>
      </c>
      <c r="G1557">
        <v>-0.139255702280912</v>
      </c>
      <c r="H1557">
        <v>-0.64487369985141108</v>
      </c>
      <c r="I1557">
        <v>-0.61641754314633901</v>
      </c>
    </row>
    <row r="1558" spans="1:9" x14ac:dyDescent="0.35">
      <c r="A1558" s="1" t="s">
        <v>1570</v>
      </c>
      <c r="B1558" t="str">
        <f>HYPERLINK("https://www.suredividend.com/sure-analysis-research-database/","TEGNA Inc")</f>
        <v>TEGNA Inc</v>
      </c>
      <c r="C1558">
        <v>-0.116687578419071</v>
      </c>
      <c r="D1558">
        <v>-0.14150529242475901</v>
      </c>
      <c r="E1558">
        <v>-0.14532508604415401</v>
      </c>
      <c r="F1558">
        <v>-0.32302484806523502</v>
      </c>
      <c r="G1558">
        <v>-0.30130310939965599</v>
      </c>
      <c r="H1558">
        <v>-0.25298302764705499</v>
      </c>
      <c r="I1558">
        <v>0.34997794780340902</v>
      </c>
    </row>
    <row r="1559" spans="1:9" x14ac:dyDescent="0.35">
      <c r="A1559" s="1" t="s">
        <v>1571</v>
      </c>
      <c r="B1559" t="str">
        <f>HYPERLINK("https://www.suredividend.com/sure-analysis-research-database/","TG Therapeutics Inc")</f>
        <v>TG Therapeutics Inc</v>
      </c>
      <c r="C1559">
        <v>-0.34023668639053201</v>
      </c>
      <c r="D1559">
        <v>-0.69728506787330302</v>
      </c>
      <c r="E1559">
        <v>-0.6707677165354331</v>
      </c>
      <c r="F1559">
        <v>-0.43448858833474202</v>
      </c>
      <c r="G1559">
        <v>0.232044198895027</v>
      </c>
      <c r="H1559">
        <v>-0.7991594115881111</v>
      </c>
      <c r="I1559">
        <v>0.21636363636363601</v>
      </c>
    </row>
    <row r="1560" spans="1:9" x14ac:dyDescent="0.35">
      <c r="A1560" s="1" t="s">
        <v>1572</v>
      </c>
      <c r="B1560" t="str">
        <f>HYPERLINK("https://www.suredividend.com/sure-analysis-research-database/","Target Hospitality Corp")</f>
        <v>Target Hospitality Corp</v>
      </c>
      <c r="C1560">
        <v>7.0967741935483011E-2</v>
      </c>
      <c r="D1560">
        <v>0.174528301886792</v>
      </c>
      <c r="E1560">
        <v>0.18759936406995201</v>
      </c>
      <c r="F1560">
        <v>-1.3210039630117999E-2</v>
      </c>
      <c r="G1560">
        <v>0.20678513731825501</v>
      </c>
      <c r="H1560">
        <v>3.0269541778975739</v>
      </c>
      <c r="I1560">
        <v>0.51521298174442209</v>
      </c>
    </row>
    <row r="1561" spans="1:9" x14ac:dyDescent="0.35">
      <c r="A1561" s="1" t="s">
        <v>1573</v>
      </c>
      <c r="B1561" t="str">
        <f>HYPERLINK("https://www.suredividend.com/sure-analysis-THFF/","First Financial Corp. - Indiana")</f>
        <v>First Financial Corp. - Indiana</v>
      </c>
      <c r="C1561">
        <v>-8.1111111111111009E-2</v>
      </c>
      <c r="D1561">
        <v>-2.8772753963592999E-2</v>
      </c>
      <c r="E1561">
        <v>-2.6322838145303999E-2</v>
      </c>
      <c r="F1561">
        <v>-0.25077006704112997</v>
      </c>
      <c r="G1561">
        <v>-0.27301496604619402</v>
      </c>
      <c r="H1561">
        <v>-0.159035789281011</v>
      </c>
      <c r="I1561">
        <v>-0.22990071120112601</v>
      </c>
    </row>
    <row r="1562" spans="1:9" x14ac:dyDescent="0.35">
      <c r="A1562" s="1" t="s">
        <v>1574</v>
      </c>
      <c r="B1562" t="str">
        <f>HYPERLINK("https://www.suredividend.com/sure-analysis-research-database/","Thermon Group Holdings Inc")</f>
        <v>Thermon Group Holdings Inc</v>
      </c>
      <c r="C1562">
        <v>-1.5942028985506999E-2</v>
      </c>
      <c r="D1562">
        <v>-9.8432373313880016E-3</v>
      </c>
      <c r="E1562">
        <v>0.174232598357112</v>
      </c>
      <c r="F1562">
        <v>0.35258964143426302</v>
      </c>
      <c r="G1562">
        <v>0.71356466876971603</v>
      </c>
      <c r="H1562">
        <v>0.60615020697811905</v>
      </c>
      <c r="I1562">
        <v>0.13973982375157301</v>
      </c>
    </row>
    <row r="1563" spans="1:9" x14ac:dyDescent="0.35">
      <c r="A1563" s="1" t="s">
        <v>1575</v>
      </c>
      <c r="B1563" t="str">
        <f>HYPERLINK("https://www.suredividend.com/sure-analysis-research-database/","Third Harmonic Bio Inc")</f>
        <v>Third Harmonic Bio Inc</v>
      </c>
      <c r="C1563">
        <v>7.3248407643312002E-2</v>
      </c>
      <c r="D1563">
        <v>0.25278810408921898</v>
      </c>
      <c r="E1563">
        <v>0.52488687782805399</v>
      </c>
      <c r="F1563">
        <v>0.56744186046511602</v>
      </c>
      <c r="G1563">
        <v>-0.604923798358733</v>
      </c>
      <c r="H1563">
        <v>-0.6575203252032521</v>
      </c>
      <c r="I1563">
        <v>-0.6575203252032521</v>
      </c>
    </row>
    <row r="1564" spans="1:9" x14ac:dyDescent="0.35">
      <c r="A1564" s="1" t="s">
        <v>1576</v>
      </c>
      <c r="B1564" t="str">
        <f>HYPERLINK("https://www.suredividend.com/sure-analysis-research-database/","Gentherm Inc")</f>
        <v>Gentherm Inc</v>
      </c>
      <c r="C1564">
        <v>-6.0249429123484008E-2</v>
      </c>
      <c r="D1564">
        <v>-2.8509170147085001E-2</v>
      </c>
      <c r="E1564">
        <v>-7.5993091537132004E-2</v>
      </c>
      <c r="F1564">
        <v>-0.18057895542962099</v>
      </c>
      <c r="G1564">
        <v>-9.4426957970740015E-3</v>
      </c>
      <c r="H1564">
        <v>-0.38356953566079011</v>
      </c>
      <c r="I1564">
        <v>0.34018036072144198</v>
      </c>
    </row>
    <row r="1565" spans="1:9" x14ac:dyDescent="0.35">
      <c r="A1565" s="1" t="s">
        <v>1577</v>
      </c>
      <c r="B1565" t="str">
        <f>HYPERLINK("https://www.suredividend.com/sure-analysis-research-database/","Thorne Healthtech Inc")</f>
        <v>Thorne Healthtech Inc</v>
      </c>
      <c r="C1565">
        <v>0</v>
      </c>
      <c r="D1565">
        <v>1.066937119675456</v>
      </c>
      <c r="E1565">
        <v>1.105371900826446</v>
      </c>
      <c r="F1565">
        <v>1.8071625344352611</v>
      </c>
      <c r="G1565">
        <v>1.215217391304348</v>
      </c>
      <c r="H1565">
        <v>0.270573566084788</v>
      </c>
      <c r="I1565">
        <v>0.34966887417218501</v>
      </c>
    </row>
    <row r="1566" spans="1:9" x14ac:dyDescent="0.35">
      <c r="A1566" s="1" t="s">
        <v>1578</v>
      </c>
      <c r="B1566" t="str">
        <f>HYPERLINK("https://www.suredividend.com/sure-analysis-research-database/","Theseus Pharmaceuticals Inc")</f>
        <v>Theseus Pharmaceuticals Inc</v>
      </c>
      <c r="C1566">
        <v>-0.186851211072664</v>
      </c>
      <c r="D1566">
        <v>-0.116541353383458</v>
      </c>
      <c r="E1566">
        <v>-0.75184794086589202</v>
      </c>
      <c r="F1566">
        <v>-0.52811244979919603</v>
      </c>
      <c r="G1566">
        <v>-0.59829059829059805</v>
      </c>
      <c r="H1566">
        <v>-0.85321673953778809</v>
      </c>
      <c r="I1566">
        <v>-0.87351991388589811</v>
      </c>
    </row>
    <row r="1567" spans="1:9" x14ac:dyDescent="0.35">
      <c r="A1567" s="1" t="s">
        <v>1579</v>
      </c>
      <c r="B1567" t="str">
        <f>HYPERLINK("https://www.suredividend.com/sure-analysis-research-database/","Thryv Holdings Inc")</f>
        <v>Thryv Holdings Inc</v>
      </c>
      <c r="C1567">
        <v>-6.4532520325202999E-2</v>
      </c>
      <c r="D1567">
        <v>-0.26477635782747599</v>
      </c>
      <c r="E1567">
        <v>-0.187555163283318</v>
      </c>
      <c r="F1567">
        <v>-3.1052631578946999E-2</v>
      </c>
      <c r="G1567">
        <v>-8.4079601990049005E-2</v>
      </c>
      <c r="H1567">
        <v>-0.40052100293064102</v>
      </c>
      <c r="I1567">
        <v>0.66230248306997708</v>
      </c>
    </row>
    <row r="1568" spans="1:9" x14ac:dyDescent="0.35">
      <c r="A1568" s="1" t="s">
        <v>1580</v>
      </c>
      <c r="B1568" t="str">
        <f>HYPERLINK("https://www.suredividend.com/sure-analysis-research-database/","Treehouse Foods Inc")</f>
        <v>Treehouse Foods Inc</v>
      </c>
      <c r="C1568">
        <v>-0.15537848605577601</v>
      </c>
      <c r="D1568">
        <v>-0.20126908586159001</v>
      </c>
      <c r="E1568">
        <v>-0.21143304620203601</v>
      </c>
      <c r="F1568">
        <v>-0.18428513568246199</v>
      </c>
      <c r="G1568">
        <v>-0.137103684661525</v>
      </c>
      <c r="H1568">
        <v>1.7685699848407999E-2</v>
      </c>
      <c r="I1568">
        <v>-0.15466946484784799</v>
      </c>
    </row>
    <row r="1569" spans="1:9" x14ac:dyDescent="0.35">
      <c r="A1569" s="1" t="s">
        <v>1581</v>
      </c>
      <c r="B1569" t="str">
        <f>HYPERLINK("https://www.suredividend.com/sure-analysis-research-database/","Instil Bio Inc")</f>
        <v>Instil Bio Inc</v>
      </c>
      <c r="C1569">
        <v>-0.13643809969576401</v>
      </c>
      <c r="D1569">
        <v>-0.37457627118643999</v>
      </c>
      <c r="E1569">
        <v>-0.43256958326925998</v>
      </c>
      <c r="F1569">
        <v>-0.41428571428571398</v>
      </c>
      <c r="G1569">
        <v>-0.91744966442953002</v>
      </c>
      <c r="H1569">
        <v>-0.97940848214285703</v>
      </c>
      <c r="I1569">
        <v>-0.9860438729198181</v>
      </c>
    </row>
    <row r="1570" spans="1:9" x14ac:dyDescent="0.35">
      <c r="A1570" s="1" t="s">
        <v>1582</v>
      </c>
      <c r="B1570" t="str">
        <f>HYPERLINK("https://www.suredividend.com/sure-analysis-research-database/","Interface Inc.")</f>
        <v>Interface Inc.</v>
      </c>
      <c r="C1570">
        <v>-4.9230769230769002E-2</v>
      </c>
      <c r="D1570">
        <v>1.6202231917739E-2</v>
      </c>
      <c r="E1570">
        <v>0.19883608147429599</v>
      </c>
      <c r="F1570">
        <v>-5.5036238901517001E-2</v>
      </c>
      <c r="G1570">
        <v>-8.1159305368329007E-2</v>
      </c>
      <c r="H1570">
        <v>-0.38069119405677299</v>
      </c>
      <c r="I1570">
        <v>-0.51403378172934699</v>
      </c>
    </row>
    <row r="1571" spans="1:9" x14ac:dyDescent="0.35">
      <c r="A1571" s="1" t="s">
        <v>1583</v>
      </c>
      <c r="B1571" t="str">
        <f>HYPERLINK("https://www.suredividend.com/sure-analysis-research-database/","Tiptree Inc")</f>
        <v>Tiptree Inc</v>
      </c>
      <c r="C1571">
        <v>-6.0822898032200007E-2</v>
      </c>
      <c r="D1571">
        <v>0.103327495621716</v>
      </c>
      <c r="E1571">
        <v>8.7346735888655005E-2</v>
      </c>
      <c r="F1571">
        <v>0.15393914527910599</v>
      </c>
      <c r="G1571">
        <v>0.45367618555368899</v>
      </c>
      <c r="H1571">
        <v>1.6529085640155001E-2</v>
      </c>
      <c r="I1571">
        <v>1.9510961214165261</v>
      </c>
    </row>
    <row r="1572" spans="1:9" x14ac:dyDescent="0.35">
      <c r="A1572" s="1" t="s">
        <v>1584</v>
      </c>
      <c r="B1572" t="str">
        <f>HYPERLINK("https://www.suredividend.com/sure-analysis-research-database/","Titan Machinery Inc")</f>
        <v>Titan Machinery Inc</v>
      </c>
      <c r="C1572">
        <v>-6.804949053857301E-2</v>
      </c>
      <c r="D1572">
        <v>-0.19843505477308299</v>
      </c>
      <c r="E1572">
        <v>-0.130390492359932</v>
      </c>
      <c r="F1572">
        <v>-0.35539894286433399</v>
      </c>
      <c r="G1572">
        <v>-0.16361854996734099</v>
      </c>
      <c r="H1572">
        <v>-6.3619744058501002E-2</v>
      </c>
      <c r="I1572">
        <v>0.68486842105263102</v>
      </c>
    </row>
    <row r="1573" spans="1:9" x14ac:dyDescent="0.35">
      <c r="A1573" s="1" t="s">
        <v>1585</v>
      </c>
      <c r="B1573" t="str">
        <f>HYPERLINK("https://www.suredividend.com/sure-analysis-research-database/","Teekay Corp")</f>
        <v>Teekay Corp</v>
      </c>
      <c r="C1573">
        <v>0.13321799307958401</v>
      </c>
      <c r="D1573">
        <v>2.8257456828884999E-2</v>
      </c>
      <c r="E1573">
        <v>7.5533661740558006E-2</v>
      </c>
      <c r="F1573">
        <v>0.44273127753303898</v>
      </c>
      <c r="G1573">
        <v>0.80939226519337004</v>
      </c>
      <c r="H1573">
        <v>0.86609686609686609</v>
      </c>
      <c r="I1573">
        <v>1.3351485990994999E-2</v>
      </c>
    </row>
    <row r="1574" spans="1:9" x14ac:dyDescent="0.35">
      <c r="A1574" s="1" t="s">
        <v>1586</v>
      </c>
      <c r="B1574" t="str">
        <f>HYPERLINK("https://www.suredividend.com/sure-analysis-research-database/","Alpha Teknova Inc")</f>
        <v>Alpha Teknova Inc</v>
      </c>
      <c r="C1574">
        <v>7.027027027027001E-2</v>
      </c>
      <c r="D1574">
        <v>-0.4375</v>
      </c>
      <c r="E1574">
        <v>-0.123893805309734</v>
      </c>
      <c r="F1574">
        <v>-0.64893617021276606</v>
      </c>
      <c r="G1574">
        <v>-0.38699690402476711</v>
      </c>
      <c r="H1574">
        <v>-0.91428571428571404</v>
      </c>
      <c r="I1574">
        <v>-0.92080000000000006</v>
      </c>
    </row>
    <row r="1575" spans="1:9" x14ac:dyDescent="0.35">
      <c r="A1575" s="1" t="s">
        <v>1587</v>
      </c>
      <c r="B1575" t="str">
        <f>HYPERLINK("https://www.suredividend.com/sure-analysis-research-database/","Telos Corp")</f>
        <v>Telos Corp</v>
      </c>
      <c r="C1575">
        <v>0.167487684729064</v>
      </c>
      <c r="D1575">
        <v>-8.4942084942084009E-2</v>
      </c>
      <c r="E1575">
        <v>-6.3241106719367002E-2</v>
      </c>
      <c r="F1575">
        <v>-0.53438113948919408</v>
      </c>
      <c r="G1575">
        <v>-0.70151133501259411</v>
      </c>
      <c r="H1575">
        <v>-0.91669595782073809</v>
      </c>
      <c r="I1575">
        <v>-0.88319369147363203</v>
      </c>
    </row>
    <row r="1576" spans="1:9" x14ac:dyDescent="0.35">
      <c r="A1576" s="1" t="s">
        <v>1588</v>
      </c>
      <c r="B1576" t="str">
        <f>HYPERLINK("https://www.suredividend.com/sure-analysis-research-database/","Tillys Inc")</f>
        <v>Tillys Inc</v>
      </c>
      <c r="C1576">
        <v>0</v>
      </c>
      <c r="D1576">
        <v>5.8823529411763997E-2</v>
      </c>
      <c r="E1576">
        <v>4.1131105398456998E-2</v>
      </c>
      <c r="F1576">
        <v>-0.10497237569060699</v>
      </c>
      <c r="G1576">
        <v>5.1948051948051001E-2</v>
      </c>
      <c r="H1576">
        <v>-0.37429994978950198</v>
      </c>
      <c r="I1576">
        <v>-0.34196095635007601</v>
      </c>
    </row>
    <row r="1577" spans="1:9" x14ac:dyDescent="0.35">
      <c r="A1577" s="1" t="s">
        <v>1589</v>
      </c>
      <c r="B1577" t="str">
        <f>HYPERLINK("https://www.suredividend.com/sure-analysis-research-database/","Treace Medical Concepts Inc")</f>
        <v>Treace Medical Concepts Inc</v>
      </c>
      <c r="C1577">
        <v>-0.29694019471488098</v>
      </c>
      <c r="D1577">
        <v>-0.59348612786489707</v>
      </c>
      <c r="E1577">
        <v>-0.59135004042037109</v>
      </c>
      <c r="F1577">
        <v>-0.56024358416702902</v>
      </c>
      <c r="G1577">
        <v>-0.54906333630686799</v>
      </c>
      <c r="H1577">
        <v>-0.5859950859950861</v>
      </c>
      <c r="I1577">
        <v>-0.60399529964747301</v>
      </c>
    </row>
    <row r="1578" spans="1:9" x14ac:dyDescent="0.35">
      <c r="A1578" s="1" t="s">
        <v>1590</v>
      </c>
      <c r="B1578" t="str">
        <f>HYPERLINK("https://www.suredividend.com/sure-analysis-research-database/","Transmedics Group Inc")</f>
        <v>Transmedics Group Inc</v>
      </c>
      <c r="C1578">
        <v>-0.28199529727914002</v>
      </c>
      <c r="D1578">
        <v>-0.53283794120861105</v>
      </c>
      <c r="E1578">
        <v>-0.35452211988524801</v>
      </c>
      <c r="F1578">
        <v>-0.30735580038885202</v>
      </c>
      <c r="G1578">
        <v>9.3909928352098007E-2</v>
      </c>
      <c r="H1578">
        <v>0.6101694915254231</v>
      </c>
      <c r="I1578">
        <v>0.91189624329159202</v>
      </c>
    </row>
    <row r="1579" spans="1:9" x14ac:dyDescent="0.35">
      <c r="A1579" s="1" t="s">
        <v>1591</v>
      </c>
      <c r="B1579" t="str">
        <f>HYPERLINK("https://www.suredividend.com/sure-analysis-research-database/","Taylor Morrison Home Corp.")</f>
        <v>Taylor Morrison Home Corp.</v>
      </c>
      <c r="C1579">
        <v>-8.7919463087248004E-2</v>
      </c>
      <c r="D1579">
        <v>-0.20727202022166</v>
      </c>
      <c r="E1579">
        <v>7.2612470402525012E-2</v>
      </c>
      <c r="F1579">
        <v>0.34332784184513998</v>
      </c>
      <c r="G1579">
        <v>0.64660743134087206</v>
      </c>
      <c r="H1579">
        <v>0.51224035608308605</v>
      </c>
      <c r="I1579">
        <v>1.652569941444372</v>
      </c>
    </row>
    <row r="1580" spans="1:9" x14ac:dyDescent="0.35">
      <c r="A1580" s="1" t="s">
        <v>1592</v>
      </c>
      <c r="B1580" t="str">
        <f>HYPERLINK("https://www.suredividend.com/sure-analysis-TMP/","Tompkins Financial Corp")</f>
        <v>Tompkins Financial Corp</v>
      </c>
      <c r="C1580">
        <v>-1.8178186176588E-2</v>
      </c>
      <c r="D1580">
        <v>-0.106729065382343</v>
      </c>
      <c r="E1580">
        <v>-0.15652436554843899</v>
      </c>
      <c r="F1580">
        <v>-0.33441668359401411</v>
      </c>
      <c r="G1580">
        <v>-0.32849044926243198</v>
      </c>
      <c r="H1580">
        <v>-0.34619830610157198</v>
      </c>
      <c r="I1580">
        <v>-0.25215187022894903</v>
      </c>
    </row>
    <row r="1581" spans="1:9" x14ac:dyDescent="0.35">
      <c r="A1581" s="1" t="s">
        <v>1593</v>
      </c>
      <c r="B1581" t="str">
        <f>HYPERLINK("https://www.suredividend.com/sure-analysis-research-database/","TimkenSteel Corp")</f>
        <v>TimkenSteel Corp</v>
      </c>
      <c r="C1581">
        <v>-6.0073937153419008E-2</v>
      </c>
      <c r="D1581">
        <v>-9.0339892665474E-2</v>
      </c>
      <c r="E1581">
        <v>0.13125695216907601</v>
      </c>
      <c r="F1581">
        <v>0.11942762795817199</v>
      </c>
      <c r="G1581">
        <v>0.37339635381498898</v>
      </c>
      <c r="H1581">
        <v>0.54794520547945202</v>
      </c>
      <c r="I1581">
        <v>0.68099173553719006</v>
      </c>
    </row>
    <row r="1582" spans="1:9" x14ac:dyDescent="0.35">
      <c r="A1582" s="1" t="s">
        <v>1594</v>
      </c>
      <c r="B1582" t="str">
        <f>HYPERLINK("https://www.suredividend.com/sure-analysis-TNC/","Tennant Co.")</f>
        <v>Tennant Co.</v>
      </c>
      <c r="C1582">
        <v>-2.2673964034401001E-2</v>
      </c>
      <c r="D1582">
        <v>-5.2724112844555013E-2</v>
      </c>
      <c r="E1582">
        <v>0.131715031137252</v>
      </c>
      <c r="F1582">
        <v>0.23093891096372601</v>
      </c>
      <c r="G1582">
        <v>0.32853643112601411</v>
      </c>
      <c r="H1582">
        <v>1.496904039237E-3</v>
      </c>
      <c r="I1582">
        <v>0.21307206456778199</v>
      </c>
    </row>
    <row r="1583" spans="1:9" x14ac:dyDescent="0.35">
      <c r="A1583" s="1" t="s">
        <v>1595</v>
      </c>
      <c r="B1583" t="str">
        <f>HYPERLINK("https://www.suredividend.com/sure-analysis-research-database/","TriNet Group Inc")</f>
        <v>TriNet Group Inc</v>
      </c>
      <c r="C1583">
        <v>9.6585613826990005E-3</v>
      </c>
      <c r="D1583">
        <v>0.251785714285714</v>
      </c>
      <c r="E1583">
        <v>0.41902834008097101</v>
      </c>
      <c r="F1583">
        <v>0.75766961651917408</v>
      </c>
      <c r="G1583">
        <v>0.6990305104077551</v>
      </c>
      <c r="H1583">
        <v>0.207396149949341</v>
      </c>
      <c r="I1583">
        <v>1.451553178358362</v>
      </c>
    </row>
    <row r="1584" spans="1:9" x14ac:dyDescent="0.35">
      <c r="A1584" s="1" t="s">
        <v>1596</v>
      </c>
      <c r="B1584" t="str">
        <f>HYPERLINK("https://www.suredividend.com/sure-analysis-research-database/","Tango Therapeutics Inc")</f>
        <v>Tango Therapeutics Inc</v>
      </c>
      <c r="C1584">
        <v>-9.6357226792009004E-2</v>
      </c>
      <c r="D1584">
        <v>1.2419825072886299</v>
      </c>
      <c r="E1584">
        <v>0.80516431924882603</v>
      </c>
      <c r="F1584">
        <v>6.0689655172413003E-2</v>
      </c>
      <c r="G1584">
        <v>0.48742746615087001</v>
      </c>
      <c r="H1584">
        <v>-0.45188880969351303</v>
      </c>
      <c r="I1584">
        <v>-0.248289345063538</v>
      </c>
    </row>
    <row r="1585" spans="1:9" x14ac:dyDescent="0.35">
      <c r="A1585" s="1" t="s">
        <v>1597</v>
      </c>
      <c r="B1585" t="str">
        <f>HYPERLINK("https://www.suredividend.com/sure-analysis-research-database/","Teekay Tankers Ltd")</f>
        <v>Teekay Tankers Ltd</v>
      </c>
      <c r="C1585">
        <v>0.120841995841995</v>
      </c>
      <c r="D1585">
        <v>0.15264148119641599</v>
      </c>
      <c r="E1585">
        <v>8.0624672718298013E-2</v>
      </c>
      <c r="F1585">
        <v>0.41663436841033402</v>
      </c>
      <c r="G1585">
        <v>0.43905295434601999</v>
      </c>
      <c r="H1585">
        <v>2.26450597193418</v>
      </c>
      <c r="I1585">
        <v>4.0516526505657193</v>
      </c>
    </row>
    <row r="1586" spans="1:9" x14ac:dyDescent="0.35">
      <c r="A1586" s="1" t="s">
        <v>1598</v>
      </c>
      <c r="B1586" t="str">
        <f>HYPERLINK("https://www.suredividend.com/sure-analysis-research-database/","Tenaya Therapeutics Inc")</f>
        <v>Tenaya Therapeutics Inc</v>
      </c>
      <c r="C1586">
        <v>-0.28660436137071599</v>
      </c>
      <c r="D1586">
        <v>-0.58287795992714009</v>
      </c>
      <c r="E1586">
        <v>-0.202090592334494</v>
      </c>
      <c r="F1586">
        <v>0.13930348258706399</v>
      </c>
      <c r="G1586">
        <v>-6.9105691056910001E-2</v>
      </c>
      <c r="H1586">
        <v>-0.88861867704280106</v>
      </c>
      <c r="I1586">
        <v>-0.85081433224755709</v>
      </c>
    </row>
    <row r="1587" spans="1:9" x14ac:dyDescent="0.35">
      <c r="A1587" s="1" t="s">
        <v>1599</v>
      </c>
      <c r="B1587" t="str">
        <f>HYPERLINK("https://www.suredividend.com/sure-analysis-research-database/","Oncology Institute Inc (The)")</f>
        <v>Oncology Institute Inc (The)</v>
      </c>
      <c r="C1587">
        <v>-6.0606060606059997E-2</v>
      </c>
      <c r="D1587">
        <v>1.1821765451217789</v>
      </c>
      <c r="E1587">
        <v>1.595010882303699</v>
      </c>
      <c r="F1587">
        <v>-6.0606060606059997E-2</v>
      </c>
      <c r="G1587">
        <v>-0.65090090090090003</v>
      </c>
      <c r="H1587">
        <v>-0.8413510747185261</v>
      </c>
      <c r="I1587">
        <v>-0.8413510747185261</v>
      </c>
    </row>
    <row r="1588" spans="1:9" x14ac:dyDescent="0.35">
      <c r="A1588" s="1" t="s">
        <v>1600</v>
      </c>
      <c r="B1588" t="str">
        <f>HYPERLINK("https://www.suredividend.com/sure-analysis-research-database/","Townebank Portsmouth VA")</f>
        <v>Townebank Portsmouth VA</v>
      </c>
      <c r="C1588">
        <v>-1.5412082862919001E-2</v>
      </c>
      <c r="D1588">
        <v>-5.4665540668288007E-2</v>
      </c>
      <c r="E1588">
        <v>-5.1309403842828998E-2</v>
      </c>
      <c r="F1588">
        <v>-0.23158624505226899</v>
      </c>
      <c r="G1588">
        <v>-0.18121972787382701</v>
      </c>
      <c r="H1588">
        <v>-0.229111491035423</v>
      </c>
      <c r="I1588">
        <v>-6.6777270841974004E-2</v>
      </c>
    </row>
    <row r="1589" spans="1:9" x14ac:dyDescent="0.35">
      <c r="A1589" s="1" t="s">
        <v>1601</v>
      </c>
      <c r="B1589" t="str">
        <f>HYPERLINK("https://www.suredividend.com/sure-analysis-research-database/","Turning Point Brands Inc")</f>
        <v>Turning Point Brands Inc</v>
      </c>
      <c r="C1589">
        <v>-0.11933471933471899</v>
      </c>
      <c r="D1589">
        <v>-0.120285761754444</v>
      </c>
      <c r="E1589">
        <v>-5.5985665957987013E-2</v>
      </c>
      <c r="F1589">
        <v>-1.2278893640436999E-2</v>
      </c>
      <c r="G1589">
        <v>1.7907090746561001E-2</v>
      </c>
      <c r="H1589">
        <v>-0.54930128932176003</v>
      </c>
      <c r="I1589">
        <v>-0.46472843434330602</v>
      </c>
    </row>
    <row r="1590" spans="1:9" x14ac:dyDescent="0.35">
      <c r="A1590" s="1" t="s">
        <v>1602</v>
      </c>
      <c r="B1590" t="str">
        <f>HYPERLINK("https://www.suredividend.com/sure-analysis-research-database/","Tutor Perini Corp")</f>
        <v>Tutor Perini Corp</v>
      </c>
      <c r="C1590">
        <v>-7.1065989847715005E-2</v>
      </c>
      <c r="D1590">
        <v>1.3679890560870001E-3</v>
      </c>
      <c r="E1590">
        <v>0.37078651685393199</v>
      </c>
      <c r="F1590">
        <v>-3.0463576158939999E-2</v>
      </c>
      <c r="G1590">
        <v>0.26206896551724101</v>
      </c>
      <c r="H1590">
        <v>-0.43908045977011512</v>
      </c>
      <c r="I1590">
        <v>-0.59423503325942306</v>
      </c>
    </row>
    <row r="1591" spans="1:9" x14ac:dyDescent="0.35">
      <c r="A1591" s="1" t="s">
        <v>1603</v>
      </c>
      <c r="B1591" t="str">
        <f>HYPERLINK("https://www.suredividend.com/sure-analysis-research-database/","Tri Pointe Homes Inc.")</f>
        <v>Tri Pointe Homes Inc.</v>
      </c>
      <c r="C1591">
        <v>-8.8541666666666005E-2</v>
      </c>
      <c r="D1591">
        <v>-0.22037422037422</v>
      </c>
      <c r="E1591">
        <v>1.7836370686312001E-2</v>
      </c>
      <c r="F1591">
        <v>0.41204948897256499</v>
      </c>
      <c r="G1591">
        <v>0.74883411059293803</v>
      </c>
      <c r="H1591">
        <v>0.11844908393693999</v>
      </c>
      <c r="I1591">
        <v>1.3026315789473679</v>
      </c>
    </row>
    <row r="1592" spans="1:9" x14ac:dyDescent="0.35">
      <c r="A1592" s="1" t="s">
        <v>1604</v>
      </c>
      <c r="B1592" t="str">
        <f>HYPERLINK("https://www.suredividend.com/sure-analysis-research-database/","TPI Composites Inc")</f>
        <v>TPI Composites Inc</v>
      </c>
      <c r="C1592">
        <v>-0.309999999999999</v>
      </c>
      <c r="D1592">
        <v>-0.75256147540983609</v>
      </c>
      <c r="E1592">
        <v>-0.80680000000000007</v>
      </c>
      <c r="F1592">
        <v>-0.76183431952662706</v>
      </c>
      <c r="G1592">
        <v>-0.74764890282131602</v>
      </c>
      <c r="H1592">
        <v>-0.93193348365276207</v>
      </c>
      <c r="I1592">
        <v>-0.90581123244929806</v>
      </c>
    </row>
    <row r="1593" spans="1:9" x14ac:dyDescent="0.35">
      <c r="A1593" s="1" t="s">
        <v>1605</v>
      </c>
      <c r="B1593" t="str">
        <f>HYPERLINK("https://www.suredividend.com/sure-analysis-TR/","Tootsie Roll Industries, Inc.")</f>
        <v>Tootsie Roll Industries, Inc.</v>
      </c>
      <c r="C1593">
        <v>1.4227825004079001E-2</v>
      </c>
      <c r="D1593">
        <v>-0.10598456165067</v>
      </c>
      <c r="E1593">
        <v>-0.31265739378458102</v>
      </c>
      <c r="F1593">
        <v>-0.25758018913912401</v>
      </c>
      <c r="G1593">
        <v>-0.12801516097080601</v>
      </c>
      <c r="H1593">
        <v>4.7804804215986013E-2</v>
      </c>
      <c r="I1593">
        <v>0.22461615158544701</v>
      </c>
    </row>
    <row r="1594" spans="1:9" x14ac:dyDescent="0.35">
      <c r="A1594" s="1" t="s">
        <v>1606</v>
      </c>
      <c r="B1594" t="str">
        <f>HYPERLINK("https://www.suredividend.com/sure-analysis-research-database/","Tejon Ranch Co.")</f>
        <v>Tejon Ranch Co.</v>
      </c>
      <c r="C1594">
        <v>-9.8445595854922005E-2</v>
      </c>
      <c r="D1594">
        <v>-8.1524926686217011E-2</v>
      </c>
      <c r="E1594">
        <v>-0.13144758735440901</v>
      </c>
      <c r="F1594">
        <v>-0.168789808917197</v>
      </c>
      <c r="G1594">
        <v>4.6791443850266998E-2</v>
      </c>
      <c r="H1594">
        <v>-0.13576158940397301</v>
      </c>
      <c r="I1594">
        <v>-0.174486030574591</v>
      </c>
    </row>
    <row r="1595" spans="1:9" x14ac:dyDescent="0.35">
      <c r="A1595" s="1" t="s">
        <v>1607</v>
      </c>
      <c r="B1595" t="str">
        <f>HYPERLINK("https://www.suredividend.com/sure-analysis-research-database/","LendingTree Inc.")</f>
        <v>LendingTree Inc.</v>
      </c>
      <c r="C1595">
        <v>-0.26302729528535901</v>
      </c>
      <c r="D1595">
        <v>-0.53062030817858508</v>
      </c>
      <c r="E1595">
        <v>-0.48859233749461911</v>
      </c>
      <c r="F1595">
        <v>-0.44303797468354411</v>
      </c>
      <c r="G1595">
        <v>-0.45177664974619203</v>
      </c>
      <c r="H1595">
        <v>-0.92292720903075109</v>
      </c>
      <c r="I1595">
        <v>-0.94294496205936007</v>
      </c>
    </row>
    <row r="1596" spans="1:9" x14ac:dyDescent="0.35">
      <c r="A1596" s="1" t="s">
        <v>1608</v>
      </c>
      <c r="B1596" t="str">
        <f>HYPERLINK("https://www.suredividend.com/sure-analysis-research-database/","Trustmark Corp.")</f>
        <v>Trustmark Corp.</v>
      </c>
      <c r="C1596">
        <v>-5.6433408577878007E-2</v>
      </c>
      <c r="D1596">
        <v>-3.4499325535414002E-2</v>
      </c>
      <c r="E1596">
        <v>-7.0189565658408004E-2</v>
      </c>
      <c r="F1596">
        <v>-0.37136996231227498</v>
      </c>
      <c r="G1596">
        <v>-0.33756362875671098</v>
      </c>
      <c r="H1596">
        <v>-0.31145359065421802</v>
      </c>
      <c r="I1596">
        <v>-0.22536359727802399</v>
      </c>
    </row>
    <row r="1597" spans="1:9" x14ac:dyDescent="0.35">
      <c r="A1597" s="1" t="s">
        <v>1609</v>
      </c>
      <c r="B1597" t="str">
        <f>HYPERLINK("https://www.suredividend.com/sure-analysis-TRN/","Trinity Industries, Inc.")</f>
        <v>Trinity Industries, Inc.</v>
      </c>
      <c r="C1597">
        <v>-7.7217247740424003E-2</v>
      </c>
      <c r="D1597">
        <v>-0.134846989141164</v>
      </c>
      <c r="E1597">
        <v>-5.5607518933108002E-2</v>
      </c>
      <c r="F1597">
        <v>-0.22741121047138099</v>
      </c>
      <c r="G1597">
        <v>3.6075868558809003E-2</v>
      </c>
      <c r="H1597">
        <v>-0.191101003463018</v>
      </c>
      <c r="I1597">
        <v>7.3655849708960004E-3</v>
      </c>
    </row>
    <row r="1598" spans="1:9" x14ac:dyDescent="0.35">
      <c r="A1598" s="1" t="s">
        <v>1610</v>
      </c>
      <c r="B1598" t="str">
        <f>HYPERLINK("https://www.suredividend.com/sure-analysis-research-database/","Terreno Realty Corp")</f>
        <v>Terreno Realty Corp</v>
      </c>
      <c r="C1598">
        <v>-7.7773034495474E-2</v>
      </c>
      <c r="D1598">
        <v>-6.279224440325501E-2</v>
      </c>
      <c r="E1598">
        <v>-9.6445345684517014E-2</v>
      </c>
      <c r="F1598">
        <v>-2.8914710583499998E-3</v>
      </c>
      <c r="G1598">
        <v>9.2874661921428001E-2</v>
      </c>
      <c r="H1598">
        <v>-0.146762399761486</v>
      </c>
      <c r="I1598">
        <v>0.77255603090479508</v>
      </c>
    </row>
    <row r="1599" spans="1:9" x14ac:dyDescent="0.35">
      <c r="A1599" s="1" t="s">
        <v>1611</v>
      </c>
      <c r="B1599" t="str">
        <f>HYPERLINK("https://www.suredividend.com/sure-analysis-research-database/","Transcat Inc")</f>
        <v>Transcat Inc</v>
      </c>
      <c r="C1599">
        <v>-0.16579315164220801</v>
      </c>
      <c r="D1599">
        <v>0.13366571699905</v>
      </c>
      <c r="E1599">
        <v>0.15869934481921799</v>
      </c>
      <c r="F1599">
        <v>0.34753774516720698</v>
      </c>
      <c r="G1599">
        <v>0.33240320892919401</v>
      </c>
      <c r="H1599">
        <v>0.34906060177991199</v>
      </c>
      <c r="I1599">
        <v>3.4356711565257769</v>
      </c>
    </row>
    <row r="1600" spans="1:9" x14ac:dyDescent="0.35">
      <c r="A1600" s="1" t="s">
        <v>1612</v>
      </c>
      <c r="B1600" t="str">
        <f>HYPERLINK("https://www.suredividend.com/sure-analysis-research-database/","Tronox Holdings plc")</f>
        <v>Tronox Holdings plc</v>
      </c>
      <c r="C1600">
        <v>-0.17178362573099401</v>
      </c>
      <c r="D1600">
        <v>-0.20852252881592701</v>
      </c>
      <c r="E1600">
        <v>-0.151596840016473</v>
      </c>
      <c r="F1600">
        <v>-0.15011401824291801</v>
      </c>
      <c r="G1600">
        <v>-5.9727628073727002E-2</v>
      </c>
      <c r="H1600">
        <v>-0.51831508060676101</v>
      </c>
      <c r="I1600">
        <v>0.10265493615696</v>
      </c>
    </row>
    <row r="1601" spans="1:9" x14ac:dyDescent="0.35">
      <c r="A1601" s="1" t="s">
        <v>1613</v>
      </c>
      <c r="B1601" t="str">
        <f>HYPERLINK("https://www.suredividend.com/sure-analysis-research-database/","Trimas Corporation")</f>
        <v>Trimas Corporation</v>
      </c>
      <c r="C1601">
        <v>-3.1337886701485997E-2</v>
      </c>
      <c r="D1601">
        <v>-0.122455813411757</v>
      </c>
      <c r="E1601">
        <v>-0.103454174274229</v>
      </c>
      <c r="F1601">
        <v>-0.124263106087297</v>
      </c>
      <c r="G1601">
        <v>-8.5242082658299009E-2</v>
      </c>
      <c r="H1601">
        <v>-0.22177355579441299</v>
      </c>
      <c r="I1601">
        <v>-0.13078589789348</v>
      </c>
    </row>
    <row r="1602" spans="1:9" x14ac:dyDescent="0.35">
      <c r="A1602" s="1" t="s">
        <v>1614</v>
      </c>
      <c r="B1602" t="str">
        <f>HYPERLINK("https://www.suredividend.com/sure-analysis-TRST/","Trustco Bank Corp.")</f>
        <v>Trustco Bank Corp.</v>
      </c>
      <c r="C1602">
        <v>-4.5257060101375E-2</v>
      </c>
      <c r="D1602">
        <v>-6.5069330941347009E-2</v>
      </c>
      <c r="E1602">
        <v>-7.4499784155239002E-2</v>
      </c>
      <c r="F1602">
        <v>-0.25440655059121497</v>
      </c>
      <c r="G1602">
        <v>-0.15378246721989999</v>
      </c>
      <c r="H1602">
        <v>-9.3873595882055003E-2</v>
      </c>
      <c r="I1602">
        <v>-0.157357226852088</v>
      </c>
    </row>
    <row r="1603" spans="1:9" x14ac:dyDescent="0.35">
      <c r="A1603" s="1" t="s">
        <v>1615</v>
      </c>
      <c r="B1603" t="str">
        <f>HYPERLINK("https://www.suredividend.com/sure-analysis-research-database/","Triton International Ltd")</f>
        <v>Triton International Ltd</v>
      </c>
      <c r="C1603">
        <v>-3.6993725629767001E-2</v>
      </c>
      <c r="D1603">
        <v>-3.5835877571154001E-2</v>
      </c>
      <c r="E1603">
        <v>0.30135271975356898</v>
      </c>
      <c r="F1603">
        <v>0.188642228401601</v>
      </c>
      <c r="G1603">
        <v>0.50569058295115299</v>
      </c>
      <c r="H1603">
        <v>0.62478247726734204</v>
      </c>
      <c r="I1603">
        <v>1.737486880366145</v>
      </c>
    </row>
    <row r="1604" spans="1:9" x14ac:dyDescent="0.35">
      <c r="A1604" s="1" t="s">
        <v>1616</v>
      </c>
      <c r="B1604" t="str">
        <f>HYPERLINK("https://www.suredividend.com/sure-analysis-research-database/","TPG RE Finance Trust Inc")</f>
        <v>TPG RE Finance Trust Inc</v>
      </c>
      <c r="C1604">
        <v>-0.16151630309833201</v>
      </c>
      <c r="D1604">
        <v>-0.129702414373947</v>
      </c>
      <c r="E1604">
        <v>-6.1885307913451003E-2</v>
      </c>
      <c r="F1604">
        <v>1.0677316814736E-2</v>
      </c>
      <c r="G1604">
        <v>-2.9992020902107001E-2</v>
      </c>
      <c r="H1604">
        <v>-0.39254396707980199</v>
      </c>
      <c r="I1604">
        <v>-0.40052599009900902</v>
      </c>
    </row>
    <row r="1605" spans="1:9" x14ac:dyDescent="0.35">
      <c r="A1605" s="1" t="s">
        <v>1617</v>
      </c>
      <c r="B1605" t="str">
        <f>HYPERLINK("https://www.suredividend.com/sure-analysis-research-database/","Truecar Inc")</f>
        <v>Truecar Inc</v>
      </c>
      <c r="C1605">
        <v>-0.144067796610169</v>
      </c>
      <c r="D1605">
        <v>-0.110132158590308</v>
      </c>
      <c r="E1605">
        <v>-0.243445692883895</v>
      </c>
      <c r="F1605">
        <v>-0.19521912350597601</v>
      </c>
      <c r="G1605">
        <v>0.41258741258741211</v>
      </c>
      <c r="H1605">
        <v>-0.548098434004474</v>
      </c>
      <c r="I1605">
        <v>-0.83082077051926306</v>
      </c>
    </row>
    <row r="1606" spans="1:9" x14ac:dyDescent="0.35">
      <c r="A1606" s="1" t="s">
        <v>1618</v>
      </c>
      <c r="B1606" t="str">
        <f>HYPERLINK("https://www.suredividend.com/sure-analysis-research-database/","Trupanion Inc")</f>
        <v>Trupanion Inc</v>
      </c>
      <c r="C1606">
        <v>-0.14852645679839199</v>
      </c>
      <c r="D1606">
        <v>-2.9411764705880002E-3</v>
      </c>
      <c r="E1606">
        <v>-0.38823387872954701</v>
      </c>
      <c r="F1606">
        <v>-0.46507468966968202</v>
      </c>
      <c r="G1606">
        <v>-0.51283770837325104</v>
      </c>
      <c r="H1606">
        <v>-0.72109477841158409</v>
      </c>
      <c r="I1606">
        <v>-9.5839260312944013E-2</v>
      </c>
    </row>
    <row r="1607" spans="1:9" x14ac:dyDescent="0.35">
      <c r="A1607" s="1" t="s">
        <v>1619</v>
      </c>
      <c r="B1607" t="str">
        <f>HYPERLINK("https://www.suredividend.com/sure-analysis-research-database/","Trinseo PLC")</f>
        <v>Trinseo PLC</v>
      </c>
      <c r="C1607">
        <v>-0.227245707891884</v>
      </c>
      <c r="D1607">
        <v>-0.61496469057795899</v>
      </c>
      <c r="E1607">
        <v>-0.680315537725659</v>
      </c>
      <c r="F1607">
        <v>-0.70145758941637804</v>
      </c>
      <c r="G1607">
        <v>-0.63898327234709806</v>
      </c>
      <c r="H1607">
        <v>-0.87192712015670004</v>
      </c>
      <c r="I1607">
        <v>-0.87285283338735009</v>
      </c>
    </row>
    <row r="1608" spans="1:9" x14ac:dyDescent="0.35">
      <c r="A1608" s="1" t="s">
        <v>1620</v>
      </c>
      <c r="B1608" t="str">
        <f>HYPERLINK("https://www.suredividend.com/sure-analysis-research-database/","TuSimple Holdings Inc")</f>
        <v>TuSimple Holdings Inc</v>
      </c>
      <c r="C1608">
        <v>-0.35757575757575699</v>
      </c>
      <c r="D1608">
        <v>-0.53508771929824506</v>
      </c>
      <c r="E1608">
        <v>-0.220588235294117</v>
      </c>
      <c r="F1608">
        <v>-0.353658536585365</v>
      </c>
      <c r="G1608">
        <v>-0.82348043297252205</v>
      </c>
      <c r="H1608">
        <v>-0.97253886010362611</v>
      </c>
      <c r="I1608">
        <v>-0.97350000000000003</v>
      </c>
    </row>
    <row r="1609" spans="1:9" x14ac:dyDescent="0.35">
      <c r="A1609" s="1" t="s">
        <v>1621</v>
      </c>
      <c r="B1609" t="str">
        <f>HYPERLINK("https://www.suredividend.com/sure-analysis-research-database/","2seventy bio Inc")</f>
        <v>2seventy bio Inc</v>
      </c>
      <c r="C1609">
        <v>9.1358024691358009E-2</v>
      </c>
      <c r="D1609">
        <v>-0.57003891050583599</v>
      </c>
      <c r="E1609">
        <v>-0.52575107296137302</v>
      </c>
      <c r="F1609">
        <v>-0.52828175026680801</v>
      </c>
      <c r="G1609">
        <v>-0.69993211133740607</v>
      </c>
      <c r="H1609">
        <v>-0.86853063652587703</v>
      </c>
      <c r="I1609">
        <v>-0.86853063652587703</v>
      </c>
    </row>
    <row r="1610" spans="1:9" x14ac:dyDescent="0.35">
      <c r="A1610" s="1" t="s">
        <v>1622</v>
      </c>
      <c r="B1610" t="str">
        <f>HYPERLINK("https://www.suredividend.com/sure-analysis-research-database/","Tattooed Chef Inc")</f>
        <v>Tattooed Chef Inc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</row>
    <row r="1611" spans="1:9" x14ac:dyDescent="0.35">
      <c r="A1611" s="1" t="s">
        <v>1623</v>
      </c>
      <c r="B1611" t="str">
        <f>HYPERLINK("https://www.suredividend.com/sure-analysis-research-database/","TTEC Holdings Inc")</f>
        <v>TTEC Holdings Inc</v>
      </c>
      <c r="C1611">
        <v>-0.14125268000885</v>
      </c>
      <c r="D1611">
        <v>-0.31154710748856901</v>
      </c>
      <c r="E1611">
        <v>-0.35880637148781902</v>
      </c>
      <c r="F1611">
        <v>-0.45895275751421111</v>
      </c>
      <c r="G1611">
        <v>-0.44174811456687701</v>
      </c>
      <c r="H1611">
        <v>-0.7375300540331281</v>
      </c>
      <c r="I1611">
        <v>4.7580930397066012E-2</v>
      </c>
    </row>
    <row r="1612" spans="1:9" x14ac:dyDescent="0.35">
      <c r="A1612" s="1" t="s">
        <v>1624</v>
      </c>
      <c r="B1612" t="str">
        <f>HYPERLINK("https://www.suredividend.com/sure-analysis-research-database/","Techtarget Inc.")</f>
        <v>Techtarget Inc.</v>
      </c>
      <c r="C1612">
        <v>-9.2649572649572007E-2</v>
      </c>
      <c r="D1612">
        <v>-0.19183922046285001</v>
      </c>
      <c r="E1612">
        <v>-0.254912970241437</v>
      </c>
      <c r="F1612">
        <v>-0.39763958238765301</v>
      </c>
      <c r="G1612">
        <v>-0.55906296727031002</v>
      </c>
      <c r="H1612">
        <v>-0.69511774842044805</v>
      </c>
      <c r="I1612">
        <v>0.37157622739017998</v>
      </c>
    </row>
    <row r="1613" spans="1:9" x14ac:dyDescent="0.35">
      <c r="A1613" s="1" t="s">
        <v>1625</v>
      </c>
      <c r="B1613" t="str">
        <f>HYPERLINK("https://www.suredividend.com/sure-analysis-research-database/","Tetra Technologies, Inc.")</f>
        <v>Tetra Technologies, Inc.</v>
      </c>
      <c r="C1613">
        <v>-2.0217729393468001E-2</v>
      </c>
      <c r="D1613">
        <v>0.62790697674418605</v>
      </c>
      <c r="E1613">
        <v>0.98738170347003107</v>
      </c>
      <c r="F1613">
        <v>0.82080924855491311</v>
      </c>
      <c r="G1613">
        <v>0.67999999999999905</v>
      </c>
      <c r="H1613">
        <v>0.8155619596541781</v>
      </c>
      <c r="I1613">
        <v>0.7260273972602741</v>
      </c>
    </row>
    <row r="1614" spans="1:9" x14ac:dyDescent="0.35">
      <c r="A1614" s="1" t="s">
        <v>1626</v>
      </c>
      <c r="B1614" t="str">
        <f>HYPERLINK("https://www.suredividend.com/sure-analysis-research-database/","TTM Technologies Inc")</f>
        <v>TTM Technologies Inc</v>
      </c>
      <c r="C1614">
        <v>-4.0800615858352013E-2</v>
      </c>
      <c r="D1614">
        <v>-0.10230547550432199</v>
      </c>
      <c r="E1614">
        <v>-5.5865921787700001E-3</v>
      </c>
      <c r="F1614">
        <v>-0.173740053050397</v>
      </c>
      <c r="G1614">
        <v>-1.8124507486209002E-2</v>
      </c>
      <c r="H1614">
        <v>-7.7037037037037001E-2</v>
      </c>
      <c r="I1614">
        <v>-0.11379800853485</v>
      </c>
    </row>
    <row r="1615" spans="1:9" x14ac:dyDescent="0.35">
      <c r="A1615" s="1" t="s">
        <v>1627</v>
      </c>
      <c r="B1615" t="str">
        <f>HYPERLINK("https://www.suredividend.com/sure-analysis-research-database/","Tile Shop Hldgs Inc")</f>
        <v>Tile Shop Hldgs Inc</v>
      </c>
      <c r="C1615">
        <v>-6.5934065934066005E-2</v>
      </c>
      <c r="D1615">
        <v>-0.13412563667232599</v>
      </c>
      <c r="E1615">
        <v>0.188811188811188</v>
      </c>
      <c r="F1615">
        <v>0.164383561643835</v>
      </c>
      <c r="G1615">
        <v>0.33858267716535401</v>
      </c>
      <c r="H1615">
        <v>-0.28885170466429599</v>
      </c>
      <c r="I1615">
        <v>-0.17289696891065601</v>
      </c>
    </row>
    <row r="1616" spans="1:9" x14ac:dyDescent="0.35">
      <c r="A1616" s="1" t="s">
        <v>1628</v>
      </c>
      <c r="B1616" t="str">
        <f>HYPERLINK("https://www.suredividend.com/sure-analysis-research-database/","Tupperware Brands Corporation")</f>
        <v>Tupperware Brands Corporation</v>
      </c>
      <c r="C1616">
        <v>0.140625</v>
      </c>
      <c r="D1616">
        <v>2.4122779682143962</v>
      </c>
      <c r="E1616">
        <v>0.39490445859872603</v>
      </c>
      <c r="F1616">
        <v>-0.47101449275362312</v>
      </c>
      <c r="G1616">
        <v>-0.67410714285714202</v>
      </c>
      <c r="H1616">
        <v>-0.90684814972352212</v>
      </c>
      <c r="I1616">
        <v>-0.92517604130009212</v>
      </c>
    </row>
    <row r="1617" spans="1:9" x14ac:dyDescent="0.35">
      <c r="A1617" s="1" t="s">
        <v>1629</v>
      </c>
      <c r="B1617" t="str">
        <f>HYPERLINK("https://www.suredividend.com/sure-analysis-research-database/","Travere Therapeutics Inc")</f>
        <v>Travere Therapeutics Inc</v>
      </c>
      <c r="C1617">
        <v>-0.48137326515704798</v>
      </c>
      <c r="D1617">
        <v>-0.53625081645983008</v>
      </c>
      <c r="E1617">
        <v>-0.65059055118110209</v>
      </c>
      <c r="F1617">
        <v>-0.66238706609605302</v>
      </c>
      <c r="G1617">
        <v>-0.65667311411992202</v>
      </c>
      <c r="H1617">
        <v>-0.71020408163265303</v>
      </c>
      <c r="I1617">
        <v>-0.71173365814047906</v>
      </c>
    </row>
    <row r="1618" spans="1:9" x14ac:dyDescent="0.35">
      <c r="A1618" s="1" t="s">
        <v>1630</v>
      </c>
      <c r="B1618" t="str">
        <f>HYPERLINK("https://www.suredividend.com/sure-analysis-research-database/","Titan International, Inc.")</f>
        <v>Titan International, Inc.</v>
      </c>
      <c r="C1618">
        <v>2.2399999999999001E-2</v>
      </c>
      <c r="D1618">
        <v>8.2133784928027004E-2</v>
      </c>
      <c r="E1618">
        <v>0.17032967032967</v>
      </c>
      <c r="F1618">
        <v>-0.165796344647519</v>
      </c>
      <c r="G1618">
        <v>3.3144704931284998E-2</v>
      </c>
      <c r="H1618">
        <v>0.79746835443037911</v>
      </c>
      <c r="I1618">
        <v>0.86091210903372306</v>
      </c>
    </row>
    <row r="1619" spans="1:9" x14ac:dyDescent="0.35">
      <c r="A1619" s="1" t="s">
        <v>1631</v>
      </c>
      <c r="B1619" t="str">
        <f>HYPERLINK("https://www.suredividend.com/sure-analysis-research-database/","Hostess Brands Inc")</f>
        <v>Hostess Brands Inc</v>
      </c>
      <c r="C1619">
        <v>-5.6937368894210008E-3</v>
      </c>
      <c r="D1619">
        <v>0.34878048780487703</v>
      </c>
      <c r="E1619">
        <v>0.35483870967741898</v>
      </c>
      <c r="F1619">
        <v>0.47860962566844911</v>
      </c>
      <c r="G1619">
        <v>0.36487042369395301</v>
      </c>
      <c r="H1619">
        <v>0.82407916437603002</v>
      </c>
      <c r="I1619">
        <v>2.0384615384615379</v>
      </c>
    </row>
    <row r="1620" spans="1:9" x14ac:dyDescent="0.35">
      <c r="A1620" s="1" t="s">
        <v>1632</v>
      </c>
      <c r="B1620" t="str">
        <f>HYPERLINK("https://www.suredividend.com/sure-analysis-TWO/","Two Harbors Investment Corp")</f>
        <v>Two Harbors Investment Corp</v>
      </c>
      <c r="C1620">
        <v>-0.111535953524216</v>
      </c>
      <c r="D1620">
        <v>-6.2548866301798012E-2</v>
      </c>
      <c r="E1620">
        <v>-6.0926229058811003E-2</v>
      </c>
      <c r="F1620">
        <v>-0.11936659028145</v>
      </c>
      <c r="G1620">
        <v>0.10570095354027099</v>
      </c>
      <c r="H1620">
        <v>-0.39765088870356702</v>
      </c>
      <c r="I1620">
        <v>-0.61302233109667303</v>
      </c>
    </row>
    <row r="1621" spans="1:9" x14ac:dyDescent="0.35">
      <c r="A1621" s="1" t="s">
        <v>1633</v>
      </c>
      <c r="B1621" t="str">
        <f>HYPERLINK("https://www.suredividend.com/sure-analysis-research-database/","2U Inc")</f>
        <v>2U Inc</v>
      </c>
      <c r="C1621">
        <v>-0.29452054794520499</v>
      </c>
      <c r="D1621">
        <v>-0.48110831234256901</v>
      </c>
      <c r="E1621">
        <v>-0.59765625</v>
      </c>
      <c r="F1621">
        <v>-0.67145135566188208</v>
      </c>
      <c r="G1621">
        <v>-0.602316602316602</v>
      </c>
      <c r="H1621">
        <v>-0.93908929627439408</v>
      </c>
      <c r="I1621">
        <v>-0.96821968528232005</v>
      </c>
    </row>
    <row r="1622" spans="1:9" x14ac:dyDescent="0.35">
      <c r="A1622" s="1" t="s">
        <v>1634</v>
      </c>
      <c r="B1622" t="str">
        <f>HYPERLINK("https://www.suredividend.com/sure-analysis-research-database/","Twist Bioscience Corp")</f>
        <v>Twist Bioscience Corp</v>
      </c>
      <c r="C1622">
        <v>-0.18949880668257699</v>
      </c>
      <c r="D1622">
        <v>-0.27124463519313302</v>
      </c>
      <c r="E1622">
        <v>0.21546170365067999</v>
      </c>
      <c r="F1622">
        <v>-0.28685426291474098</v>
      </c>
      <c r="G1622">
        <v>-0.40712290502793202</v>
      </c>
      <c r="H1622">
        <v>-0.84946808510638205</v>
      </c>
      <c r="I1622">
        <v>0.212857142857142</v>
      </c>
    </row>
    <row r="1623" spans="1:9" x14ac:dyDescent="0.35">
      <c r="A1623" s="1" t="s">
        <v>1635</v>
      </c>
      <c r="B1623" t="str">
        <f>HYPERLINK("https://www.suredividend.com/sure-analysis-research-database/","Texas Roadhouse Inc")</f>
        <v>Texas Roadhouse Inc</v>
      </c>
      <c r="C1623">
        <v>-8.8807665711745004E-2</v>
      </c>
      <c r="D1623">
        <v>-0.18238402776915999</v>
      </c>
      <c r="E1623">
        <v>-0.147509348376996</v>
      </c>
      <c r="F1623">
        <v>3.5449321468622001E-2</v>
      </c>
      <c r="G1623">
        <v>2.1092693165188001E-2</v>
      </c>
      <c r="H1623">
        <v>8.5305430409966007E-2</v>
      </c>
      <c r="I1623">
        <v>0.51584123107868907</v>
      </c>
    </row>
    <row r="1624" spans="1:9" x14ac:dyDescent="0.35">
      <c r="A1624" s="1" t="s">
        <v>1636</v>
      </c>
      <c r="B1624" t="str">
        <f>HYPERLINK("https://www.suredividend.com/sure-analysis-research-database/","Tyra Biosciences Inc")</f>
        <v>Tyra Biosciences Inc</v>
      </c>
      <c r="C1624">
        <v>-3.8749150237933003E-2</v>
      </c>
      <c r="D1624">
        <v>-3.2831737346101002E-2</v>
      </c>
      <c r="E1624">
        <v>-4.0705563093622013E-2</v>
      </c>
      <c r="F1624">
        <v>0.86052631578947303</v>
      </c>
      <c r="G1624">
        <v>1.1010401188707279</v>
      </c>
      <c r="H1624">
        <v>-0.13463892288861601</v>
      </c>
      <c r="I1624">
        <v>-0.45615384615384602</v>
      </c>
    </row>
    <row r="1625" spans="1:9" x14ac:dyDescent="0.35">
      <c r="A1625" s="1" t="s">
        <v>1637</v>
      </c>
      <c r="B1625" t="str">
        <f>HYPERLINK("https://www.suredividend.com/sure-analysis-research-database/","Urstadt Biddle Properties, Inc.")</f>
        <v>Urstadt Biddle Properties, Inc.</v>
      </c>
      <c r="C1625">
        <v>-4.1704442429736997E-2</v>
      </c>
      <c r="D1625">
        <v>0.25974304578933499</v>
      </c>
      <c r="E1625">
        <v>0.19284742950971301</v>
      </c>
      <c r="F1625">
        <v>0.15823558095321499</v>
      </c>
      <c r="G1625">
        <v>0.21746141442063999</v>
      </c>
      <c r="H1625">
        <v>0.235253215222713</v>
      </c>
      <c r="I1625">
        <v>0.19924210621858601</v>
      </c>
    </row>
    <row r="1626" spans="1:9" x14ac:dyDescent="0.35">
      <c r="A1626" s="1" t="s">
        <v>1638</v>
      </c>
      <c r="B1626" t="str">
        <f>HYPERLINK("https://www.suredividend.com/sure-analysis-UBSI/","United Bankshares, Inc.")</f>
        <v>United Bankshares, Inc.</v>
      </c>
      <c r="C1626">
        <v>-6.2122825701099997E-2</v>
      </c>
      <c r="D1626">
        <v>-6.8833045501004012E-2</v>
      </c>
      <c r="E1626">
        <v>-0.18352715034905601</v>
      </c>
      <c r="F1626">
        <v>-0.31021338478448701</v>
      </c>
      <c r="G1626">
        <v>-0.25792561841872402</v>
      </c>
      <c r="H1626">
        <v>-0.19060836105852</v>
      </c>
      <c r="I1626">
        <v>-2.0854102814025E-2</v>
      </c>
    </row>
    <row r="1627" spans="1:9" x14ac:dyDescent="0.35">
      <c r="A1627" s="1" t="s">
        <v>1639</v>
      </c>
      <c r="B1627" t="str">
        <f>HYPERLINK("https://www.suredividend.com/sure-analysis-research-database/","United Community Banks Inc")</f>
        <v>United Community Banks Inc</v>
      </c>
      <c r="C1627">
        <v>-4.3378119001919013E-2</v>
      </c>
      <c r="D1627">
        <v>-5.3515135402028013E-2</v>
      </c>
      <c r="E1627">
        <v>-4.5689711294330998E-2</v>
      </c>
      <c r="F1627">
        <v>-0.23634647561027899</v>
      </c>
      <c r="G1627">
        <v>-0.27920006247704099</v>
      </c>
      <c r="H1627">
        <v>-0.215286174929463</v>
      </c>
      <c r="I1627">
        <v>0.116237402015677</v>
      </c>
    </row>
    <row r="1628" spans="1:9" x14ac:dyDescent="0.35">
      <c r="A1628" s="1" t="s">
        <v>1640</v>
      </c>
      <c r="B1628" t="str">
        <f>HYPERLINK("https://www.suredividend.com/sure-analysis-research-database/","Ultra Clean Hldgs Inc")</f>
        <v>Ultra Clean Hldgs Inc</v>
      </c>
      <c r="C1628">
        <v>-0.102130537707135</v>
      </c>
      <c r="D1628">
        <v>-0.295382165605095</v>
      </c>
      <c r="E1628">
        <v>-0.124917600527356</v>
      </c>
      <c r="F1628">
        <v>-0.19909502262443399</v>
      </c>
      <c r="G1628">
        <v>6.8410462776659006E-2</v>
      </c>
      <c r="H1628">
        <v>-0.40484196368527198</v>
      </c>
      <c r="I1628">
        <v>1.4492619926199259</v>
      </c>
    </row>
    <row r="1629" spans="1:9" x14ac:dyDescent="0.35">
      <c r="A1629" s="1" t="s">
        <v>1641</v>
      </c>
      <c r="B1629" t="str">
        <f>HYPERLINK("https://www.suredividend.com/sure-analysis-research-database/","Udemy Inc")</f>
        <v>Udemy Inc</v>
      </c>
      <c r="C1629">
        <v>-4.5135406218656013E-2</v>
      </c>
      <c r="D1629">
        <v>-0.15151515151515099</v>
      </c>
      <c r="E1629">
        <v>6.9662921348314005E-2</v>
      </c>
      <c r="F1629">
        <v>-9.7630331753554012E-2</v>
      </c>
      <c r="G1629">
        <v>-0.27021847451130698</v>
      </c>
      <c r="H1629">
        <v>-0.65381818181818108</v>
      </c>
      <c r="I1629">
        <v>-0.65381818181818108</v>
      </c>
    </row>
    <row r="1630" spans="1:9" x14ac:dyDescent="0.35">
      <c r="A1630" s="1" t="s">
        <v>1642</v>
      </c>
      <c r="B1630" t="str">
        <f>HYPERLINK("https://www.suredividend.com/sure-analysis-UE/","Urban Edge Properties")</f>
        <v>Urban Edge Properties</v>
      </c>
      <c r="C1630">
        <v>-0.108383233532934</v>
      </c>
      <c r="D1630">
        <v>-7.2915304680252008E-2</v>
      </c>
      <c r="E1630">
        <v>7.0452911574407001E-2</v>
      </c>
      <c r="F1630">
        <v>9.1242213264932009E-2</v>
      </c>
      <c r="G1630">
        <v>0.16390866951716099</v>
      </c>
      <c r="H1630">
        <v>-0.126312145376026</v>
      </c>
      <c r="I1630">
        <v>-8.4340313009255E-2</v>
      </c>
    </row>
    <row r="1631" spans="1:9" x14ac:dyDescent="0.35">
      <c r="A1631" s="1" t="s">
        <v>1643</v>
      </c>
      <c r="B1631" t="str">
        <f>HYPERLINK("https://www.suredividend.com/sure-analysis-research-database/","Uranium Energy Corp")</f>
        <v>Uranium Energy Corp</v>
      </c>
      <c r="C1631">
        <v>-4.2750929368029003E-2</v>
      </c>
      <c r="D1631">
        <v>0.65064102564102511</v>
      </c>
      <c r="E1631">
        <v>0.81338028169014109</v>
      </c>
      <c r="F1631">
        <v>0.32731958762886598</v>
      </c>
      <c r="G1631">
        <v>0.43055555555555503</v>
      </c>
      <c r="H1631">
        <v>0.51026392961876799</v>
      </c>
      <c r="I1631">
        <v>2.4797297297297298</v>
      </c>
    </row>
    <row r="1632" spans="1:9" x14ac:dyDescent="0.35">
      <c r="A1632" s="1" t="s">
        <v>1644</v>
      </c>
      <c r="B1632" t="str">
        <f>HYPERLINK("https://www.suredividend.com/sure-analysis-research-database/","Universal Electronics Inc.")</f>
        <v>Universal Electronics Inc.</v>
      </c>
      <c r="C1632">
        <v>-8.2256169212690008E-2</v>
      </c>
      <c r="D1632">
        <v>-0.27618164967562497</v>
      </c>
      <c r="E1632">
        <v>-0.23129921259842501</v>
      </c>
      <c r="F1632">
        <v>-0.62469966362325802</v>
      </c>
      <c r="G1632">
        <v>-0.55011520737327102</v>
      </c>
      <c r="H1632">
        <v>-0.82891566265060201</v>
      </c>
      <c r="I1632">
        <v>-0.77473319873089108</v>
      </c>
    </row>
    <row r="1633" spans="1:9" x14ac:dyDescent="0.35">
      <c r="A1633" s="1" t="s">
        <v>1645</v>
      </c>
      <c r="B1633" t="str">
        <f>HYPERLINK("https://www.suredividend.com/sure-analysis-research-database/","United Fire Group Inc")</f>
        <v>United Fire Group Inc</v>
      </c>
      <c r="C1633">
        <v>-2.7707808564230999E-2</v>
      </c>
      <c r="D1633">
        <v>-0.12371906342367001</v>
      </c>
      <c r="E1633">
        <v>-0.26962826727821099</v>
      </c>
      <c r="F1633">
        <v>-0.26832689486274403</v>
      </c>
      <c r="G1633">
        <v>-0.36477426447113298</v>
      </c>
      <c r="H1633">
        <v>-6.4736696727547005E-2</v>
      </c>
      <c r="I1633">
        <v>-0.52170540522456299</v>
      </c>
    </row>
    <row r="1634" spans="1:9" x14ac:dyDescent="0.35">
      <c r="A1634" s="1" t="s">
        <v>1646</v>
      </c>
      <c r="B1634" t="str">
        <f>HYPERLINK("https://www.suredividend.com/sure-analysis-research-database/","UNIFI, Inc.")</f>
        <v>UNIFI, Inc.</v>
      </c>
      <c r="C1634">
        <v>-6.4697609001406003E-2</v>
      </c>
      <c r="D1634">
        <v>-0.17596034696406401</v>
      </c>
      <c r="E1634">
        <v>-0.13748378728923399</v>
      </c>
      <c r="F1634">
        <v>-0.22764227642276399</v>
      </c>
      <c r="G1634">
        <v>-0.28648068669527799</v>
      </c>
      <c r="H1634">
        <v>-0.711246200607902</v>
      </c>
      <c r="I1634">
        <v>-0.72989439480097407</v>
      </c>
    </row>
    <row r="1635" spans="1:9" x14ac:dyDescent="0.35">
      <c r="A1635" s="1" t="s">
        <v>1647</v>
      </c>
      <c r="B1635" t="str">
        <f>HYPERLINK("https://www.suredividend.com/sure-analysis-research-database/","UFP Industries Inc")</f>
        <v>UFP Industries Inc</v>
      </c>
      <c r="C1635">
        <v>-4.3988269794721001E-2</v>
      </c>
      <c r="D1635">
        <v>-1.2492275629762999E-2</v>
      </c>
      <c r="E1635">
        <v>0.25597809615295702</v>
      </c>
      <c r="F1635">
        <v>0.24866738590588999</v>
      </c>
      <c r="G1635">
        <v>0.41421649080542311</v>
      </c>
      <c r="H1635">
        <v>0.33523378878731203</v>
      </c>
      <c r="I1635">
        <v>2.160057902083441</v>
      </c>
    </row>
    <row r="1636" spans="1:9" x14ac:dyDescent="0.35">
      <c r="A1636" s="1" t="s">
        <v>1648</v>
      </c>
      <c r="B1636" t="str">
        <f>HYPERLINK("https://www.suredividend.com/sure-analysis-research-database/","UFP Technologies Inc.")</f>
        <v>UFP Technologies Inc.</v>
      </c>
      <c r="C1636">
        <v>-6.3995105536861011E-2</v>
      </c>
      <c r="D1636">
        <v>-0.18121487824458099</v>
      </c>
      <c r="E1636">
        <v>0.14857357357357301</v>
      </c>
      <c r="F1636">
        <v>0.29773517685978401</v>
      </c>
      <c r="G1636">
        <v>0.77688734030197404</v>
      </c>
      <c r="H1636">
        <v>1.3972109056722031</v>
      </c>
      <c r="I1636">
        <v>3.5614192009540848</v>
      </c>
    </row>
    <row r="1637" spans="1:9" x14ac:dyDescent="0.35">
      <c r="A1637" s="1" t="s">
        <v>1649</v>
      </c>
      <c r="B1637" t="str">
        <f>HYPERLINK("https://www.suredividend.com/sure-analysis-UHT/","Universal Health Realty Income Trust")</f>
        <v>Universal Health Realty Income Trust</v>
      </c>
      <c r="C1637">
        <v>-0.127174158572396</v>
      </c>
      <c r="D1637">
        <v>-0.18950552285703401</v>
      </c>
      <c r="E1637">
        <v>-0.14631128707271299</v>
      </c>
      <c r="F1637">
        <v>-0.15288422751109301</v>
      </c>
      <c r="G1637">
        <v>-5.1325174009648013E-2</v>
      </c>
      <c r="H1637">
        <v>-0.241685326885827</v>
      </c>
      <c r="I1637">
        <v>-0.29541894673885</v>
      </c>
    </row>
    <row r="1638" spans="1:9" x14ac:dyDescent="0.35">
      <c r="A1638" s="1" t="s">
        <v>1650</v>
      </c>
      <c r="B1638" t="str">
        <f>HYPERLINK("https://www.suredividend.com/sure-analysis-research-database/","Unisys Corp.")</f>
        <v>Unisys Corp.</v>
      </c>
      <c r="C1638">
        <v>-9.198813056379801E-2</v>
      </c>
      <c r="D1638">
        <v>-0.40117416829745611</v>
      </c>
      <c r="E1638">
        <v>-0.21538461538461501</v>
      </c>
      <c r="F1638">
        <v>-0.40117416829745611</v>
      </c>
      <c r="G1638">
        <v>-0.62545899632802904</v>
      </c>
      <c r="H1638">
        <v>-0.8845283018867921</v>
      </c>
      <c r="I1638">
        <v>-0.83860759493670811</v>
      </c>
    </row>
    <row r="1639" spans="1:9" x14ac:dyDescent="0.35">
      <c r="A1639" s="1" t="s">
        <v>1651</v>
      </c>
      <c r="B1639" t="str">
        <f>HYPERLINK("https://www.suredividend.com/sure-analysis-research-database/","Frontier Group Holdings Inc")</f>
        <v>Frontier Group Holdings Inc</v>
      </c>
      <c r="C1639">
        <v>-0.19314079422382599</v>
      </c>
      <c r="D1639">
        <v>-0.54059609455292901</v>
      </c>
      <c r="E1639">
        <v>-0.51675675675675603</v>
      </c>
      <c r="F1639">
        <v>-0.56475170399221009</v>
      </c>
      <c r="G1639">
        <v>-0.5</v>
      </c>
      <c r="H1639">
        <v>-0.72509225092250906</v>
      </c>
      <c r="I1639">
        <v>-0.76286472148541107</v>
      </c>
    </row>
    <row r="1640" spans="1:9" x14ac:dyDescent="0.35">
      <c r="A1640" s="1" t="s">
        <v>1652</v>
      </c>
      <c r="B1640" t="str">
        <f>HYPERLINK("https://www.suredividend.com/sure-analysis-research-database/","Universal Logistics Holdings Inc")</f>
        <v>Universal Logistics Holdings Inc</v>
      </c>
      <c r="C1640">
        <v>-8.603773584905601E-2</v>
      </c>
      <c r="D1640">
        <v>-0.185920662557056</v>
      </c>
      <c r="E1640">
        <v>-0.15069694047514601</v>
      </c>
      <c r="F1640">
        <v>-0.26193414697322898</v>
      </c>
      <c r="G1640">
        <v>-0.25661054925492199</v>
      </c>
      <c r="H1640">
        <v>0.21414463460362301</v>
      </c>
      <c r="I1640">
        <v>-0.20599275492976199</v>
      </c>
    </row>
    <row r="1641" spans="1:9" x14ac:dyDescent="0.35">
      <c r="A1641" s="1" t="s">
        <v>1653</v>
      </c>
      <c r="B1641" t="str">
        <f>HYPERLINK("https://www.suredividend.com/sure-analysis-UMBF/","UMB Financial Corp.")</f>
        <v>UMB Financial Corp.</v>
      </c>
      <c r="C1641">
        <v>-2.3391812865496998E-2</v>
      </c>
      <c r="D1641">
        <v>9.0225369041100007E-4</v>
      </c>
      <c r="E1641">
        <v>8.7561075205226005E-2</v>
      </c>
      <c r="F1641">
        <v>-0.238918498135787</v>
      </c>
      <c r="G1641">
        <v>-0.27764703956866899</v>
      </c>
      <c r="H1641">
        <v>-0.35020821940857211</v>
      </c>
      <c r="I1641">
        <v>2.7907719538729999E-2</v>
      </c>
    </row>
    <row r="1642" spans="1:9" x14ac:dyDescent="0.35">
      <c r="A1642" s="1" t="s">
        <v>1654</v>
      </c>
      <c r="B1642" t="str">
        <f>HYPERLINK("https://www.suredividend.com/sure-analysis-UMH/","UMH Properties Inc")</f>
        <v>UMH Properties Inc</v>
      </c>
      <c r="C1642">
        <v>-2.6206896551724E-2</v>
      </c>
      <c r="D1642">
        <v>-0.12993110927621601</v>
      </c>
      <c r="E1642">
        <v>-6.2076828873459996E-3</v>
      </c>
      <c r="F1642">
        <v>-8.9830858085808013E-2</v>
      </c>
      <c r="G1642">
        <v>-7.1559608897772006E-2</v>
      </c>
      <c r="H1642">
        <v>-0.34668949243510799</v>
      </c>
      <c r="I1642">
        <v>0.21149721149721101</v>
      </c>
    </row>
    <row r="1643" spans="1:9" x14ac:dyDescent="0.35">
      <c r="A1643" s="1" t="s">
        <v>1655</v>
      </c>
      <c r="B1643" t="str">
        <f>HYPERLINK("https://www.suredividend.com/sure-analysis-UNF/","Unifirst Corp.")</f>
        <v>Unifirst Corp.</v>
      </c>
      <c r="C1643">
        <v>-6.9037535534025002E-2</v>
      </c>
      <c r="D1643">
        <v>2.6788513687314001E-2</v>
      </c>
      <c r="E1643">
        <v>-3.8476518262774012E-2</v>
      </c>
      <c r="F1643">
        <v>-0.16423442060461299</v>
      </c>
      <c r="G1643">
        <v>-2.2595363494999E-2</v>
      </c>
      <c r="H1643">
        <v>-0.23275858359402901</v>
      </c>
      <c r="I1643">
        <v>3.0559721022531999E-2</v>
      </c>
    </row>
    <row r="1644" spans="1:9" x14ac:dyDescent="0.35">
      <c r="A1644" s="1" t="s">
        <v>1656</v>
      </c>
      <c r="B1644" t="str">
        <f>HYPERLINK("https://www.suredividend.com/sure-analysis-research-database/","United Natural Foods Inc.")</f>
        <v>United Natural Foods Inc.</v>
      </c>
      <c r="C1644">
        <v>-0.18244680851063799</v>
      </c>
      <c r="D1644">
        <v>-0.23684210526315799</v>
      </c>
      <c r="E1644">
        <v>-0.40171272868820501</v>
      </c>
      <c r="F1644">
        <v>-0.60294497545853709</v>
      </c>
      <c r="G1644">
        <v>-0.58771459227467804</v>
      </c>
      <c r="H1644">
        <v>-0.65139487412111607</v>
      </c>
      <c r="I1644">
        <v>-0.42196314403911211</v>
      </c>
    </row>
    <row r="1645" spans="1:9" x14ac:dyDescent="0.35">
      <c r="A1645" s="1" t="s">
        <v>1657</v>
      </c>
      <c r="B1645" t="str">
        <f>HYPERLINK("https://www.suredividend.com/sure-analysis-UNIT/","Uniti Group Inc")</f>
        <v>Uniti Group Inc</v>
      </c>
      <c r="C1645">
        <v>-0.13193116634799201</v>
      </c>
      <c r="D1645">
        <v>-1.7464886272642002E-2</v>
      </c>
      <c r="E1645">
        <v>0.50013217023526302</v>
      </c>
      <c r="F1645">
        <v>-5.7171931136170001E-2</v>
      </c>
      <c r="G1645">
        <v>-0.231797492343356</v>
      </c>
      <c r="H1645">
        <v>-0.53014716535922002</v>
      </c>
      <c r="I1645">
        <v>-0.64318274702128309</v>
      </c>
    </row>
    <row r="1646" spans="1:9" x14ac:dyDescent="0.35">
      <c r="A1646" s="1" t="s">
        <v>1658</v>
      </c>
      <c r="B1646" t="str">
        <f>HYPERLINK("https://www.suredividend.com/sure-analysis-research-database/","Unity Bancorp, Inc.")</f>
        <v>Unity Bancorp, Inc.</v>
      </c>
      <c r="C1646">
        <v>-1.2620950778289999E-3</v>
      </c>
      <c r="D1646">
        <v>-1.5276896338605E-2</v>
      </c>
      <c r="E1646">
        <v>9.3253511397651007E-2</v>
      </c>
      <c r="F1646">
        <v>-0.109447212052097</v>
      </c>
      <c r="G1646">
        <v>-5.8952242024481002E-2</v>
      </c>
      <c r="H1646">
        <v>-1.7497972089327001E-2</v>
      </c>
      <c r="I1646">
        <v>0.23831580704389899</v>
      </c>
    </row>
    <row r="1647" spans="1:9" x14ac:dyDescent="0.35">
      <c r="A1647" s="1" t="s">
        <v>1659</v>
      </c>
      <c r="B1647" t="str">
        <f>HYPERLINK("https://www.suredividend.com/sure-analysis-research-database/","Urban One Inc")</f>
        <v>Urban One Inc</v>
      </c>
      <c r="C1647">
        <v>9.3632958801490012E-3</v>
      </c>
      <c r="D1647">
        <v>-3.0575539568344998E-2</v>
      </c>
      <c r="E1647">
        <v>-0.31162196679437998</v>
      </c>
      <c r="F1647">
        <v>0.18461538461538399</v>
      </c>
      <c r="G1647">
        <v>-7.3664825046040007E-3</v>
      </c>
      <c r="H1647">
        <v>-0.38045977011494198</v>
      </c>
      <c r="I1647">
        <v>1.343478260869565</v>
      </c>
    </row>
    <row r="1648" spans="1:9" x14ac:dyDescent="0.35">
      <c r="A1648" s="1" t="s">
        <v>1660</v>
      </c>
      <c r="B1648" t="str">
        <f>HYPERLINK("https://www.suredividend.com/sure-analysis-research-database/","Urban One Inc")</f>
        <v>Urban One Inc</v>
      </c>
      <c r="C1648">
        <v>4.2635658914728002E-2</v>
      </c>
      <c r="D1648">
        <v>-3.2374100719424002E-2</v>
      </c>
      <c r="E1648">
        <v>-1.2844036697246999E-2</v>
      </c>
      <c r="F1648">
        <v>0.43085106382978711</v>
      </c>
      <c r="G1648">
        <v>0.40104166666666602</v>
      </c>
      <c r="H1648">
        <v>-0.181126331811263</v>
      </c>
      <c r="I1648">
        <v>1.6442543988990459</v>
      </c>
    </row>
    <row r="1649" spans="1:9" x14ac:dyDescent="0.35">
      <c r="A1649" s="1" t="s">
        <v>1661</v>
      </c>
      <c r="B1649" t="str">
        <f>HYPERLINK("https://www.suredividend.com/sure-analysis-research-database/","Wheels Up Experience Inc")</f>
        <v>Wheels Up Experience Inc</v>
      </c>
      <c r="C1649">
        <v>-0.5</v>
      </c>
      <c r="D1649">
        <v>1.9354838709677E-2</v>
      </c>
      <c r="E1649">
        <v>-0.6875</v>
      </c>
      <c r="F1649">
        <v>-0.84660194174757208</v>
      </c>
      <c r="G1649">
        <v>-0.84660194174757208</v>
      </c>
      <c r="H1649">
        <v>-0.97749287749287705</v>
      </c>
      <c r="I1649">
        <v>-0.83626943005181309</v>
      </c>
    </row>
    <row r="1650" spans="1:9" x14ac:dyDescent="0.35">
      <c r="A1650" s="1" t="s">
        <v>1662</v>
      </c>
      <c r="B1650" t="str">
        <f>HYPERLINK("https://www.suredividend.com/sure-analysis-research-database/","Upbound Group Inc")</f>
        <v>Upbound Group Inc</v>
      </c>
      <c r="C1650">
        <v>9.105103419238E-3</v>
      </c>
      <c r="D1650">
        <v>-7.9273407136591006E-2</v>
      </c>
      <c r="E1650">
        <v>0.25499094538869299</v>
      </c>
      <c r="F1650">
        <v>0.27538802660753797</v>
      </c>
      <c r="G1650">
        <v>0.54936026936026905</v>
      </c>
      <c r="H1650">
        <v>-0.41611766974917003</v>
      </c>
      <c r="I1650">
        <v>1.3200845427190799</v>
      </c>
    </row>
    <row r="1651" spans="1:9" x14ac:dyDescent="0.35">
      <c r="A1651" s="1" t="s">
        <v>1663</v>
      </c>
      <c r="B1651" t="str">
        <f>HYPERLINK("https://www.suredividend.com/sure-analysis-research-database/","Upland Software Inc")</f>
        <v>Upland Software Inc</v>
      </c>
      <c r="C1651">
        <v>6.7357512953367005E-2</v>
      </c>
      <c r="D1651">
        <v>-5.7208237986270012E-2</v>
      </c>
      <c r="E1651">
        <v>8.1364829396325E-2</v>
      </c>
      <c r="F1651">
        <v>-0.42215988779803598</v>
      </c>
      <c r="G1651">
        <v>-0.40974212034383911</v>
      </c>
      <c r="H1651">
        <v>-0.8792850864342221</v>
      </c>
      <c r="I1651">
        <v>-0.87446678854357107</v>
      </c>
    </row>
    <row r="1652" spans="1:9" x14ac:dyDescent="0.35">
      <c r="A1652" s="1" t="s">
        <v>1664</v>
      </c>
      <c r="B1652" t="str">
        <f>HYPERLINK("https://www.suredividend.com/sure-analysis-research-database/","Upwork Inc")</f>
        <v>Upwork Inc</v>
      </c>
      <c r="C1652">
        <v>-0.15821347464042401</v>
      </c>
      <c r="D1652">
        <v>3.4418604651161998E-2</v>
      </c>
      <c r="E1652">
        <v>7.6476282671829002E-2</v>
      </c>
      <c r="F1652">
        <v>6.513409961685801E-2</v>
      </c>
      <c r="G1652">
        <v>-9.8865478119935013E-2</v>
      </c>
      <c r="H1652">
        <v>-0.81219388616787702</v>
      </c>
      <c r="I1652">
        <v>-0.42768914050437401</v>
      </c>
    </row>
    <row r="1653" spans="1:9" x14ac:dyDescent="0.35">
      <c r="A1653" s="1" t="s">
        <v>1665</v>
      </c>
      <c r="B1653" t="str">
        <f>HYPERLINK("https://www.suredividend.com/sure-analysis-research-database/","Urban Outfitters, Inc.")</f>
        <v>Urban Outfitters, Inc.</v>
      </c>
      <c r="C1653">
        <v>-7.2204285294980006E-2</v>
      </c>
      <c r="D1653">
        <v>-8.6416184971098001E-2</v>
      </c>
      <c r="E1653">
        <v>0.19238023387400899</v>
      </c>
      <c r="F1653">
        <v>0.325366876310272</v>
      </c>
      <c r="G1653">
        <v>0.42580063148398711</v>
      </c>
      <c r="H1653">
        <v>4.4958677685950001E-2</v>
      </c>
      <c r="I1653">
        <v>-0.17294610151753001</v>
      </c>
    </row>
    <row r="1654" spans="1:9" x14ac:dyDescent="0.35">
      <c r="A1654" s="1" t="s">
        <v>1666</v>
      </c>
      <c r="B1654" t="str">
        <f>HYPERLINK("https://www.suredividend.com/sure-analysis-research-database/","Ur-Energy Inc.")</f>
        <v>Ur-Energy Inc.</v>
      </c>
      <c r="C1654">
        <v>-2.6143790849672999E-2</v>
      </c>
      <c r="D1654">
        <v>0.52492068365571509</v>
      </c>
      <c r="E1654">
        <v>0.57305743243243201</v>
      </c>
      <c r="F1654">
        <v>0.29565217391304299</v>
      </c>
      <c r="G1654">
        <v>0.33035714285714202</v>
      </c>
      <c r="H1654">
        <v>-0.19021739130434701</v>
      </c>
      <c r="I1654">
        <v>1.0410958904109591</v>
      </c>
    </row>
    <row r="1655" spans="1:9" x14ac:dyDescent="0.35">
      <c r="A1655" s="1" t="s">
        <v>1667</v>
      </c>
      <c r="B1655" t="str">
        <f>HYPERLINK("https://www.suredividend.com/sure-analysis-research-database/","USCB Financial Holdings Inc")</f>
        <v>USCB Financial Holdings Inc</v>
      </c>
      <c r="C1655">
        <v>1.1139674378749E-2</v>
      </c>
      <c r="D1655">
        <v>7.5660893345487007E-2</v>
      </c>
      <c r="E1655">
        <v>0.23173277661795399</v>
      </c>
      <c r="F1655">
        <v>-3.2786885245901003E-2</v>
      </c>
      <c r="G1655">
        <v>-0.12267657992565</v>
      </c>
      <c r="H1655">
        <v>-0.15229885057471201</v>
      </c>
      <c r="I1655">
        <v>-0.15229885057471201</v>
      </c>
    </row>
    <row r="1656" spans="1:9" x14ac:dyDescent="0.35">
      <c r="A1656" s="1" t="s">
        <v>1668</v>
      </c>
      <c r="B1656" t="str">
        <f>HYPERLINK("https://www.suredividend.com/sure-analysis-research-database/","United States Lime &amp; Minerals Inc.")</f>
        <v>United States Lime &amp; Minerals Inc.</v>
      </c>
      <c r="C1656">
        <v>1.9653972455031001E-2</v>
      </c>
      <c r="D1656">
        <v>-4.737590674653E-3</v>
      </c>
      <c r="E1656">
        <v>0.36053265075629098</v>
      </c>
      <c r="F1656">
        <v>0.48601273725203298</v>
      </c>
      <c r="G1656">
        <v>0.97620085739227702</v>
      </c>
      <c r="H1656">
        <v>0.77072649663584003</v>
      </c>
      <c r="I1656">
        <v>1.924460800782704</v>
      </c>
    </row>
    <row r="1657" spans="1:9" x14ac:dyDescent="0.35">
      <c r="A1657" s="1" t="s">
        <v>1669</v>
      </c>
      <c r="B1657" t="str">
        <f>HYPERLINK("https://www.suredividend.com/sure-analysis-research-database/","United States Cellular Corporation")</f>
        <v>United States Cellular Corporation</v>
      </c>
      <c r="C1657">
        <v>4.8649963512519996E-3</v>
      </c>
      <c r="D1657">
        <v>1.5437192118226599</v>
      </c>
      <c r="E1657">
        <v>0.86248872858431003</v>
      </c>
      <c r="F1657">
        <v>0.98129496402877603</v>
      </c>
      <c r="G1657">
        <v>0.50711419190076601</v>
      </c>
      <c r="H1657">
        <v>0.30645161290322498</v>
      </c>
      <c r="I1657">
        <v>-0.137037810737413</v>
      </c>
    </row>
    <row r="1658" spans="1:9" x14ac:dyDescent="0.35">
      <c r="A1658" s="1" t="s">
        <v>1670</v>
      </c>
      <c r="B1658" t="str">
        <f>HYPERLINK("https://www.suredividend.com/sure-analysis-research-database/","Usana Health Sciences Inc")</f>
        <v>Usana Health Sciences Inc</v>
      </c>
      <c r="C1658">
        <v>-7.3650580124432E-2</v>
      </c>
      <c r="D1658">
        <v>-9.5996061700032012E-2</v>
      </c>
      <c r="E1658">
        <v>-0.14230110540245899</v>
      </c>
      <c r="F1658">
        <v>3.5526315789472997E-2</v>
      </c>
      <c r="G1658">
        <v>-4.7544951590594013E-2</v>
      </c>
      <c r="H1658">
        <v>-0.44398465886152599</v>
      </c>
      <c r="I1658">
        <v>-0.49532795895932502</v>
      </c>
    </row>
    <row r="1659" spans="1:9" x14ac:dyDescent="0.35">
      <c r="A1659" s="1" t="s">
        <v>1671</v>
      </c>
      <c r="B1659" t="str">
        <f>HYPERLINK("https://www.suredividend.com/sure-analysis-research-database/","U.S. Physical Therapy, Inc.")</f>
        <v>U.S. Physical Therapy, Inc.</v>
      </c>
      <c r="C1659">
        <v>-7.155806761224201E-2</v>
      </c>
      <c r="D1659">
        <v>-0.271161311440825</v>
      </c>
      <c r="E1659">
        <v>-0.16519717973575099</v>
      </c>
      <c r="F1659">
        <v>8.80677486521E-2</v>
      </c>
      <c r="G1659">
        <v>0.14432778300621901</v>
      </c>
      <c r="H1659">
        <v>-0.13822116812309199</v>
      </c>
      <c r="I1659">
        <v>-0.146632895312068</v>
      </c>
    </row>
    <row r="1660" spans="1:9" x14ac:dyDescent="0.35">
      <c r="A1660" s="1" t="s">
        <v>1672</v>
      </c>
      <c r="B1660" t="str">
        <f>HYPERLINK("https://www.suredividend.com/sure-analysis-research-database/","Universal Technical Institute Inc")</f>
        <v>Universal Technical Institute Inc</v>
      </c>
      <c r="C1660">
        <v>-1.0625737898465E-2</v>
      </c>
      <c r="D1660">
        <v>0.21625544267053701</v>
      </c>
      <c r="E1660">
        <v>0.130904183535762</v>
      </c>
      <c r="F1660">
        <v>0.24702380952380901</v>
      </c>
      <c r="G1660">
        <v>0.44982698961937712</v>
      </c>
      <c r="H1660">
        <v>0.24517087667161899</v>
      </c>
      <c r="I1660">
        <v>2.2607003891050579</v>
      </c>
    </row>
    <row r="1661" spans="1:9" x14ac:dyDescent="0.35">
      <c r="A1661" s="1" t="s">
        <v>1673</v>
      </c>
      <c r="B1661" t="str">
        <f>HYPERLINK("https://www.suredividend.com/sure-analysis-research-database/","Unitil Corp.")</f>
        <v>Unitil Corp.</v>
      </c>
      <c r="C1661">
        <v>-3.2161874334398002E-2</v>
      </c>
      <c r="D1661">
        <v>-0.11476150771077</v>
      </c>
      <c r="E1661">
        <v>-0.20332695153338501</v>
      </c>
      <c r="F1661">
        <v>-9.4636758863354001E-2</v>
      </c>
      <c r="G1661">
        <v>5.8132365634900002E-4</v>
      </c>
      <c r="H1661">
        <v>0.108444080167047</v>
      </c>
      <c r="I1661">
        <v>0.101575757575757</v>
      </c>
    </row>
    <row r="1662" spans="1:9" x14ac:dyDescent="0.35">
      <c r="A1662" s="1" t="s">
        <v>1674</v>
      </c>
      <c r="B1662" t="str">
        <f>HYPERLINK("https://www.suredividend.com/sure-analysis-research-database/","Utah Medical Products, Inc.")</f>
        <v>Utah Medical Products, Inc.</v>
      </c>
      <c r="C1662">
        <v>-7.5107296137330009E-3</v>
      </c>
      <c r="D1662">
        <v>-0.15142285745738701</v>
      </c>
      <c r="E1662">
        <v>-0.13246096595391199</v>
      </c>
      <c r="F1662">
        <v>-0.15840998626161101</v>
      </c>
      <c r="G1662">
        <v>1.6361900529606E-2</v>
      </c>
      <c r="H1662">
        <v>-3.0178062802523001E-2</v>
      </c>
      <c r="I1662">
        <v>3.5678341322259E-2</v>
      </c>
    </row>
    <row r="1663" spans="1:9" x14ac:dyDescent="0.35">
      <c r="A1663" s="1" t="s">
        <v>1675</v>
      </c>
      <c r="B1663" t="str">
        <f>HYPERLINK("https://www.suredividend.com/sure-analysis-research-database/","Utz Brands Inc")</f>
        <v>Utz Brands Inc</v>
      </c>
      <c r="C1663">
        <v>-0.16817864619678899</v>
      </c>
      <c r="D1663">
        <v>-0.25994449583718698</v>
      </c>
      <c r="E1663">
        <v>-0.31692110209508001</v>
      </c>
      <c r="F1663">
        <v>-0.24038210309646199</v>
      </c>
      <c r="G1663">
        <v>-0.19839140288229401</v>
      </c>
      <c r="H1663">
        <v>-0.23577986356875399</v>
      </c>
      <c r="I1663">
        <v>0.23779854620976101</v>
      </c>
    </row>
    <row r="1664" spans="1:9" x14ac:dyDescent="0.35">
      <c r="A1664" s="1" t="s">
        <v>1676</v>
      </c>
      <c r="B1664" t="str">
        <f>HYPERLINK("https://www.suredividend.com/sure-analysis-research-database/","Energy Fuels Inc")</f>
        <v>Energy Fuels Inc</v>
      </c>
      <c r="C1664">
        <v>-0.104513064133016</v>
      </c>
      <c r="D1664">
        <v>0.21809369951534699</v>
      </c>
      <c r="E1664">
        <v>0.40148698884758299</v>
      </c>
      <c r="F1664">
        <v>0.214170692431562</v>
      </c>
      <c r="G1664">
        <v>0.24422442244224399</v>
      </c>
      <c r="H1664">
        <v>-3.3333333333333E-2</v>
      </c>
      <c r="I1664">
        <v>1.3271604938271599</v>
      </c>
    </row>
    <row r="1665" spans="1:9" x14ac:dyDescent="0.35">
      <c r="A1665" s="1" t="s">
        <v>1677</v>
      </c>
      <c r="B1665" t="str">
        <f>HYPERLINK("https://www.suredividend.com/sure-analysis-research-database/","Universal Insurance Holdings Inc")</f>
        <v>Universal Insurance Holdings Inc</v>
      </c>
      <c r="C1665">
        <v>5.8641975308642007E-2</v>
      </c>
      <c r="D1665">
        <v>-8.5796529758255011E-2</v>
      </c>
      <c r="E1665">
        <v>-0.23157487944350699</v>
      </c>
      <c r="F1665">
        <v>0.33396855645545498</v>
      </c>
      <c r="G1665">
        <v>0.49128813817241102</v>
      </c>
      <c r="H1665">
        <v>0.112209990434345</v>
      </c>
      <c r="I1665">
        <v>-0.635927482698594</v>
      </c>
    </row>
    <row r="1666" spans="1:9" x14ac:dyDescent="0.35">
      <c r="A1666" s="1" t="s">
        <v>1678</v>
      </c>
      <c r="B1666" t="str">
        <f>HYPERLINK("https://www.suredividend.com/sure-analysis-research-database/","Univest Financial Corp")</f>
        <v>Univest Financial Corp</v>
      </c>
      <c r="C1666">
        <v>-4.3999999999999012E-2</v>
      </c>
      <c r="D1666">
        <v>-7.1442843505094999E-2</v>
      </c>
      <c r="E1666">
        <v>-0.20369356719579201</v>
      </c>
      <c r="F1666">
        <v>-0.32518282180873498</v>
      </c>
      <c r="G1666">
        <v>-0.32219183632128001</v>
      </c>
      <c r="H1666">
        <v>-0.35462716506577102</v>
      </c>
      <c r="I1666">
        <v>-0.18758801534502001</v>
      </c>
    </row>
    <row r="1667" spans="1:9" x14ac:dyDescent="0.35">
      <c r="A1667" s="1" t="s">
        <v>1679</v>
      </c>
      <c r="B1667" t="str">
        <f>HYPERLINK("https://www.suredividend.com/sure-analysis-UVV/","Universal Corp.")</f>
        <v>Universal Corp.</v>
      </c>
      <c r="C1667">
        <v>-2.6779019835048001E-2</v>
      </c>
      <c r="D1667">
        <v>-6.250577085252601E-2</v>
      </c>
      <c r="E1667">
        <v>-0.124096826696163</v>
      </c>
      <c r="F1667">
        <v>-7.8421880672879002E-2</v>
      </c>
      <c r="G1667">
        <v>4.5736375558744012E-2</v>
      </c>
      <c r="H1667">
        <v>4.6999243795687012E-2</v>
      </c>
      <c r="I1667">
        <v>-5.8865695252926002E-2</v>
      </c>
    </row>
    <row r="1668" spans="1:9" x14ac:dyDescent="0.35">
      <c r="A1668" s="1" t="s">
        <v>1680</v>
      </c>
      <c r="B1668" t="str">
        <f>HYPERLINK("https://www.suredividend.com/sure-analysis-research-database/","Valaris Ltd")</f>
        <v>Valaris Ltd</v>
      </c>
      <c r="C1668">
        <v>-2.7748414376321001E-2</v>
      </c>
      <c r="D1668">
        <v>7.1501383427988008E-2</v>
      </c>
      <c r="E1668">
        <v>0.115017426882861</v>
      </c>
      <c r="F1668">
        <v>8.813960366755301E-2</v>
      </c>
      <c r="G1668">
        <v>0.31580829756795398</v>
      </c>
      <c r="H1668">
        <v>1.061641916503222</v>
      </c>
      <c r="I1668">
        <v>2.10464135021097</v>
      </c>
    </row>
    <row r="1669" spans="1:9" x14ac:dyDescent="0.35">
      <c r="A1669" s="1" t="s">
        <v>1681</v>
      </c>
      <c r="B1669" t="str">
        <f>HYPERLINK("https://www.suredividend.com/sure-analysis-research-database/","Value Line, Inc.")</f>
        <v>Value Line, Inc.</v>
      </c>
      <c r="C1669">
        <v>-0.258888888888888</v>
      </c>
      <c r="D1669">
        <v>-0.26940779312958502</v>
      </c>
      <c r="E1669">
        <v>-0.28448063163088999</v>
      </c>
      <c r="F1669">
        <v>-0.32670876671619598</v>
      </c>
      <c r="G1669">
        <v>-0.49457061235005711</v>
      </c>
      <c r="H1669">
        <v>8.1072320010373011E-2</v>
      </c>
      <c r="I1669">
        <v>0.53522501288944502</v>
      </c>
    </row>
    <row r="1670" spans="1:9" x14ac:dyDescent="0.35">
      <c r="A1670" s="1" t="s">
        <v>1682</v>
      </c>
      <c r="B1670" t="str">
        <f>HYPERLINK("https://www.suredividend.com/sure-analysis-research-database/","VBI Vaccines Inc.")</f>
        <v>VBI Vaccines Inc.</v>
      </c>
      <c r="C1670">
        <v>-0.49090909090909002</v>
      </c>
      <c r="D1670">
        <v>-0.5789473684210521</v>
      </c>
      <c r="E1670">
        <v>-0.82500000000000007</v>
      </c>
      <c r="F1670">
        <v>-0.95227137134577611</v>
      </c>
      <c r="G1670">
        <v>-0.97154471544715404</v>
      </c>
      <c r="H1670">
        <v>-0.99381898454746109</v>
      </c>
      <c r="I1670">
        <v>-0.99111111111111105</v>
      </c>
    </row>
    <row r="1671" spans="1:9" x14ac:dyDescent="0.35">
      <c r="A1671" s="1" t="s">
        <v>1683</v>
      </c>
      <c r="B1671" t="str">
        <f>HYPERLINK("https://www.suredividend.com/sure-analysis-research-database/","Veritex Holdings Inc")</f>
        <v>Veritex Holdings Inc</v>
      </c>
      <c r="C1671">
        <v>-2.7867095391210999E-2</v>
      </c>
      <c r="D1671">
        <v>-2.5098081367227E-2</v>
      </c>
      <c r="E1671">
        <v>3.0599838649198002E-2</v>
      </c>
      <c r="F1671">
        <v>-0.32670430293109998</v>
      </c>
      <c r="G1671">
        <v>-0.31608335187021402</v>
      </c>
      <c r="H1671">
        <v>-0.51227906026337999</v>
      </c>
      <c r="I1671">
        <v>-0.236390577379649</v>
      </c>
    </row>
    <row r="1672" spans="1:9" x14ac:dyDescent="0.35">
      <c r="A1672" s="1" t="s">
        <v>1684</v>
      </c>
      <c r="B1672" t="str">
        <f>HYPERLINK("https://www.suredividend.com/sure-analysis-research-database/","Visteon Corp.")</f>
        <v>Visteon Corp.</v>
      </c>
      <c r="C1672">
        <v>-5.3492580528411007E-2</v>
      </c>
      <c r="D1672">
        <v>-0.15985607812901501</v>
      </c>
      <c r="E1672">
        <v>-0.12675303860024001</v>
      </c>
      <c r="F1672">
        <v>-5.3504547886500001E-4</v>
      </c>
      <c r="G1672">
        <v>0.131533402561439</v>
      </c>
      <c r="H1672">
        <v>0.181851048445408</v>
      </c>
      <c r="I1672">
        <v>0.62778538528569605</v>
      </c>
    </row>
    <row r="1673" spans="1:9" x14ac:dyDescent="0.35">
      <c r="A1673" s="1" t="s">
        <v>1685</v>
      </c>
      <c r="B1673" t="str">
        <f>HYPERLINK("https://www.suredividend.com/sure-analysis-research-database/","Vericel Corp")</f>
        <v>Vericel Corp</v>
      </c>
      <c r="C1673">
        <v>-7.961504811898501E-2</v>
      </c>
      <c r="D1673">
        <v>-0.19118400820092199</v>
      </c>
      <c r="E1673">
        <v>5.7995306738182997E-2</v>
      </c>
      <c r="F1673">
        <v>0.198177676537585</v>
      </c>
      <c r="G1673">
        <v>0.30144329896907202</v>
      </c>
      <c r="H1673">
        <v>-0.37861783815711703</v>
      </c>
      <c r="I1673">
        <v>1.582651391162029</v>
      </c>
    </row>
    <row r="1674" spans="1:9" x14ac:dyDescent="0.35">
      <c r="A1674" s="1" t="s">
        <v>1686</v>
      </c>
      <c r="B1674" t="str">
        <f>HYPERLINK("https://www.suredividend.com/sure-analysis-research-database/","Vacasa Inc")</f>
        <v>Vacasa Inc</v>
      </c>
      <c r="C1674">
        <v>0.14806602611480599</v>
      </c>
      <c r="D1674">
        <v>-0.38278145695364202</v>
      </c>
      <c r="E1674">
        <v>-0.42118991429635999</v>
      </c>
      <c r="F1674">
        <v>-0.63015873015873003</v>
      </c>
      <c r="G1674">
        <v>-0.85661538461538411</v>
      </c>
      <c r="H1674">
        <v>-8.4479371316306007E-2</v>
      </c>
      <c r="I1674">
        <v>-7.8140454995054009E-2</v>
      </c>
    </row>
    <row r="1675" spans="1:9" x14ac:dyDescent="0.35">
      <c r="A1675" s="1" t="s">
        <v>1687</v>
      </c>
      <c r="B1675" t="str">
        <f>HYPERLINK("https://www.suredividend.com/sure-analysis-research-database/","Victory Capital Holdings Inc")</f>
        <v>Victory Capital Holdings Inc</v>
      </c>
      <c r="C1675">
        <v>-7.242003621001801E-2</v>
      </c>
      <c r="D1675">
        <v>-6.8944733358977009E-2</v>
      </c>
      <c r="E1675">
        <v>8.3004509582863012E-2</v>
      </c>
      <c r="F1675">
        <v>0.20259453707543401</v>
      </c>
      <c r="G1675">
        <v>0.241834554026266</v>
      </c>
      <c r="H1675">
        <v>-8.840188606506301E-2</v>
      </c>
      <c r="I1675">
        <v>3.3924325560128019</v>
      </c>
    </row>
    <row r="1676" spans="1:9" x14ac:dyDescent="0.35">
      <c r="A1676" s="1" t="s">
        <v>1688</v>
      </c>
      <c r="B1676" t="str">
        <f>HYPERLINK("https://www.suredividend.com/sure-analysis-research-database/","Veracyte Inc")</f>
        <v>Veracyte Inc</v>
      </c>
      <c r="C1676">
        <v>-0.15049900199600699</v>
      </c>
      <c r="D1676">
        <v>-0.26136758070114502</v>
      </c>
      <c r="E1676">
        <v>-2.9639762881896001E-2</v>
      </c>
      <c r="F1676">
        <v>-0.103244837758112</v>
      </c>
      <c r="G1676">
        <v>0.363228699551569</v>
      </c>
      <c r="H1676">
        <v>-0.52878653675819309</v>
      </c>
      <c r="I1676">
        <v>1.0018814675446841</v>
      </c>
    </row>
    <row r="1677" spans="1:9" x14ac:dyDescent="0.35">
      <c r="A1677" s="1" t="s">
        <v>1689</v>
      </c>
      <c r="B1677" t="str">
        <f>HYPERLINK("https://www.suredividend.com/sure-analysis-research-database/","Veeco Instruments Inc")</f>
        <v>Veeco Instruments Inc</v>
      </c>
      <c r="C1677">
        <v>3.4146341463414012E-2</v>
      </c>
      <c r="D1677">
        <v>7.1956437183974001E-2</v>
      </c>
      <c r="E1677">
        <v>0.40612244897959099</v>
      </c>
      <c r="F1677">
        <v>0.48331539289558612</v>
      </c>
      <c r="G1677">
        <v>0.60793465577596206</v>
      </c>
      <c r="H1677">
        <v>0.17476555839727101</v>
      </c>
      <c r="I1677">
        <v>2.005452562704471</v>
      </c>
    </row>
    <row r="1678" spans="1:9" x14ac:dyDescent="0.35">
      <c r="A1678" s="1" t="s">
        <v>1690</v>
      </c>
      <c r="B1678" t="str">
        <f>HYPERLINK("https://www.suredividend.com/sure-analysis-research-database/","Velocity Financial Inc")</f>
        <v>Velocity Financial Inc</v>
      </c>
      <c r="C1678">
        <v>-3.7489102005231E-2</v>
      </c>
      <c r="D1678">
        <v>-6.7567567567567002E-2</v>
      </c>
      <c r="E1678">
        <v>0.23489932885906001</v>
      </c>
      <c r="F1678">
        <v>0.14404145077720101</v>
      </c>
      <c r="G1678">
        <v>5.8485139022051012E-2</v>
      </c>
      <c r="H1678">
        <v>-0.11467522052927</v>
      </c>
      <c r="I1678">
        <v>-0.18282753515914099</v>
      </c>
    </row>
    <row r="1679" spans="1:9" x14ac:dyDescent="0.35">
      <c r="A1679" s="1" t="s">
        <v>1691</v>
      </c>
      <c r="B1679" t="str">
        <f>HYPERLINK("https://www.suredividend.com/sure-analysis-research-database/","Vera Therapeutics Inc")</f>
        <v>Vera Therapeutics Inc</v>
      </c>
      <c r="C1679">
        <v>-0.37741369221767102</v>
      </c>
      <c r="D1679">
        <v>-0.37190082644628097</v>
      </c>
      <c r="E1679">
        <v>0.69696969696969702</v>
      </c>
      <c r="F1679">
        <v>-0.45012919896640802</v>
      </c>
      <c r="G1679">
        <v>-0.44525547445255398</v>
      </c>
      <c r="H1679">
        <v>-0.291139240506329</v>
      </c>
      <c r="I1679">
        <v>-7.4782608695652009E-2</v>
      </c>
    </row>
    <row r="1680" spans="1:9" x14ac:dyDescent="0.35">
      <c r="A1680" s="1" t="s">
        <v>1692</v>
      </c>
      <c r="B1680" t="str">
        <f>HYPERLINK("https://www.suredividend.com/sure-analysis-research-database/","Veritone Inc")</f>
        <v>Veritone Inc</v>
      </c>
      <c r="C1680">
        <v>-7.1713147410358002E-2</v>
      </c>
      <c r="D1680">
        <v>-0.42892156862745101</v>
      </c>
      <c r="E1680">
        <v>-0.57247706422018307</v>
      </c>
      <c r="F1680">
        <v>-0.56037735849056602</v>
      </c>
      <c r="G1680">
        <v>-0.6084033613445371</v>
      </c>
      <c r="H1680">
        <v>-0.90152155536770906</v>
      </c>
      <c r="I1680">
        <v>-0.72062350119904006</v>
      </c>
    </row>
    <row r="1681" spans="1:9" x14ac:dyDescent="0.35">
      <c r="A1681" s="1" t="s">
        <v>1693</v>
      </c>
      <c r="B1681" t="str">
        <f>HYPERLINK("https://www.suredividend.com/sure-analysis-research-database/","Veru Inc")</f>
        <v>Veru Inc</v>
      </c>
      <c r="C1681">
        <v>-0.14991499149915</v>
      </c>
      <c r="D1681">
        <v>-0.30327868852459</v>
      </c>
      <c r="E1681">
        <v>-0.15</v>
      </c>
      <c r="F1681">
        <v>-0.83901515151515105</v>
      </c>
      <c r="G1681">
        <v>-0.9217311233885821</v>
      </c>
      <c r="H1681">
        <v>-0.90104772991851001</v>
      </c>
      <c r="I1681">
        <v>-0.40972222222222199</v>
      </c>
    </row>
    <row r="1682" spans="1:9" x14ac:dyDescent="0.35">
      <c r="A1682" s="1" t="s">
        <v>1694</v>
      </c>
      <c r="B1682" t="str">
        <f>HYPERLINK("https://www.suredividend.com/sure-analysis-research-database/","Verve Therapeutics Inc")</f>
        <v>Verve Therapeutics Inc</v>
      </c>
      <c r="C1682">
        <v>-7.728706624605601E-2</v>
      </c>
      <c r="D1682">
        <v>-0.41323971915747199</v>
      </c>
      <c r="E1682">
        <v>-0.222591362126246</v>
      </c>
      <c r="F1682">
        <v>-0.39534883720930197</v>
      </c>
      <c r="G1682">
        <v>-0.61714659685863804</v>
      </c>
      <c r="H1682">
        <v>-0.73366719781470502</v>
      </c>
      <c r="I1682">
        <v>-0.63345864661654105</v>
      </c>
    </row>
    <row r="1683" spans="1:9" x14ac:dyDescent="0.35">
      <c r="A1683" s="1" t="s">
        <v>1695</v>
      </c>
      <c r="B1683" t="str">
        <f>HYPERLINK("https://www.suredividend.com/sure-analysis-VGR/","Vector Group Ltd")</f>
        <v>Vector Group Ltd</v>
      </c>
      <c r="C1683">
        <v>3.6968576709789998E-3</v>
      </c>
      <c r="D1683">
        <v>-0.160891031733154</v>
      </c>
      <c r="E1683">
        <v>-0.11686495189922801</v>
      </c>
      <c r="F1683">
        <v>-3.6755836230752001E-2</v>
      </c>
      <c r="G1683">
        <v>0.25116648809317998</v>
      </c>
      <c r="H1683">
        <v>-8.6742631291258004E-2</v>
      </c>
      <c r="I1683">
        <v>0.309538164717231</v>
      </c>
    </row>
    <row r="1684" spans="1:9" x14ac:dyDescent="0.35">
      <c r="A1684" s="1" t="s">
        <v>1696</v>
      </c>
      <c r="B1684" t="str">
        <f>HYPERLINK("https://www.suredividend.com/sure-analysis-research-database/","Valhi, Inc.")</f>
        <v>Valhi, Inc.</v>
      </c>
      <c r="C1684">
        <v>1.562499999999E-3</v>
      </c>
      <c r="D1684">
        <v>-9.7392859405912011E-2</v>
      </c>
      <c r="E1684">
        <v>-0.23105990175320701</v>
      </c>
      <c r="F1684">
        <v>-0.40783578297781897</v>
      </c>
      <c r="G1684">
        <v>-0.48302073965940612</v>
      </c>
      <c r="H1684">
        <v>-0.45539275867781898</v>
      </c>
      <c r="I1684">
        <v>-0.43573943661971798</v>
      </c>
    </row>
    <row r="1685" spans="1:9" x14ac:dyDescent="0.35">
      <c r="A1685" s="1" t="s">
        <v>1697</v>
      </c>
      <c r="B1685" t="str">
        <f>HYPERLINK("https://www.suredividend.com/sure-analysis-research-database/","Via Renewables Inc")</f>
        <v>Via Renewables Inc</v>
      </c>
      <c r="C1685">
        <v>-0.26234213547646301</v>
      </c>
      <c r="D1685">
        <v>-3.0920060331825001E-2</v>
      </c>
      <c r="E1685">
        <v>-0.61201690821256005</v>
      </c>
      <c r="F1685">
        <v>-0.74180818658929604</v>
      </c>
      <c r="G1685">
        <v>-0.75065876536310605</v>
      </c>
      <c r="H1685">
        <v>-0.86429831138521307</v>
      </c>
      <c r="I1685">
        <v>-0.142407133037013</v>
      </c>
    </row>
    <row r="1686" spans="1:9" x14ac:dyDescent="0.35">
      <c r="A1686" s="1" t="s">
        <v>1698</v>
      </c>
      <c r="B1686" t="str">
        <f>HYPERLINK("https://www.suredividend.com/sure-analysis-research-database/","Viavi Solutions Inc")</f>
        <v>Viavi Solutions Inc</v>
      </c>
      <c r="C1686">
        <v>-0.198984771573604</v>
      </c>
      <c r="D1686">
        <v>-0.28982898289828901</v>
      </c>
      <c r="E1686">
        <v>-0.2294921875</v>
      </c>
      <c r="F1686">
        <v>-0.24928639391056101</v>
      </c>
      <c r="G1686">
        <v>-0.40987284966342502</v>
      </c>
      <c r="H1686">
        <v>-0.49096774193548298</v>
      </c>
      <c r="I1686">
        <v>-0.33248730964466999</v>
      </c>
    </row>
    <row r="1687" spans="1:9" x14ac:dyDescent="0.35">
      <c r="A1687" s="1" t="s">
        <v>1699</v>
      </c>
      <c r="B1687" t="str">
        <f>HYPERLINK("https://www.suredividend.com/sure-analysis-research-database/","Vicor Corp.")</f>
        <v>Vicor Corp.</v>
      </c>
      <c r="C1687">
        <v>-8.743169398907101E-2</v>
      </c>
      <c r="D1687">
        <v>-8.3833361906394011E-2</v>
      </c>
      <c r="E1687">
        <v>0.20468890892696101</v>
      </c>
      <c r="F1687">
        <v>-5.7674418604650004E-3</v>
      </c>
      <c r="G1687">
        <v>0.12861668426610301</v>
      </c>
      <c r="H1687">
        <v>-0.63943053775048908</v>
      </c>
      <c r="I1687">
        <v>0.44784611216472497</v>
      </c>
    </row>
    <row r="1688" spans="1:9" x14ac:dyDescent="0.35">
      <c r="A1688" s="1" t="s">
        <v>1700</v>
      </c>
      <c r="B1688" t="str">
        <f>HYPERLINK("https://www.suredividend.com/sure-analysis-research-database/","View Inc.")</f>
        <v>View Inc.</v>
      </c>
      <c r="C1688">
        <v>-0.55302166476624803</v>
      </c>
      <c r="D1688">
        <v>-0.58333333333333304</v>
      </c>
      <c r="E1688">
        <v>-0.82526522243023903</v>
      </c>
      <c r="F1688">
        <v>-0.93229004732787513</v>
      </c>
      <c r="G1688">
        <v>-0.93420610943269511</v>
      </c>
      <c r="H1688">
        <v>-0.98731391585760508</v>
      </c>
      <c r="I1688">
        <v>-0.59587628865979303</v>
      </c>
    </row>
    <row r="1689" spans="1:9" x14ac:dyDescent="0.35">
      <c r="A1689" s="1" t="s">
        <v>1701</v>
      </c>
      <c r="B1689" t="str">
        <f>HYPERLINK("https://www.suredividend.com/sure-analysis-research-database/","Vir Biotechnology Inc")</f>
        <v>Vir Biotechnology Inc</v>
      </c>
      <c r="C1689">
        <v>-0.14765784114052899</v>
      </c>
      <c r="D1689">
        <v>-0.63750541359896007</v>
      </c>
      <c r="E1689">
        <v>-0.65906313645621106</v>
      </c>
      <c r="F1689">
        <v>-0.66930067167127605</v>
      </c>
      <c r="G1689">
        <v>-0.59506531204644408</v>
      </c>
      <c r="H1689">
        <v>-0.78587874136607805</v>
      </c>
      <c r="I1689">
        <v>-0.40299572039942899</v>
      </c>
    </row>
    <row r="1690" spans="1:9" x14ac:dyDescent="0.35">
      <c r="A1690" s="1" t="s">
        <v>1702</v>
      </c>
      <c r="B1690" t="str">
        <f>HYPERLINK("https://www.suredividend.com/sure-analysis-research-database/","Vital Farms Inc")</f>
        <v>Vital Farms Inc</v>
      </c>
      <c r="C1690">
        <v>-5.5452865064690004E-3</v>
      </c>
      <c r="D1690">
        <v>4.8732943469785003E-2</v>
      </c>
      <c r="E1690">
        <v>-0.20118782479584199</v>
      </c>
      <c r="F1690">
        <v>-0.27882037533512</v>
      </c>
      <c r="G1690">
        <v>-0.11294311624072501</v>
      </c>
      <c r="H1690">
        <v>-0.39888268156424511</v>
      </c>
      <c r="I1690">
        <v>-0.69483834373227404</v>
      </c>
    </row>
    <row r="1691" spans="1:9" x14ac:dyDescent="0.35">
      <c r="A1691" s="1" t="s">
        <v>1703</v>
      </c>
      <c r="B1691" t="str">
        <f>HYPERLINK("https://www.suredividend.com/sure-analysis-research-database/","Velo3D Inc")</f>
        <v>Velo3D Inc</v>
      </c>
      <c r="C1691">
        <v>-0.11464968152866201</v>
      </c>
      <c r="D1691">
        <v>-0.36529680365296802</v>
      </c>
      <c r="E1691">
        <v>-0.37104072398190002</v>
      </c>
      <c r="F1691">
        <v>-0.223463687150838</v>
      </c>
      <c r="G1691">
        <v>-0.59826589595375701</v>
      </c>
      <c r="H1691">
        <v>-0.82337992376111802</v>
      </c>
      <c r="I1691">
        <v>-0.82405063291139202</v>
      </c>
    </row>
    <row r="1692" spans="1:9" x14ac:dyDescent="0.35">
      <c r="A1692" s="1" t="s">
        <v>1704</v>
      </c>
      <c r="B1692" t="str">
        <f>HYPERLINK("https://www.suredividend.com/sure-analysis-research-database/","Village Super Market, Inc.")</f>
        <v>Village Super Market, Inc.</v>
      </c>
      <c r="C1692">
        <v>8.2315694255992E-2</v>
      </c>
      <c r="D1692">
        <v>6.1649305247466007E-2</v>
      </c>
      <c r="E1692">
        <v>0.15279744871906001</v>
      </c>
      <c r="F1692">
        <v>9.7731599348608006E-2</v>
      </c>
      <c r="G1692">
        <v>0.26128595297453699</v>
      </c>
      <c r="H1692">
        <v>0.19067166221346499</v>
      </c>
      <c r="I1692">
        <v>0.22077511312448</v>
      </c>
    </row>
    <row r="1693" spans="1:9" x14ac:dyDescent="0.35">
      <c r="A1693" s="1" t="s">
        <v>1705</v>
      </c>
      <c r="B1693" t="str">
        <f>HYPERLINK("https://www.suredividend.com/sure-analysis-research-database/","Valley National Bancorp")</f>
        <v>Valley National Bancorp</v>
      </c>
      <c r="C1693">
        <v>-0.100775193798449</v>
      </c>
      <c r="D1693">
        <v>1.3315363208665E-2</v>
      </c>
      <c r="E1693">
        <v>1.0289525089270999E-2</v>
      </c>
      <c r="F1693">
        <v>-0.23688513805612399</v>
      </c>
      <c r="G1693">
        <v>-0.23164269492808401</v>
      </c>
      <c r="H1693">
        <v>-0.33675844775339098</v>
      </c>
      <c r="I1693">
        <v>-3.2803678204731013E-2</v>
      </c>
    </row>
    <row r="1694" spans="1:9" x14ac:dyDescent="0.35">
      <c r="A1694" s="1" t="s">
        <v>1706</v>
      </c>
      <c r="B1694" t="str">
        <f>HYPERLINK("https://www.suredividend.com/sure-analysis-research-database/","Vimeo Inc")</f>
        <v>Vimeo Inc</v>
      </c>
      <c r="C1694">
        <v>-0.115281501340482</v>
      </c>
      <c r="D1694">
        <v>-0.214285714285714</v>
      </c>
      <c r="E1694">
        <v>-4.8991354466857998E-2</v>
      </c>
      <c r="F1694">
        <v>-3.7900874635568002E-2</v>
      </c>
      <c r="G1694">
        <v>-0.110512129380053</v>
      </c>
      <c r="H1694">
        <v>-0.90122717749176906</v>
      </c>
      <c r="I1694">
        <v>-0.92729676140118911</v>
      </c>
    </row>
    <row r="1695" spans="1:9" x14ac:dyDescent="0.35">
      <c r="A1695" s="1" t="s">
        <v>1707</v>
      </c>
      <c r="B1695" t="str">
        <f>HYPERLINK("https://www.suredividend.com/sure-analysis-research-database/","Vanda Pharmaceuticals Inc")</f>
        <v>Vanda Pharmaceuticals Inc</v>
      </c>
      <c r="C1695">
        <v>-9.574468085106301E-2</v>
      </c>
      <c r="D1695">
        <v>-0.29519071310116002</v>
      </c>
      <c r="E1695">
        <v>-0.34210526315789402</v>
      </c>
      <c r="F1695">
        <v>-0.42489851150202901</v>
      </c>
      <c r="G1695">
        <v>-0.56676860346585101</v>
      </c>
      <c r="H1695">
        <v>-0.76914720260727809</v>
      </c>
      <c r="I1695">
        <v>-0.80084348641049607</v>
      </c>
    </row>
    <row r="1696" spans="1:9" x14ac:dyDescent="0.35">
      <c r="A1696" s="1" t="s">
        <v>1708</v>
      </c>
      <c r="B1696" t="str">
        <f>HYPERLINK("https://www.suredividend.com/sure-analysis-research-database/","Vishay Precision Group Inc")</f>
        <v>Vishay Precision Group Inc</v>
      </c>
      <c r="C1696">
        <v>-7.8332840673957002E-2</v>
      </c>
      <c r="D1696">
        <v>-0.14762165117550499</v>
      </c>
      <c r="E1696">
        <v>-0.24191587648918</v>
      </c>
      <c r="F1696">
        <v>-0.193272962483829</v>
      </c>
      <c r="G1696">
        <v>-5.4226475279099996E-3</v>
      </c>
      <c r="H1696">
        <v>-0.10888825378679599</v>
      </c>
      <c r="I1696">
        <v>-0.126365928831605</v>
      </c>
    </row>
    <row r="1697" spans="1:9" x14ac:dyDescent="0.35">
      <c r="A1697" s="1" t="s">
        <v>1709</v>
      </c>
      <c r="B1697" t="str">
        <f>HYPERLINK("https://www.suredividend.com/sure-analysis-research-database/","ViewRay Inc.")</f>
        <v>ViewRay Inc.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</row>
    <row r="1698" spans="1:9" x14ac:dyDescent="0.35">
      <c r="A1698" s="1" t="s">
        <v>1710</v>
      </c>
      <c r="B1698" t="str">
        <f>HYPERLINK("https://www.suredividend.com/sure-analysis-research-database/","Viridian Therapeutics Inc")</f>
        <v>Viridian Therapeutics Inc</v>
      </c>
      <c r="C1698">
        <v>-0.29606389047347398</v>
      </c>
      <c r="D1698">
        <v>-0.44464446444644401</v>
      </c>
      <c r="E1698">
        <v>-0.51031746031746006</v>
      </c>
      <c r="F1698">
        <v>-0.57754193769257101</v>
      </c>
      <c r="G1698">
        <v>-0.41154029566046701</v>
      </c>
      <c r="H1698">
        <v>-0.27709431751611002</v>
      </c>
      <c r="I1698">
        <v>-0.82193362193362207</v>
      </c>
    </row>
    <row r="1699" spans="1:9" x14ac:dyDescent="0.35">
      <c r="A1699" s="1" t="s">
        <v>1711</v>
      </c>
      <c r="B1699" t="str">
        <f>HYPERLINK("https://www.suredividend.com/sure-analysis-research-database/","Veris Residential Inc")</f>
        <v>Veris Residential Inc</v>
      </c>
      <c r="C1699">
        <v>-0.103182311279228</v>
      </c>
      <c r="D1699">
        <v>-4.9922682118209001E-2</v>
      </c>
      <c r="E1699">
        <v>2.3775715962212E-2</v>
      </c>
      <c r="F1699">
        <v>-5.7927213197330003E-3</v>
      </c>
      <c r="G1699">
        <v>0.31325060713929198</v>
      </c>
      <c r="H1699">
        <v>-0.13997821350762499</v>
      </c>
      <c r="I1699">
        <v>-0.147840728787764</v>
      </c>
    </row>
    <row r="1700" spans="1:9" x14ac:dyDescent="0.35">
      <c r="A1700" s="1" t="s">
        <v>1712</v>
      </c>
      <c r="B1700" t="str">
        <f>HYPERLINK("https://www.suredividend.com/sure-analysis-research-database/","Varex Imaging Corp")</f>
        <v>Varex Imaging Corp</v>
      </c>
      <c r="C1700">
        <v>-1.1671087533156E-2</v>
      </c>
      <c r="D1700">
        <v>-0.19035202086049499</v>
      </c>
      <c r="E1700">
        <v>4.7806524184476007E-2</v>
      </c>
      <c r="F1700">
        <v>-8.2266009852216007E-2</v>
      </c>
      <c r="G1700">
        <v>-6.6165413533834011E-2</v>
      </c>
      <c r="H1700">
        <v>-0.29988726042841002</v>
      </c>
      <c r="I1700">
        <v>-0.27112676056337998</v>
      </c>
    </row>
    <row r="1701" spans="1:9" x14ac:dyDescent="0.35">
      <c r="A1701" s="1" t="s">
        <v>1713</v>
      </c>
      <c r="B1701" t="str">
        <f>HYPERLINK("https://www.suredividend.com/sure-analysis-research-database/","Varonis Systems Inc")</f>
        <v>Varonis Systems Inc</v>
      </c>
      <c r="C1701">
        <v>-8.7520259319280001E-3</v>
      </c>
      <c r="D1701">
        <v>0.16185410334346501</v>
      </c>
      <c r="E1701">
        <v>0.22565130260520999</v>
      </c>
      <c r="F1701">
        <v>0.27736006683374997</v>
      </c>
      <c r="G1701">
        <v>0.25276526013928702</v>
      </c>
      <c r="H1701">
        <v>-0.51243622448979609</v>
      </c>
      <c r="I1701">
        <v>0.50024775183606207</v>
      </c>
    </row>
    <row r="1702" spans="1:9" x14ac:dyDescent="0.35">
      <c r="A1702" s="1" t="s">
        <v>1714</v>
      </c>
      <c r="B1702" t="str">
        <f>HYPERLINK("https://www.suredividend.com/sure-analysis-research-database/","Verint Systems, Inc.")</f>
        <v>Verint Systems, Inc.</v>
      </c>
      <c r="C1702">
        <v>-0.12944162436548201</v>
      </c>
      <c r="D1702">
        <v>-0.46600934094447299</v>
      </c>
      <c r="E1702">
        <v>-0.46026750590086501</v>
      </c>
      <c r="F1702">
        <v>-0.43274531422271201</v>
      </c>
      <c r="G1702">
        <v>-0.389498665084544</v>
      </c>
      <c r="H1702">
        <v>-0.55760963026655208</v>
      </c>
      <c r="I1702">
        <v>-0.18932652651233101</v>
      </c>
    </row>
    <row r="1703" spans="1:9" x14ac:dyDescent="0.35">
      <c r="A1703" s="1" t="s">
        <v>1715</v>
      </c>
      <c r="B1703" t="str">
        <f>HYPERLINK("https://www.suredividend.com/sure-analysis-research-database/","Verra Mobility Corp")</f>
        <v>Verra Mobility Corp</v>
      </c>
      <c r="C1703">
        <v>4.7948854555141002E-2</v>
      </c>
      <c r="D1703">
        <v>-3.9550781249999001E-2</v>
      </c>
      <c r="E1703">
        <v>0.17925659472422001</v>
      </c>
      <c r="F1703">
        <v>0.42227042660882103</v>
      </c>
      <c r="G1703">
        <v>0.23477715003138699</v>
      </c>
      <c r="H1703">
        <v>0.31396125584502299</v>
      </c>
      <c r="I1703">
        <v>0.90785645004849602</v>
      </c>
    </row>
    <row r="1704" spans="1:9" x14ac:dyDescent="0.35">
      <c r="A1704" s="1" t="s">
        <v>1716</v>
      </c>
      <c r="B1704" t="str">
        <f>HYPERLINK("https://www.suredividend.com/sure-analysis-research-database/","Virtus Investment Partners Inc")</f>
        <v>Virtus Investment Partners Inc</v>
      </c>
      <c r="C1704">
        <v>-0.12145102781136601</v>
      </c>
      <c r="D1704">
        <v>-0.107184549436387</v>
      </c>
      <c r="E1704">
        <v>1.0867212095679001E-2</v>
      </c>
      <c r="F1704">
        <v>-1.9870765827139002E-2</v>
      </c>
      <c r="G1704">
        <v>0.28017005033568798</v>
      </c>
      <c r="H1704">
        <v>-0.39498830213013097</v>
      </c>
      <c r="I1704">
        <v>0.85455941451301909</v>
      </c>
    </row>
    <row r="1705" spans="1:9" x14ac:dyDescent="0.35">
      <c r="A1705" s="1" t="s">
        <v>1717</v>
      </c>
      <c r="B1705" t="str">
        <f>HYPERLINK("https://www.suredividend.com/sure-analysis-research-database/","Veritiv Corp")</f>
        <v>Veritiv Corp</v>
      </c>
      <c r="C1705">
        <v>3.326403326403E-3</v>
      </c>
      <c r="D1705">
        <v>0.31297066706465398</v>
      </c>
      <c r="E1705">
        <v>0.38091103666024001</v>
      </c>
      <c r="F1705">
        <v>0.40827338729310703</v>
      </c>
      <c r="G1705">
        <v>0.75812211615825709</v>
      </c>
      <c r="H1705">
        <v>0.77168534046021209</v>
      </c>
      <c r="I1705">
        <v>4.301432463309605</v>
      </c>
    </row>
    <row r="1706" spans="1:9" x14ac:dyDescent="0.35">
      <c r="A1706" s="1" t="s">
        <v>1718</v>
      </c>
      <c r="B1706" t="str">
        <f>HYPERLINK("https://www.suredividend.com/sure-analysis-research-database/","VSE Corp.")</f>
        <v>VSE Corp.</v>
      </c>
      <c r="C1706">
        <v>-7.5202202718981009E-2</v>
      </c>
      <c r="D1706">
        <v>-7.4377091855700004E-4</v>
      </c>
      <c r="E1706">
        <v>0.24160174480394001</v>
      </c>
      <c r="F1706">
        <v>0.15565170455400701</v>
      </c>
      <c r="G1706">
        <v>0.33630732581877998</v>
      </c>
      <c r="H1706">
        <v>0.14061581368102199</v>
      </c>
      <c r="I1706">
        <v>0.88391520628766307</v>
      </c>
    </row>
    <row r="1707" spans="1:9" x14ac:dyDescent="0.35">
      <c r="A1707" s="1" t="s">
        <v>1719</v>
      </c>
      <c r="B1707" t="str">
        <f>HYPERLINK("https://www.suredividend.com/sure-analysis-research-database/","Vishay Intertechnology, Inc.")</f>
        <v>Vishay Intertechnology, Inc.</v>
      </c>
      <c r="C1707">
        <v>-5.3199999999999012E-2</v>
      </c>
      <c r="D1707">
        <v>-0.191007088514146</v>
      </c>
      <c r="E1707">
        <v>0.101934787061693</v>
      </c>
      <c r="F1707">
        <v>0.110735704029056</v>
      </c>
      <c r="G1707">
        <v>0.30875433348630699</v>
      </c>
      <c r="H1707">
        <v>0.26472709786006199</v>
      </c>
      <c r="I1707">
        <v>0.42533691423891701</v>
      </c>
    </row>
    <row r="1708" spans="1:9" x14ac:dyDescent="0.35">
      <c r="A1708" s="1" t="s">
        <v>1720</v>
      </c>
      <c r="B1708" t="str">
        <f>HYPERLINK("https://www.suredividend.com/sure-analysis-research-database/","Vista Outdoor Inc")</f>
        <v>Vista Outdoor Inc</v>
      </c>
      <c r="C1708">
        <v>0.111864406779661</v>
      </c>
      <c r="D1708">
        <v>0.11148763131141901</v>
      </c>
      <c r="E1708">
        <v>0.24054462934946999</v>
      </c>
      <c r="F1708">
        <v>0.34591711120229701</v>
      </c>
      <c r="G1708">
        <v>0.271810779371849</v>
      </c>
      <c r="H1708">
        <v>-0.205811138014527</v>
      </c>
      <c r="I1708">
        <v>1.117495158166558</v>
      </c>
    </row>
    <row r="1709" spans="1:9" x14ac:dyDescent="0.35">
      <c r="A1709" s="1" t="s">
        <v>1721</v>
      </c>
      <c r="B1709" t="str">
        <f>HYPERLINK("https://www.suredividend.com/sure-analysis-research-database/","VistaGen Therapeutics Inc")</f>
        <v>VistaGen Therapeutics Inc</v>
      </c>
      <c r="C1709">
        <v>-0.42184873949579799</v>
      </c>
      <c r="D1709">
        <v>0.94350282485875603</v>
      </c>
      <c r="E1709">
        <v>-0.17208182912153999</v>
      </c>
      <c r="F1709">
        <v>0.113268608414239</v>
      </c>
      <c r="G1709">
        <v>2.7479091995221E-2</v>
      </c>
      <c r="H1709">
        <v>-0.95202231520223113</v>
      </c>
      <c r="I1709">
        <v>-0.94460547504025705</v>
      </c>
    </row>
    <row r="1710" spans="1:9" x14ac:dyDescent="0.35">
      <c r="A1710" s="1" t="s">
        <v>1722</v>
      </c>
      <c r="B1710" t="str">
        <f>HYPERLINK("https://www.suredividend.com/sure-analysis-research-database/","Vital Energy Inc.")</f>
        <v>Vital Energy Inc.</v>
      </c>
      <c r="C1710">
        <v>3.3923578751164002E-2</v>
      </c>
      <c r="D1710">
        <v>0.19470170148610799</v>
      </c>
      <c r="E1710">
        <v>5.6571428571428002E-2</v>
      </c>
      <c r="F1710">
        <v>7.8763127187864004E-2</v>
      </c>
      <c r="G1710">
        <v>-0.132060710373963</v>
      </c>
      <c r="H1710">
        <v>-0.25553616964165798</v>
      </c>
      <c r="I1710">
        <v>-0.5778538812785381</v>
      </c>
    </row>
    <row r="1711" spans="1:9" x14ac:dyDescent="0.35">
      <c r="A1711" s="1" t="s">
        <v>1723</v>
      </c>
      <c r="B1711" t="str">
        <f>HYPERLINK("https://www.suredividend.com/sure-analysis-research-database/","Vertex Energy Inc")</f>
        <v>Vertex Energy Inc</v>
      </c>
      <c r="C1711">
        <v>-8.9320388349514002E-2</v>
      </c>
      <c r="D1711">
        <v>-0.24839743589743499</v>
      </c>
      <c r="E1711">
        <v>-0.45717592592592499</v>
      </c>
      <c r="F1711">
        <v>-0.24354838709677401</v>
      </c>
      <c r="G1711">
        <v>-0.33475177304964499</v>
      </c>
      <c r="H1711">
        <v>-5.0607287449391997E-2</v>
      </c>
      <c r="I1711">
        <v>1.7588235294117649</v>
      </c>
    </row>
    <row r="1712" spans="1:9" x14ac:dyDescent="0.35">
      <c r="A1712" s="1" t="s">
        <v>1724</v>
      </c>
      <c r="B1712" t="str">
        <f>HYPERLINK("https://www.suredividend.com/sure-analysis-research-database/","Bristow Group Inc.")</f>
        <v>Bristow Group Inc.</v>
      </c>
      <c r="C1712">
        <v>-3.3982300884955012E-2</v>
      </c>
      <c r="D1712">
        <v>-8.145405587344301E-2</v>
      </c>
      <c r="E1712">
        <v>0.18858885017421501</v>
      </c>
      <c r="F1712">
        <v>5.8975304091410004E-3</v>
      </c>
      <c r="G1712">
        <v>0.122121710526315</v>
      </c>
      <c r="H1712">
        <v>-0.221175799086758</v>
      </c>
      <c r="I1712">
        <v>1.3813263525305399</v>
      </c>
    </row>
    <row r="1713" spans="1:9" x14ac:dyDescent="0.35">
      <c r="A1713" s="1" t="s">
        <v>1725</v>
      </c>
      <c r="B1713" t="str">
        <f>HYPERLINK("https://www.suredividend.com/sure-analysis-research-database/","Ventyx Biosciences Inc")</f>
        <v>Ventyx Biosciences Inc</v>
      </c>
      <c r="C1713">
        <v>-0.49313186813186799</v>
      </c>
      <c r="D1713">
        <v>-0.48521205357142799</v>
      </c>
      <c r="E1713">
        <v>-0.38190954773869301</v>
      </c>
      <c r="F1713">
        <v>-0.43732845379688912</v>
      </c>
      <c r="G1713">
        <v>-0.36225371586588301</v>
      </c>
      <c r="H1713">
        <v>-0.12226450999048501</v>
      </c>
      <c r="I1713">
        <v>-0.12226450999048501</v>
      </c>
    </row>
    <row r="1714" spans="1:9" x14ac:dyDescent="0.35">
      <c r="A1714" s="1" t="s">
        <v>1726</v>
      </c>
      <c r="B1714" t="str">
        <f>HYPERLINK("https://www.suredividend.com/sure-analysis-research-database/","Vuzix Corporation")</f>
        <v>Vuzix Corporation</v>
      </c>
      <c r="C1714">
        <v>-0.122222222222222</v>
      </c>
      <c r="D1714">
        <v>-0.42335766423357601</v>
      </c>
      <c r="E1714">
        <v>-0.24401913875598</v>
      </c>
      <c r="F1714">
        <v>-0.13186813186813101</v>
      </c>
      <c r="G1714">
        <v>-0.34575569358177999</v>
      </c>
      <c r="H1714">
        <v>-0.68145161290322509</v>
      </c>
      <c r="I1714">
        <v>-0.46440677966101601</v>
      </c>
    </row>
    <row r="1715" spans="1:9" x14ac:dyDescent="0.35">
      <c r="A1715" s="1" t="s">
        <v>1727</v>
      </c>
      <c r="B1715" t="str">
        <f>HYPERLINK("https://www.suredividend.com/sure-analysis-research-database/","Viad Corp.")</f>
        <v>Viad Corp.</v>
      </c>
      <c r="C1715">
        <v>-9.8646723646723014E-2</v>
      </c>
      <c r="D1715">
        <v>-7.4250182882223001E-2</v>
      </c>
      <c r="E1715">
        <v>0.33140452393476999</v>
      </c>
      <c r="F1715">
        <v>3.7720377203771013E-2</v>
      </c>
      <c r="G1715">
        <v>-0.242442382520203</v>
      </c>
      <c r="H1715">
        <v>-0.45907245137849911</v>
      </c>
      <c r="I1715">
        <v>-0.52124691439758608</v>
      </c>
    </row>
    <row r="1716" spans="1:9" x14ac:dyDescent="0.35">
      <c r="A1716" s="1" t="s">
        <v>1728</v>
      </c>
      <c r="B1716" t="str">
        <f>HYPERLINK("https://www.suredividend.com/sure-analysis-research-database/","V2X Inc")</f>
        <v>V2X Inc</v>
      </c>
      <c r="C1716">
        <v>9.2018196856906001E-2</v>
      </c>
      <c r="D1716">
        <v>7.2502030869211004E-2</v>
      </c>
      <c r="E1716">
        <v>0.256184586108468</v>
      </c>
      <c r="F1716">
        <v>0.27900217970452901</v>
      </c>
      <c r="G1716">
        <v>0.45442026989809903</v>
      </c>
      <c r="H1716">
        <v>6.2148028962187997E-2</v>
      </c>
      <c r="I1716">
        <v>0.79503738953093106</v>
      </c>
    </row>
    <row r="1717" spans="1:9" x14ac:dyDescent="0.35">
      <c r="A1717" s="1" t="s">
        <v>1729</v>
      </c>
      <c r="B1717" t="str">
        <f>HYPERLINK("https://www.suredividend.com/sure-analysis-research-database/","Vintage Wine Estates Inc")</f>
        <v>Vintage Wine Estates Inc</v>
      </c>
      <c r="C1717">
        <v>6.4946752662366006E-2</v>
      </c>
      <c r="D1717">
        <v>-0.236559139784946</v>
      </c>
      <c r="E1717">
        <v>-0.44094488188976311</v>
      </c>
      <c r="F1717">
        <v>-0.78220858895705503</v>
      </c>
      <c r="G1717">
        <v>-0.7436823104693141</v>
      </c>
      <c r="H1717">
        <v>-0.92885771543086104</v>
      </c>
      <c r="I1717">
        <v>-0.94365079365079307</v>
      </c>
    </row>
    <row r="1718" spans="1:9" x14ac:dyDescent="0.35">
      <c r="A1718" s="1" t="s">
        <v>1730</v>
      </c>
      <c r="B1718" t="str">
        <f>HYPERLINK("https://www.suredividend.com/sure-analysis-research-database/","Vaxart Inc")</f>
        <v>Vaxart Inc</v>
      </c>
      <c r="C1718">
        <v>-6.1662198391420002E-2</v>
      </c>
      <c r="D1718">
        <v>-0.13636363636363599</v>
      </c>
      <c r="E1718">
        <v>1.2176560121765E-2</v>
      </c>
      <c r="F1718">
        <v>-0.30794047247372203</v>
      </c>
      <c r="G1718">
        <v>-0.6088235294117641</v>
      </c>
      <c r="H1718">
        <v>-0.90417867435158505</v>
      </c>
      <c r="I1718">
        <v>-0.82124136447944907</v>
      </c>
    </row>
    <row r="1719" spans="1:9" x14ac:dyDescent="0.35">
      <c r="A1719" s="1" t="s">
        <v>1731</v>
      </c>
      <c r="B1719" t="str">
        <f>HYPERLINK("https://www.suredividend.com/sure-analysis-research-database/","VIZIO Holding Corp")</f>
        <v>VIZIO Holding Corp</v>
      </c>
      <c r="C1719">
        <v>-0.15656565656565599</v>
      </c>
      <c r="D1719">
        <v>-0.33466135458167301</v>
      </c>
      <c r="E1719">
        <v>-0.43896976483762601</v>
      </c>
      <c r="F1719">
        <v>-0.32388663967611298</v>
      </c>
      <c r="G1719">
        <v>-0.43068181818181811</v>
      </c>
      <c r="H1719">
        <v>-0.73865414710485111</v>
      </c>
      <c r="I1719">
        <v>-0.73769633507853405</v>
      </c>
    </row>
    <row r="1720" spans="1:9" x14ac:dyDescent="0.35">
      <c r="A1720" s="1" t="s">
        <v>1732</v>
      </c>
      <c r="B1720" t="str">
        <f>HYPERLINK("https://www.suredividend.com/sure-analysis-WABC/","Westamerica Bancorporation")</f>
        <v>Westamerica Bancorporation</v>
      </c>
      <c r="C1720">
        <v>-1.0723248916266999E-2</v>
      </c>
      <c r="D1720">
        <v>4.1614117522707002E-2</v>
      </c>
      <c r="E1720">
        <v>0.11707663928935701</v>
      </c>
      <c r="F1720">
        <v>-0.22905413334376401</v>
      </c>
      <c r="G1720">
        <v>-0.158345885677904</v>
      </c>
      <c r="H1720">
        <v>-0.13884701625187901</v>
      </c>
      <c r="I1720">
        <v>-0.107124471296605</v>
      </c>
    </row>
    <row r="1721" spans="1:9" x14ac:dyDescent="0.35">
      <c r="A1721" s="1" t="s">
        <v>1733</v>
      </c>
      <c r="B1721" t="str">
        <f>HYPERLINK("https://www.suredividend.com/sure-analysis-WAFD/","WaFd Inc")</f>
        <v>WaFd Inc</v>
      </c>
      <c r="C1721">
        <v>-4.4006069802731002E-2</v>
      </c>
      <c r="D1721">
        <v>-4.1052102835746E-2</v>
      </c>
      <c r="E1721">
        <v>-9.7521407007101005E-2</v>
      </c>
      <c r="F1721">
        <v>-0.22221742109519099</v>
      </c>
      <c r="G1721">
        <v>-0.249738748314145</v>
      </c>
      <c r="H1721">
        <v>-0.25008258019206198</v>
      </c>
      <c r="I1721">
        <v>7.1378899661880008E-3</v>
      </c>
    </row>
    <row r="1722" spans="1:9" x14ac:dyDescent="0.35">
      <c r="A1722" s="1" t="s">
        <v>1734</v>
      </c>
      <c r="B1722" t="str">
        <f>HYPERLINK("https://www.suredividend.com/sure-analysis-WASH/","Washington Trust Bancorp, Inc.")</f>
        <v>Washington Trust Bancorp, Inc.</v>
      </c>
      <c r="C1722">
        <v>-3.9919906158708003E-2</v>
      </c>
      <c r="D1722">
        <v>-9.3819622717140009E-3</v>
      </c>
      <c r="E1722">
        <v>-0.144881098544967</v>
      </c>
      <c r="F1722">
        <v>-0.39911012183802103</v>
      </c>
      <c r="G1722">
        <v>-0.40301835776622003</v>
      </c>
      <c r="H1722">
        <v>-0.45282243555759899</v>
      </c>
      <c r="I1722">
        <v>-0.36829737708222199</v>
      </c>
    </row>
    <row r="1723" spans="1:9" x14ac:dyDescent="0.35">
      <c r="A1723" s="1" t="s">
        <v>1735</v>
      </c>
      <c r="B1723" t="str">
        <f>HYPERLINK("https://www.suredividend.com/sure-analysis-research-database/","Walker &amp; Dunlop Inc")</f>
        <v>Walker &amp; Dunlop Inc</v>
      </c>
      <c r="C1723">
        <v>-0.16792132102962501</v>
      </c>
      <c r="D1723">
        <v>-0.218590543953569</v>
      </c>
      <c r="E1723">
        <v>-2.4267310605628999E-2</v>
      </c>
      <c r="F1723">
        <v>-0.105761075226724</v>
      </c>
      <c r="G1723">
        <v>-0.169689611972559</v>
      </c>
      <c r="H1723">
        <v>-0.42990056327787601</v>
      </c>
      <c r="I1723">
        <v>0.6144459102902371</v>
      </c>
    </row>
    <row r="1724" spans="1:9" x14ac:dyDescent="0.35">
      <c r="A1724" s="1" t="s">
        <v>1736</v>
      </c>
      <c r="B1724" t="str">
        <f>HYPERLINK("https://www.suredividend.com/sure-analysis-WDFC/","WD-40 Co.")</f>
        <v>WD-40 Co.</v>
      </c>
      <c r="C1724">
        <v>-2.2220061263187998E-2</v>
      </c>
      <c r="D1724">
        <v>-0.104470965443534</v>
      </c>
      <c r="E1724">
        <v>0.12185861457434299</v>
      </c>
      <c r="F1724">
        <v>0.26892823204412902</v>
      </c>
      <c r="G1724">
        <v>0.215461198320233</v>
      </c>
      <c r="H1724">
        <v>-0.10769393236311101</v>
      </c>
      <c r="I1724">
        <v>0.41649744065467398</v>
      </c>
    </row>
    <row r="1725" spans="1:9" x14ac:dyDescent="0.35">
      <c r="A1725" s="1" t="s">
        <v>1737</v>
      </c>
      <c r="B1725" t="str">
        <f>HYPERLINK("https://www.suredividend.com/sure-analysis-research-database/","Weave Communications Inc")</f>
        <v>Weave Communications Inc</v>
      </c>
      <c r="C1725">
        <v>-0.23281596452328099</v>
      </c>
      <c r="D1725">
        <v>-0.36103416435826402</v>
      </c>
      <c r="E1725">
        <v>0.54120267260579002</v>
      </c>
      <c r="F1725">
        <v>0.510917030567685</v>
      </c>
      <c r="G1725">
        <v>0.17487266553480399</v>
      </c>
      <c r="H1725">
        <v>-0.63171899946780208</v>
      </c>
      <c r="I1725">
        <v>-0.63171899946780208</v>
      </c>
    </row>
    <row r="1726" spans="1:9" x14ac:dyDescent="0.35">
      <c r="A1726" s="1" t="s">
        <v>1738</v>
      </c>
      <c r="B1726" t="str">
        <f>HYPERLINK("https://www.suredividend.com/sure-analysis-research-database/","Werner Enterprises, Inc.")</f>
        <v>Werner Enterprises, Inc.</v>
      </c>
      <c r="C1726">
        <v>-3.061122143989E-2</v>
      </c>
      <c r="D1726">
        <v>-0.101099560315382</v>
      </c>
      <c r="E1726">
        <v>-0.167680334133502</v>
      </c>
      <c r="F1726">
        <v>-2.3971521983361999E-2</v>
      </c>
      <c r="G1726">
        <v>1.2349299787368999E-2</v>
      </c>
      <c r="H1726">
        <v>-9.5122179571201004E-2</v>
      </c>
      <c r="I1726">
        <v>0.41157741768232498</v>
      </c>
    </row>
    <row r="1727" spans="1:9" x14ac:dyDescent="0.35">
      <c r="A1727" s="1" t="s">
        <v>1739</v>
      </c>
      <c r="B1727" t="str">
        <f>HYPERLINK("https://www.suredividend.com/sure-analysis-WEYS/","Weyco Group, Inc")</f>
        <v>Weyco Group, Inc</v>
      </c>
      <c r="C1727">
        <v>-4.9285714285714002E-2</v>
      </c>
      <c r="D1727">
        <v>3.1702968762110997E-2</v>
      </c>
      <c r="E1727">
        <v>7.7048192039877006E-2</v>
      </c>
      <c r="F1727">
        <v>0.32124918104389599</v>
      </c>
      <c r="G1727">
        <v>0.30525386746426703</v>
      </c>
      <c r="H1727">
        <v>0.278344970658573</v>
      </c>
      <c r="I1727">
        <v>4.2796983645088001E-2</v>
      </c>
    </row>
    <row r="1728" spans="1:9" x14ac:dyDescent="0.35">
      <c r="A1728" s="1" t="s">
        <v>1740</v>
      </c>
      <c r="B1728" t="str">
        <f>HYPERLINK("https://www.suredividend.com/sure-analysis-research-database/","Weatherford International plc")</f>
        <v>Weatherford International plc</v>
      </c>
      <c r="C1728">
        <v>-1.1684417330161999E-2</v>
      </c>
      <c r="D1728">
        <v>0.260284810126582</v>
      </c>
      <c r="E1728">
        <v>0.46572611562643701</v>
      </c>
      <c r="F1728">
        <v>0.87706205813040006</v>
      </c>
      <c r="G1728">
        <v>1.9220421889330479</v>
      </c>
      <c r="H1728">
        <v>2.5757575757575761</v>
      </c>
      <c r="I1728">
        <v>6.4613583138173301</v>
      </c>
    </row>
    <row r="1729" spans="1:9" x14ac:dyDescent="0.35">
      <c r="A1729" s="1" t="s">
        <v>1741</v>
      </c>
      <c r="B1729" t="str">
        <f>HYPERLINK("https://www.suredividend.com/sure-analysis-WGO/","Winnebago Industries, Inc.")</f>
        <v>Winnebago Industries, Inc.</v>
      </c>
      <c r="C1729">
        <v>-5.5389221556885998E-2</v>
      </c>
      <c r="D1729">
        <v>-0.166319238515787</v>
      </c>
      <c r="E1729">
        <v>-2.1877292878770001E-2</v>
      </c>
      <c r="F1729">
        <v>9.7694628660673008E-2</v>
      </c>
      <c r="G1729">
        <v>3.5597643235791003E-2</v>
      </c>
      <c r="H1729">
        <v>-0.16211379258959799</v>
      </c>
      <c r="I1729">
        <v>0.90824048063870111</v>
      </c>
    </row>
    <row r="1730" spans="1:9" x14ac:dyDescent="0.35">
      <c r="A1730" s="1" t="s">
        <v>1742</v>
      </c>
      <c r="B1730" t="str">
        <f>HYPERLINK("https://www.suredividend.com/sure-analysis-research-database/","GeneDx Holdings Corp")</f>
        <v>GeneDx Holdings Corp</v>
      </c>
      <c r="C1730">
        <v>-0.26255707762557001</v>
      </c>
      <c r="D1730">
        <v>-0.51934523809523803</v>
      </c>
      <c r="E1730">
        <v>-0.66131907308377902</v>
      </c>
      <c r="F1730">
        <v>11.244124336618651</v>
      </c>
      <c r="G1730">
        <v>2.7698412698412689</v>
      </c>
      <c r="H1730">
        <v>-0.585365853658536</v>
      </c>
      <c r="I1730">
        <v>-0.67040816326530606</v>
      </c>
    </row>
    <row r="1731" spans="1:9" x14ac:dyDescent="0.35">
      <c r="A1731" s="1" t="s">
        <v>1743</v>
      </c>
      <c r="B1731" t="str">
        <f>HYPERLINK("https://www.suredividend.com/sure-analysis-research-database/","Cactus Inc")</f>
        <v>Cactus Inc</v>
      </c>
      <c r="C1731">
        <v>-1.2888107791446999E-2</v>
      </c>
      <c r="D1731">
        <v>8.9902393904308001E-2</v>
      </c>
      <c r="E1731">
        <v>0.18325050969890899</v>
      </c>
      <c r="F1731">
        <v>1.3747255061215E-2</v>
      </c>
      <c r="G1731">
        <v>0.19400235257436799</v>
      </c>
      <c r="H1731">
        <v>0.226328583281175</v>
      </c>
      <c r="I1731">
        <v>0.41218079266503999</v>
      </c>
    </row>
    <row r="1732" spans="1:9" x14ac:dyDescent="0.35">
      <c r="A1732" s="1" t="s">
        <v>1744</v>
      </c>
      <c r="B1732" t="str">
        <f>HYPERLINK("https://www.suredividend.com/sure-analysis-research-database/","Winmark Corporation")</f>
        <v>Winmark Corporation</v>
      </c>
      <c r="C1732">
        <v>2.4486715761534002E-2</v>
      </c>
      <c r="D1732">
        <v>0.13878118306551099</v>
      </c>
      <c r="E1732">
        <v>0.194398794497574</v>
      </c>
      <c r="F1732">
        <v>0.68916962103305701</v>
      </c>
      <c r="G1732">
        <v>0.76466290545898008</v>
      </c>
      <c r="H1732">
        <v>0.88677255979971503</v>
      </c>
      <c r="I1732">
        <v>1.7252860442788021</v>
      </c>
    </row>
    <row r="1733" spans="1:9" x14ac:dyDescent="0.35">
      <c r="A1733" s="1" t="s">
        <v>1745</v>
      </c>
      <c r="B1733" t="str">
        <f>HYPERLINK("https://www.suredividend.com/sure-analysis-research-database/","Wingstop Inc")</f>
        <v>Wingstop Inc</v>
      </c>
      <c r="C1733">
        <v>2.9290913359943001E-2</v>
      </c>
      <c r="D1733">
        <v>-9.4631762703165007E-2</v>
      </c>
      <c r="E1733">
        <v>-5.1992033164870007E-2</v>
      </c>
      <c r="F1733">
        <v>0.27849919433041898</v>
      </c>
      <c r="G1733">
        <v>0.55587853233671902</v>
      </c>
      <c r="H1733">
        <v>6.8921185121787007E-2</v>
      </c>
      <c r="I1733">
        <v>1.8054114763487881</v>
      </c>
    </row>
    <row r="1734" spans="1:9" x14ac:dyDescent="0.35">
      <c r="A1734" s="1" t="s">
        <v>1746</v>
      </c>
      <c r="B1734" t="str">
        <f>HYPERLINK("https://www.suredividend.com/sure-analysis-research-database/","Encore Wire Corp.")</f>
        <v>Encore Wire Corp.</v>
      </c>
      <c r="C1734">
        <v>3.2020968192142001E-2</v>
      </c>
      <c r="D1734">
        <v>1.2040447544378E-2</v>
      </c>
      <c r="E1734">
        <v>5.9548391354522001E-2</v>
      </c>
      <c r="F1734">
        <v>0.29643289990382699</v>
      </c>
      <c r="G1734">
        <v>0.48887375777500203</v>
      </c>
      <c r="H1734">
        <v>0.61221888397651103</v>
      </c>
      <c r="I1734">
        <v>3.0759054772338459</v>
      </c>
    </row>
    <row r="1735" spans="1:9" x14ac:dyDescent="0.35">
      <c r="A1735" s="1" t="s">
        <v>1747</v>
      </c>
      <c r="B1735" t="str">
        <f>HYPERLINK("https://www.suredividend.com/sure-analysis-research-database/","ContextLogic Inc")</f>
        <v>ContextLogic Inc</v>
      </c>
      <c r="C1735">
        <v>-5.1224944320712007E-2</v>
      </c>
      <c r="D1735">
        <v>-0.50175438596491206</v>
      </c>
      <c r="E1735">
        <v>-0.43725231175693502</v>
      </c>
      <c r="F1735">
        <v>-0.70883740004100804</v>
      </c>
      <c r="G1735">
        <v>-0.79411338263012909</v>
      </c>
      <c r="H1735">
        <v>-0.97182539682539604</v>
      </c>
      <c r="I1735">
        <v>-0.99291770573566007</v>
      </c>
    </row>
    <row r="1736" spans="1:9" x14ac:dyDescent="0.35">
      <c r="A1736" s="1" t="s">
        <v>1748</v>
      </c>
      <c r="B1736" t="str">
        <f>HYPERLINK("https://www.suredividend.com/sure-analysis-research-database/","Workiva Inc")</f>
        <v>Workiva Inc</v>
      </c>
      <c r="C1736">
        <v>-0.116807562948822</v>
      </c>
      <c r="D1736">
        <v>-6.7920184190329011E-2</v>
      </c>
      <c r="E1736">
        <v>-2.3615717013365001E-2</v>
      </c>
      <c r="F1736">
        <v>0.15707990949148401</v>
      </c>
      <c r="G1736">
        <v>0.338845252859308</v>
      </c>
      <c r="H1736">
        <v>-0.31716916157143799</v>
      </c>
      <c r="I1736">
        <v>1.83265306122449</v>
      </c>
    </row>
    <row r="1737" spans="1:9" x14ac:dyDescent="0.35">
      <c r="A1737" s="1" t="s">
        <v>1749</v>
      </c>
      <c r="B1737" t="str">
        <f>HYPERLINK("https://www.suredividend.com/sure-analysis-research-database/","Workhorse Group Inc")</f>
        <v>Workhorse Group Inc</v>
      </c>
      <c r="C1737">
        <v>-0.26538139145012501</v>
      </c>
      <c r="D1737">
        <v>-0.557060547862124</v>
      </c>
      <c r="E1737">
        <v>-0.59046728971962603</v>
      </c>
      <c r="F1737">
        <v>-0.71171052631578902</v>
      </c>
      <c r="G1737">
        <v>-0.80696035242290709</v>
      </c>
      <c r="H1737">
        <v>-0.93258461538461512</v>
      </c>
      <c r="I1737">
        <v>-0.56180000000000008</v>
      </c>
    </row>
    <row r="1738" spans="1:9" x14ac:dyDescent="0.35">
      <c r="A1738" s="1" t="s">
        <v>1750</v>
      </c>
      <c r="B1738" t="str">
        <f>HYPERLINK("https://www.suredividend.com/sure-analysis-research-database/","Willdan Group Inc")</f>
        <v>Willdan Group Inc</v>
      </c>
      <c r="C1738">
        <v>-5.3165780570323007E-2</v>
      </c>
      <c r="D1738">
        <v>2.9968454258675E-2</v>
      </c>
      <c r="E1738">
        <v>0.27872062663185299</v>
      </c>
      <c r="F1738">
        <v>9.7478991596638004E-2</v>
      </c>
      <c r="G1738">
        <v>0.690250215703192</v>
      </c>
      <c r="H1738">
        <v>-0.41731112433075501</v>
      </c>
      <c r="I1738">
        <v>-0.40201465201465197</v>
      </c>
    </row>
    <row r="1739" spans="1:9" x14ac:dyDescent="0.35">
      <c r="A1739" s="1" t="s">
        <v>1751</v>
      </c>
      <c r="B1739" t="str">
        <f>HYPERLINK("https://www.suredividend.com/sure-analysis-WLY/","John Wiley &amp; Sons Inc.")</f>
        <v>John Wiley &amp; Sons Inc.</v>
      </c>
      <c r="C1739">
        <v>-0.19107453414437101</v>
      </c>
      <c r="D1739">
        <v>-0.14115994615789701</v>
      </c>
      <c r="E1739">
        <v>-0.214841764532784</v>
      </c>
      <c r="F1739">
        <v>-0.24536548993392099</v>
      </c>
      <c r="G1739">
        <v>-0.18673279946798099</v>
      </c>
      <c r="H1739">
        <v>-0.43969195466372901</v>
      </c>
      <c r="I1739">
        <v>-0.41131282254942603</v>
      </c>
    </row>
    <row r="1740" spans="1:9" x14ac:dyDescent="0.35">
      <c r="A1740" s="1" t="s">
        <v>1752</v>
      </c>
      <c r="B1740" t="str">
        <f>HYPERLINK("https://www.suredividend.com/sure-analysis-research-database/","Weis Markets, Inc.")</f>
        <v>Weis Markets, Inc.</v>
      </c>
      <c r="C1740">
        <v>-2.6921879863056001E-2</v>
      </c>
      <c r="D1740">
        <v>-1.0933041448121E-2</v>
      </c>
      <c r="E1740">
        <v>-0.25180706601399699</v>
      </c>
      <c r="F1740">
        <v>-0.22976864728503599</v>
      </c>
      <c r="G1740">
        <v>-0.21526548950215199</v>
      </c>
      <c r="H1740">
        <v>0.21059703168499999</v>
      </c>
      <c r="I1740">
        <v>0.68213488284507506</v>
      </c>
    </row>
    <row r="1741" spans="1:9" x14ac:dyDescent="0.35">
      <c r="A1741" s="1" t="s">
        <v>1753</v>
      </c>
      <c r="B1741" t="str">
        <f>HYPERLINK("https://www.suredividend.com/sure-analysis-research-database/","Wabash National Corp.")</f>
        <v>Wabash National Corp.</v>
      </c>
      <c r="C1741">
        <v>-7.1787904380709996E-3</v>
      </c>
      <c r="D1741">
        <v>-9.4156619189808013E-2</v>
      </c>
      <c r="E1741">
        <v>-1.9807768125399E-2</v>
      </c>
      <c r="F1741">
        <v>-2.9605336946329001E-2</v>
      </c>
      <c r="G1741">
        <v>0.40134238623406199</v>
      </c>
      <c r="H1741">
        <v>0.41675345345935411</v>
      </c>
      <c r="I1741">
        <v>0.64840189608133003</v>
      </c>
    </row>
    <row r="1742" spans="1:9" x14ac:dyDescent="0.35">
      <c r="A1742" s="1" t="s">
        <v>1754</v>
      </c>
      <c r="B1742" t="str">
        <f>HYPERLINK("https://www.suredividend.com/sure-analysis-WOR/","Worthington Industries, Inc.")</f>
        <v>Worthington Industries, Inc.</v>
      </c>
      <c r="C1742">
        <v>-0.100277737172927</v>
      </c>
      <c r="D1742">
        <v>-0.122426807116398</v>
      </c>
      <c r="E1742">
        <v>1.5048443619872001E-2</v>
      </c>
      <c r="F1742">
        <v>0.25715896371702301</v>
      </c>
      <c r="G1742">
        <v>0.48125151915519299</v>
      </c>
      <c r="H1742">
        <v>0.21450699500779399</v>
      </c>
      <c r="I1742">
        <v>0.63164787156770708</v>
      </c>
    </row>
    <row r="1743" spans="1:9" x14ac:dyDescent="0.35">
      <c r="A1743" s="1" t="s">
        <v>1755</v>
      </c>
      <c r="B1743" t="str">
        <f>HYPERLINK("https://www.suredividend.com/sure-analysis-research-database/","WideOpenWest Inc")</f>
        <v>WideOpenWest Inc</v>
      </c>
      <c r="C1743">
        <v>-6.8241469816272007E-2</v>
      </c>
      <c r="D1743">
        <v>-0.15173237753882901</v>
      </c>
      <c r="E1743">
        <v>-0.338303821062441</v>
      </c>
      <c r="F1743">
        <v>-0.220636663007683</v>
      </c>
      <c r="G1743">
        <v>-0.46696696696696699</v>
      </c>
      <c r="H1743">
        <v>-0.64321608040201006</v>
      </c>
      <c r="I1743">
        <v>-0.37168141592920301</v>
      </c>
    </row>
    <row r="1744" spans="1:9" x14ac:dyDescent="0.35">
      <c r="A1744" s="1" t="s">
        <v>1756</v>
      </c>
      <c r="B1744" t="str">
        <f>HYPERLINK("https://www.suredividend.com/sure-analysis-research-database/","Warby Parker Inc")</f>
        <v>Warby Parker Inc</v>
      </c>
      <c r="C1744">
        <v>0.102236421725239</v>
      </c>
      <c r="D1744">
        <v>6.2355658198614002E-2</v>
      </c>
      <c r="E1744">
        <v>0.244364292155094</v>
      </c>
      <c r="F1744">
        <v>2.2979985174203001E-2</v>
      </c>
      <c r="G1744">
        <v>-4.3290043290040003E-3</v>
      </c>
      <c r="H1744">
        <v>-0.74794520547945209</v>
      </c>
      <c r="I1744">
        <v>-0.74674252156358911</v>
      </c>
    </row>
    <row r="1745" spans="1:9" x14ac:dyDescent="0.35">
      <c r="A1745" s="1" t="s">
        <v>1757</v>
      </c>
      <c r="B1745" t="str">
        <f>HYPERLINK("https://www.suredividend.com/sure-analysis-research-database/","World Acceptance Corp.")</f>
        <v>World Acceptance Corp.</v>
      </c>
      <c r="C1745">
        <v>-9.826631701631601E-2</v>
      </c>
      <c r="D1745">
        <v>-9.4771480804387007E-2</v>
      </c>
      <c r="E1745">
        <v>0.50175906830037609</v>
      </c>
      <c r="F1745">
        <v>0.87731270852289911</v>
      </c>
      <c r="G1745">
        <v>0.20664782142509</v>
      </c>
      <c r="H1745">
        <v>-0.36354755784061699</v>
      </c>
      <c r="I1745">
        <v>0.22819724178986001</v>
      </c>
    </row>
    <row r="1746" spans="1:9" x14ac:dyDescent="0.35">
      <c r="A1746" s="1" t="s">
        <v>1758</v>
      </c>
      <c r="B1746" t="str">
        <f>HYPERLINK("https://www.suredividend.com/sure-analysis-WSBC/","Wesbanco, Inc.")</f>
        <v>Wesbanco, Inc.</v>
      </c>
      <c r="C1746">
        <v>-2.2526146419951001E-2</v>
      </c>
      <c r="D1746">
        <v>-3.0052409102339001E-2</v>
      </c>
      <c r="E1746">
        <v>-0.11606470551859301</v>
      </c>
      <c r="F1746">
        <v>-0.30046578039807198</v>
      </c>
      <c r="G1746">
        <v>-0.30226348024084798</v>
      </c>
      <c r="H1746">
        <v>-0.26476150133886001</v>
      </c>
      <c r="I1746">
        <v>-0.26533721928625797</v>
      </c>
    </row>
    <row r="1747" spans="1:9" x14ac:dyDescent="0.35">
      <c r="A1747" s="1" t="s">
        <v>1759</v>
      </c>
      <c r="B1747" t="str">
        <f>HYPERLINK("https://www.suredividend.com/sure-analysis-research-database/","Waterstone Financial Inc")</f>
        <v>Waterstone Financial Inc</v>
      </c>
      <c r="C1747">
        <v>-0.10266561097915</v>
      </c>
      <c r="D1747">
        <v>-0.251292834005796</v>
      </c>
      <c r="E1747">
        <v>-0.22923918448533001</v>
      </c>
      <c r="F1747">
        <v>-0.32728270720841401</v>
      </c>
      <c r="G1747">
        <v>-0.31537102473498202</v>
      </c>
      <c r="H1747">
        <v>-0.40652150655698011</v>
      </c>
      <c r="I1747">
        <v>-9.6728855827984003E-2</v>
      </c>
    </row>
    <row r="1748" spans="1:9" x14ac:dyDescent="0.35">
      <c r="A1748" s="1" t="s">
        <v>1760</v>
      </c>
      <c r="B1748" t="str">
        <f>HYPERLINK("https://www.suredividend.com/sure-analysis-research-database/","WSFS Financial Corp.")</f>
        <v>WSFS Financial Corp.</v>
      </c>
      <c r="C1748">
        <v>-7.5955997904662009E-2</v>
      </c>
      <c r="D1748">
        <v>-8.2616519143359005E-2</v>
      </c>
      <c r="E1748">
        <v>-2.2795889538264998E-2</v>
      </c>
      <c r="F1748">
        <v>-0.206855930145769</v>
      </c>
      <c r="G1748">
        <v>-0.24916041321716001</v>
      </c>
      <c r="H1748">
        <v>-0.33238085325814398</v>
      </c>
      <c r="I1748">
        <v>-0.15748650139583001</v>
      </c>
    </row>
    <row r="1749" spans="1:9" x14ac:dyDescent="0.35">
      <c r="A1749" s="1" t="s">
        <v>1761</v>
      </c>
      <c r="B1749" t="str">
        <f>HYPERLINK("https://www.suredividend.com/sure-analysis-WSR/","Whitestone REIT")</f>
        <v>Whitestone REIT</v>
      </c>
      <c r="C1749">
        <v>-2.9028525431403E-2</v>
      </c>
      <c r="D1749">
        <v>-4.3848336342530003E-3</v>
      </c>
      <c r="E1749">
        <v>9.2333291828441008E-2</v>
      </c>
      <c r="F1749">
        <v>4.3807463493780001E-2</v>
      </c>
      <c r="G1749">
        <v>0.21085123469182801</v>
      </c>
      <c r="H1749">
        <v>3.9075707163700013E-2</v>
      </c>
      <c r="I1749">
        <v>9.1608801137790016E-3</v>
      </c>
    </row>
    <row r="1750" spans="1:9" x14ac:dyDescent="0.35">
      <c r="A1750" s="1" t="s">
        <v>1762</v>
      </c>
      <c r="B1750" t="str">
        <f>HYPERLINK("https://www.suredividend.com/sure-analysis-research-database/","WisdomTree Inc")</f>
        <v>WisdomTree Inc</v>
      </c>
      <c r="C1750">
        <v>-5.2704576976421003E-2</v>
      </c>
      <c r="D1750">
        <v>-2.6774391199645999E-2</v>
      </c>
      <c r="E1750">
        <v>7.3663030150594999E-2</v>
      </c>
      <c r="F1750">
        <v>0.270957777405608</v>
      </c>
      <c r="G1750">
        <v>0.42291666666666611</v>
      </c>
      <c r="H1750">
        <v>0.22145322531609299</v>
      </c>
      <c r="I1750">
        <v>4.2936125161740007E-3</v>
      </c>
    </row>
    <row r="1751" spans="1:9" x14ac:dyDescent="0.35">
      <c r="A1751" s="1" t="s">
        <v>1763</v>
      </c>
      <c r="B1751" t="str">
        <f>HYPERLINK("https://www.suredividend.com/sure-analysis-research-database/","West Bancorporation")</f>
        <v>West Bancorporation</v>
      </c>
      <c r="C1751">
        <v>-0.100686498855835</v>
      </c>
      <c r="D1751">
        <v>-0.12653079367901601</v>
      </c>
      <c r="E1751">
        <v>-4.5543135742951997E-2</v>
      </c>
      <c r="F1751">
        <v>-0.34079205595719297</v>
      </c>
      <c r="G1751">
        <v>-0.217221135029354</v>
      </c>
      <c r="H1751">
        <v>-0.41587178905985811</v>
      </c>
      <c r="I1751">
        <v>-0.10562398657298</v>
      </c>
    </row>
    <row r="1752" spans="1:9" x14ac:dyDescent="0.35">
      <c r="A1752" s="1" t="s">
        <v>1764</v>
      </c>
      <c r="B1752" t="str">
        <f>HYPERLINK("https://www.suredividend.com/sure-analysis-research-database/","W &amp; T Offshore Inc")</f>
        <v>W &amp; T Offshore Inc</v>
      </c>
      <c r="C1752">
        <v>-1.4423076923077E-2</v>
      </c>
      <c r="D1752">
        <v>5.1282051282051003E-2</v>
      </c>
      <c r="E1752">
        <v>-0.200779727095516</v>
      </c>
      <c r="F1752">
        <v>-0.26523297491039399</v>
      </c>
      <c r="G1752">
        <v>-0.41428571428571398</v>
      </c>
      <c r="H1752">
        <v>4.9019607843130003E-3</v>
      </c>
      <c r="I1752">
        <v>-0.46684005201560402</v>
      </c>
    </row>
    <row r="1753" spans="1:9" x14ac:dyDescent="0.35">
      <c r="A1753" s="1" t="s">
        <v>1765</v>
      </c>
      <c r="B1753" t="str">
        <f>HYPERLINK("https://www.suredividend.com/sure-analysis-research-database/","Watts Water Technologies, Inc.")</f>
        <v>Watts Water Technologies, Inc.</v>
      </c>
      <c r="C1753">
        <v>-7.8528157953700007E-4</v>
      </c>
      <c r="D1753">
        <v>-1.8429111891587E-2</v>
      </c>
      <c r="E1753">
        <v>0.117239251260296</v>
      </c>
      <c r="F1753">
        <v>0.225305088173267</v>
      </c>
      <c r="G1753">
        <v>0.45826341080067712</v>
      </c>
      <c r="H1753">
        <v>2.1625378793960998E-2</v>
      </c>
      <c r="I1753">
        <v>1.57242620195293</v>
      </c>
    </row>
    <row r="1754" spans="1:9" x14ac:dyDescent="0.35">
      <c r="A1754" s="1" t="s">
        <v>1766</v>
      </c>
      <c r="B1754" t="str">
        <f>HYPERLINK("https://www.suredividend.com/sure-analysis-research-database/","Select Water Solutions Inc")</f>
        <v>Select Water Solutions Inc</v>
      </c>
      <c r="C1754">
        <v>-6.7878787878787011E-2</v>
      </c>
      <c r="D1754">
        <v>-6.1187615978122008E-2</v>
      </c>
      <c r="E1754">
        <v>3.5871600414887003E-2</v>
      </c>
      <c r="F1754">
        <v>-0.151878770499939</v>
      </c>
      <c r="G1754">
        <v>2.4991669443518001E-2</v>
      </c>
      <c r="H1754">
        <v>0.210775746697526</v>
      </c>
      <c r="I1754">
        <v>-0.32631320741493403</v>
      </c>
    </row>
    <row r="1755" spans="1:9" x14ac:dyDescent="0.35">
      <c r="A1755" s="1" t="s">
        <v>1767</v>
      </c>
      <c r="B1755" t="str">
        <f>HYPERLINK("https://www.suredividend.com/sure-analysis-research-database/","TeraWulf Inc")</f>
        <v>TeraWulf Inc</v>
      </c>
      <c r="C1755">
        <v>-0.39285714285714202</v>
      </c>
      <c r="D1755">
        <v>-0.71022727272727204</v>
      </c>
      <c r="E1755">
        <v>-0.29166666666666602</v>
      </c>
      <c r="F1755">
        <v>0.53245192307692302</v>
      </c>
      <c r="G1755">
        <v>-6.4220183486238008E-2</v>
      </c>
      <c r="H1755">
        <v>-0.96605657237936704</v>
      </c>
      <c r="I1755">
        <v>-0.90163934426229508</v>
      </c>
    </row>
    <row r="1756" spans="1:9" x14ac:dyDescent="0.35">
      <c r="A1756" s="1" t="s">
        <v>1768</v>
      </c>
      <c r="B1756" t="str">
        <f>HYPERLINK("https://www.suredividend.com/sure-analysis-research-database/","WW International Inc")</f>
        <v>WW International Inc</v>
      </c>
      <c r="C1756">
        <v>-3.2981530343007E-2</v>
      </c>
      <c r="D1756">
        <v>0.36583850931676998</v>
      </c>
      <c r="E1756">
        <v>0.45436507936507903</v>
      </c>
      <c r="F1756">
        <v>1.848445595854922</v>
      </c>
      <c r="G1756">
        <v>1.8934210526315789</v>
      </c>
      <c r="H1756">
        <v>-0.40146978769733199</v>
      </c>
      <c r="I1756">
        <v>-0.83211177278973802</v>
      </c>
    </row>
    <row r="1757" spans="1:9" x14ac:dyDescent="0.35">
      <c r="A1757" s="1" t="s">
        <v>1769</v>
      </c>
      <c r="B1757" t="str">
        <f>HYPERLINK("https://www.suredividend.com/sure-analysis-research-database/","Wolverine World Wide, Inc.")</f>
        <v>Wolverine World Wide, Inc.</v>
      </c>
      <c r="C1757">
        <v>-0.129797233139821</v>
      </c>
      <c r="D1757">
        <v>-0.44341515540556098</v>
      </c>
      <c r="E1757">
        <v>-0.56342673830327306</v>
      </c>
      <c r="F1757">
        <v>-0.32000262982408301</v>
      </c>
      <c r="G1757">
        <v>-0.50318742323079102</v>
      </c>
      <c r="H1757">
        <v>-0.75247524752475203</v>
      </c>
      <c r="I1757">
        <v>-0.77121043583779902</v>
      </c>
    </row>
    <row r="1758" spans="1:9" x14ac:dyDescent="0.35">
      <c r="A1758" s="1" t="s">
        <v>1770</v>
      </c>
      <c r="B1758" t="str">
        <f>HYPERLINK("https://www.suredividend.com/sure-analysis-research-database/","Xeris Biopharma Holdings Inc")</f>
        <v>Xeris Biopharma Holdings Inc</v>
      </c>
      <c r="C1758">
        <v>-0.21</v>
      </c>
      <c r="D1758">
        <v>-0.37795275590551097</v>
      </c>
      <c r="E1758">
        <v>-0.27188940092165798</v>
      </c>
      <c r="F1758">
        <v>0.18796992481203001</v>
      </c>
      <c r="G1758">
        <v>0.29508196721311403</v>
      </c>
      <c r="H1758">
        <v>-0.21</v>
      </c>
      <c r="I1758">
        <v>-0.33050847457627103</v>
      </c>
    </row>
    <row r="1759" spans="1:9" x14ac:dyDescent="0.35">
      <c r="A1759" s="1" t="s">
        <v>1771</v>
      </c>
      <c r="B1759" t="str">
        <f>HYPERLINK("https://www.suredividend.com/sure-analysis-research-database/","Xenia Hotels &amp; Resorts Inc")</f>
        <v>Xenia Hotels &amp; Resorts Inc</v>
      </c>
      <c r="C1759">
        <v>-6.0863874345548998E-2</v>
      </c>
      <c r="D1759">
        <v>-7.437270205766601E-2</v>
      </c>
      <c r="E1759">
        <v>-8.9892895932265002E-2</v>
      </c>
      <c r="F1759">
        <v>-0.107010897889652</v>
      </c>
      <c r="G1759">
        <v>-0.21128386223574899</v>
      </c>
      <c r="H1759">
        <v>-0.32699804782534703</v>
      </c>
      <c r="I1759">
        <v>-0.39278857088452901</v>
      </c>
    </row>
    <row r="1760" spans="1:9" x14ac:dyDescent="0.35">
      <c r="A1760" s="1" t="s">
        <v>1772</v>
      </c>
      <c r="B1760" t="str">
        <f>HYPERLINK("https://www.suredividend.com/sure-analysis-research-database/","Xometry Inc")</f>
        <v>Xometry Inc</v>
      </c>
      <c r="C1760">
        <v>-5.4665930425178998E-2</v>
      </c>
      <c r="D1760">
        <v>-0.277332207682566</v>
      </c>
      <c r="E1760">
        <v>0.112410656270305</v>
      </c>
      <c r="F1760">
        <v>-0.46881787154824611</v>
      </c>
      <c r="G1760">
        <v>-0.67177914110429404</v>
      </c>
      <c r="H1760">
        <v>-0.71409485637942505</v>
      </c>
      <c r="I1760">
        <v>-0.80409657855589811</v>
      </c>
    </row>
    <row r="1761" spans="1:9" x14ac:dyDescent="0.35">
      <c r="A1761" s="1" t="s">
        <v>1773</v>
      </c>
      <c r="B1761" t="str">
        <f>HYPERLINK("https://www.suredividend.com/sure-analysis-research-database/","Xencor Inc")</f>
        <v>Xencor Inc</v>
      </c>
      <c r="C1761">
        <v>-8.8931851135814005E-2</v>
      </c>
      <c r="D1761">
        <v>-0.24448897795591101</v>
      </c>
      <c r="E1761">
        <v>-0.35489390828199802</v>
      </c>
      <c r="F1761">
        <v>-0.276113671274961</v>
      </c>
      <c r="G1761">
        <v>-0.30262671106178302</v>
      </c>
      <c r="H1761">
        <v>-0.51000779828437703</v>
      </c>
      <c r="I1761">
        <v>-0.46158240502713499</v>
      </c>
    </row>
    <row r="1762" spans="1:9" x14ac:dyDescent="0.35">
      <c r="A1762" s="1" t="s">
        <v>1774</v>
      </c>
      <c r="B1762" t="str">
        <f>HYPERLINK("https://www.suredividend.com/sure-analysis-research-database/","Xos Inc")</f>
        <v>Xos Inc</v>
      </c>
      <c r="C1762">
        <v>-0.14210526315789401</v>
      </c>
      <c r="D1762">
        <v>-0.119156984598757</v>
      </c>
      <c r="E1762">
        <v>-0.45739014647137111</v>
      </c>
      <c r="F1762">
        <v>-0.263942199142018</v>
      </c>
      <c r="G1762">
        <v>-0.69245283018867909</v>
      </c>
      <c r="H1762">
        <v>-0.93034188034188003</v>
      </c>
      <c r="I1762">
        <v>-0.95682119205298</v>
      </c>
    </row>
    <row r="1763" spans="1:9" x14ac:dyDescent="0.35">
      <c r="A1763" s="1" t="s">
        <v>1775</v>
      </c>
      <c r="B1763" t="str">
        <f>HYPERLINK("https://www.suredividend.com/sure-analysis-research-database/","XPEL Inc")</f>
        <v>XPEL Inc</v>
      </c>
      <c r="C1763">
        <v>-0.191541329219694</v>
      </c>
      <c r="D1763">
        <v>-0.241741017603086</v>
      </c>
      <c r="E1763">
        <v>-0.12664907651714999</v>
      </c>
      <c r="F1763">
        <v>4.7119547119547002E-2</v>
      </c>
      <c r="G1763">
        <v>3.3185477246591003E-2</v>
      </c>
      <c r="H1763">
        <v>-0.109837225760792</v>
      </c>
      <c r="I1763">
        <v>36.501490757304708</v>
      </c>
    </row>
    <row r="1764" spans="1:9" x14ac:dyDescent="0.35">
      <c r="A1764" s="1" t="s">
        <v>1776</v>
      </c>
      <c r="B1764" t="str">
        <f>HYPERLINK("https://www.suredividend.com/sure-analysis-research-database/","Xperi Inc")</f>
        <v>Xperi Inc</v>
      </c>
      <c r="C1764">
        <v>-0.15354713313896901</v>
      </c>
      <c r="D1764">
        <v>-0.32689335394126701</v>
      </c>
      <c r="E1764">
        <v>-0.119312436804853</v>
      </c>
      <c r="F1764">
        <v>1.1614401858304001E-2</v>
      </c>
      <c r="G1764">
        <v>-0.32480620155038697</v>
      </c>
      <c r="H1764">
        <v>-0.62130434782608601</v>
      </c>
      <c r="I1764">
        <v>-0.62130434782608601</v>
      </c>
    </row>
    <row r="1765" spans="1:9" x14ac:dyDescent="0.35">
      <c r="A1765" s="1" t="s">
        <v>1777</v>
      </c>
      <c r="B1765" t="str">
        <f>HYPERLINK("https://www.suredividend.com/sure-analysis-research-database/","Xponential Fitness Inc")</f>
        <v>Xponential Fitness Inc</v>
      </c>
      <c r="C1765">
        <v>-0.23822714681440399</v>
      </c>
      <c r="D1765">
        <v>-0.30730478589420601</v>
      </c>
      <c r="E1765">
        <v>-0.561123523779125</v>
      </c>
      <c r="F1765">
        <v>-0.40034888791975498</v>
      </c>
      <c r="G1765">
        <v>-0.24904423812124499</v>
      </c>
      <c r="H1765">
        <v>-0.13358538122243199</v>
      </c>
      <c r="I1765">
        <v>0.122448979591836</v>
      </c>
    </row>
    <row r="1766" spans="1:9" x14ac:dyDescent="0.35">
      <c r="A1766" s="1" t="s">
        <v>1778</v>
      </c>
      <c r="B1766" t="str">
        <f>HYPERLINK("https://www.suredividend.com/sure-analysis-research-database/","Expro Group Holdings N.V.")</f>
        <v>Expro Group Holdings N.V.</v>
      </c>
      <c r="C1766">
        <v>-0.13209826822392201</v>
      </c>
      <c r="D1766">
        <v>6.0009837678308003E-2</v>
      </c>
      <c r="E1766">
        <v>0.13660337552742599</v>
      </c>
      <c r="F1766">
        <v>0.18863761720904501</v>
      </c>
      <c r="G1766">
        <v>0.40299479166666602</v>
      </c>
      <c r="H1766">
        <v>0.23708381171067699</v>
      </c>
      <c r="I1766">
        <v>-0.55930470347648209</v>
      </c>
    </row>
    <row r="1767" spans="1:9" x14ac:dyDescent="0.35">
      <c r="A1767" s="1" t="s">
        <v>1779</v>
      </c>
      <c r="B1767" t="str">
        <f>HYPERLINK("https://www.suredividend.com/sure-analysis-XRX/","Xerox Holdings Corp")</f>
        <v>Xerox Holdings Corp</v>
      </c>
      <c r="C1767">
        <v>-8.0150929812494012E-2</v>
      </c>
      <c r="D1767">
        <v>-5.4240715895496998E-2</v>
      </c>
      <c r="E1767">
        <v>5.4765239183311998E-2</v>
      </c>
      <c r="F1767">
        <v>6.6160035762181005E-2</v>
      </c>
      <c r="G1767">
        <v>7.3276831920798008E-2</v>
      </c>
      <c r="H1767">
        <v>-0.183391635328155</v>
      </c>
      <c r="I1767">
        <v>-0.41360630076136901</v>
      </c>
    </row>
    <row r="1768" spans="1:9" x14ac:dyDescent="0.35">
      <c r="A1768" s="1" t="s">
        <v>1780</v>
      </c>
      <c r="B1768" t="str">
        <f>HYPERLINK("https://www.suredividend.com/sure-analysis-research-database/","22nd Century Group Inc")</f>
        <v>22nd Century Group Inc</v>
      </c>
      <c r="C1768">
        <v>-0.55340909090909107</v>
      </c>
      <c r="D1768">
        <v>-0.74590517241379306</v>
      </c>
      <c r="E1768">
        <v>-0.94023722627737205</v>
      </c>
      <c r="F1768">
        <v>-0.95730581205866305</v>
      </c>
      <c r="G1768">
        <v>-0.96459459459459407</v>
      </c>
      <c r="H1768">
        <v>-0.98644827586206907</v>
      </c>
      <c r="I1768">
        <v>-0.98616197183098608</v>
      </c>
    </row>
    <row r="1769" spans="1:9" x14ac:dyDescent="0.35">
      <c r="A1769" s="1" t="s">
        <v>1781</v>
      </c>
      <c r="B1769" t="str">
        <f>HYPERLINK("https://www.suredividend.com/sure-analysis-research-database/","Yelp Inc")</f>
        <v>Yelp Inc</v>
      </c>
      <c r="C1769">
        <v>-1.846657316503E-2</v>
      </c>
      <c r="D1769">
        <v>0.101232625229478</v>
      </c>
      <c r="E1769">
        <v>0.36819811013359399</v>
      </c>
      <c r="F1769">
        <v>0.53584491587417704</v>
      </c>
      <c r="G1769">
        <v>0.21183261183261101</v>
      </c>
      <c r="H1769">
        <v>5.7416267942582998E-2</v>
      </c>
      <c r="I1769">
        <v>-2.2579143389198999E-2</v>
      </c>
    </row>
    <row r="1770" spans="1:9" x14ac:dyDescent="0.35">
      <c r="A1770" s="1" t="s">
        <v>1782</v>
      </c>
      <c r="B1770" t="str">
        <f>HYPERLINK("https://www.suredividend.com/sure-analysis-research-database/","Yext Inc")</f>
        <v>Yext Inc</v>
      </c>
      <c r="C1770">
        <v>-6.9730586370839009E-2</v>
      </c>
      <c r="D1770">
        <v>-0.43230174081237899</v>
      </c>
      <c r="E1770">
        <v>-0.28501827040194799</v>
      </c>
      <c r="F1770">
        <v>-0.101071975497702</v>
      </c>
      <c r="G1770">
        <v>0.33712984054669698</v>
      </c>
      <c r="H1770">
        <v>-0.48778359511343811</v>
      </c>
      <c r="I1770">
        <v>-0.69137749737118803</v>
      </c>
    </row>
    <row r="1771" spans="1:9" x14ac:dyDescent="0.35">
      <c r="A1771" s="1" t="s">
        <v>1783</v>
      </c>
      <c r="B1771" t="str">
        <f>HYPERLINK("https://www.suredividend.com/sure-analysis-research-database/","Y-Mabs Therapeutics Inc")</f>
        <v>Y-Mabs Therapeutics Inc</v>
      </c>
      <c r="C1771">
        <v>6.2124248496993002E-2</v>
      </c>
      <c r="D1771">
        <v>-0.2524682651622</v>
      </c>
      <c r="E1771">
        <v>-0.18960244648318</v>
      </c>
      <c r="F1771">
        <v>8.6065573770491011E-2</v>
      </c>
      <c r="G1771">
        <v>-0.63245492371705903</v>
      </c>
      <c r="H1771">
        <v>-0.80134932533733105</v>
      </c>
      <c r="I1771">
        <v>-0.7546296296296291</v>
      </c>
    </row>
    <row r="1772" spans="1:9" x14ac:dyDescent="0.35">
      <c r="A1772" s="1" t="s">
        <v>1784</v>
      </c>
      <c r="B1772" t="str">
        <f>HYPERLINK("https://www.suredividend.com/sure-analysis-YORW/","York Water Co.")</f>
        <v>York Water Co.</v>
      </c>
      <c r="C1772">
        <v>-8.9699531470281008E-2</v>
      </c>
      <c r="D1772">
        <v>-0.11927854673768599</v>
      </c>
      <c r="E1772">
        <v>-0.16605191179307899</v>
      </c>
      <c r="F1772">
        <v>-0.162655435218612</v>
      </c>
      <c r="G1772">
        <v>-2.1636375740628998E-2</v>
      </c>
      <c r="H1772">
        <v>-0.16494686025474301</v>
      </c>
      <c r="I1772">
        <v>0.32200120901580298</v>
      </c>
    </row>
    <row r="1773" spans="1:9" x14ac:dyDescent="0.35">
      <c r="A1773" s="1" t="s">
        <v>1785</v>
      </c>
      <c r="B1773" t="str">
        <f>HYPERLINK("https://www.suredividend.com/sure-analysis-research-database/","Clear Secure Inc")</f>
        <v>Clear Secure Inc</v>
      </c>
      <c r="C1773">
        <v>-0.20599429115128401</v>
      </c>
      <c r="D1773">
        <v>-0.33061139364381598</v>
      </c>
      <c r="E1773">
        <v>-0.36022018545564599</v>
      </c>
      <c r="F1773">
        <v>-0.38470953423728299</v>
      </c>
      <c r="G1773">
        <v>-0.29000778481577999</v>
      </c>
      <c r="H1773">
        <v>-0.57840333841910108</v>
      </c>
      <c r="I1773">
        <v>-0.57471422528679406</v>
      </c>
    </row>
    <row r="1774" spans="1:9" x14ac:dyDescent="0.35">
      <c r="A1774" s="1" t="s">
        <v>1786</v>
      </c>
      <c r="B1774" t="str">
        <f>HYPERLINK("https://www.suredividend.com/sure-analysis-research-database/","Ziff Davis Inc")</f>
        <v>Ziff Davis Inc</v>
      </c>
      <c r="C1774">
        <v>-7.1095746279873001E-2</v>
      </c>
      <c r="D1774">
        <v>-0.155160628844839</v>
      </c>
      <c r="E1774">
        <v>-0.197089775237105</v>
      </c>
      <c r="F1774">
        <v>-0.21871049304677601</v>
      </c>
      <c r="G1774">
        <v>-0.109894858130491</v>
      </c>
      <c r="H1774">
        <v>-0.50149229652335203</v>
      </c>
      <c r="I1774">
        <v>-2.0512186540124999E-2</v>
      </c>
    </row>
    <row r="1775" spans="1:9" x14ac:dyDescent="0.35">
      <c r="A1775" s="1" t="s">
        <v>1787</v>
      </c>
      <c r="B1775" t="str">
        <f>HYPERLINK("https://www.suredividend.com/sure-analysis-research-database/","Zeta Global Holdings Corp")</f>
        <v>Zeta Global Holdings Corp</v>
      </c>
      <c r="C1775">
        <v>9.2071611253196003E-2</v>
      </c>
      <c r="D1775">
        <v>-7.1739130434782E-2</v>
      </c>
      <c r="E1775">
        <v>-0.162745098039215</v>
      </c>
      <c r="F1775">
        <v>4.5287637698898001E-2</v>
      </c>
      <c r="G1775">
        <v>0.27083333333333298</v>
      </c>
      <c r="H1775">
        <v>7.5566750629722013E-2</v>
      </c>
      <c r="I1775">
        <v>-3.9370078740157001E-2</v>
      </c>
    </row>
    <row r="1776" spans="1:9" x14ac:dyDescent="0.35">
      <c r="A1776" s="1" t="s">
        <v>1788</v>
      </c>
      <c r="B1776" t="str">
        <f>HYPERLINK("https://www.suredividend.com/sure-analysis-research-database/","Olympic Steel Inc.")</f>
        <v>Olympic Steel Inc.</v>
      </c>
      <c r="C1776">
        <v>-9.964129135113001E-3</v>
      </c>
      <c r="D1776">
        <v>-3.8563883830339013E-2</v>
      </c>
      <c r="E1776">
        <v>-3.6914404022936997E-2</v>
      </c>
      <c r="F1776">
        <v>0.49915355762295999</v>
      </c>
      <c r="G1776">
        <v>1.175512348922753</v>
      </c>
      <c r="H1776">
        <v>1.0061784481192071</v>
      </c>
      <c r="I1776">
        <v>1.805495790062174</v>
      </c>
    </row>
    <row r="1777" spans="1:9" x14ac:dyDescent="0.35">
      <c r="A1777" s="1" t="s">
        <v>1789</v>
      </c>
      <c r="B1777" t="str">
        <f>HYPERLINK("https://www.suredividend.com/sure-analysis-research-database/","Lightning eMotors Inc")</f>
        <v>Lightning eMotors Inc</v>
      </c>
      <c r="C1777">
        <v>-0.25909090909090898</v>
      </c>
      <c r="D1777">
        <v>-0.55219780219780201</v>
      </c>
      <c r="E1777">
        <v>-0.74531249999999993</v>
      </c>
      <c r="F1777">
        <v>-0.7776261937244201</v>
      </c>
      <c r="G1777">
        <v>-0.95710526315789413</v>
      </c>
      <c r="H1777">
        <v>-0.99137566137566113</v>
      </c>
      <c r="I1777">
        <v>-0.83367346938775511</v>
      </c>
    </row>
    <row r="1778" spans="1:9" x14ac:dyDescent="0.35">
      <c r="A1778" s="1" t="s">
        <v>1790</v>
      </c>
      <c r="B1778" t="str">
        <f>HYPERLINK("https://www.suredividend.com/sure-analysis-research-database/","Ermenegildo Zegna N.V.")</f>
        <v>Ermenegildo Zegna N.V.</v>
      </c>
      <c r="C1778">
        <v>-0.13120567375886499</v>
      </c>
      <c r="D1778">
        <v>-0.15865384615384601</v>
      </c>
      <c r="E1778">
        <v>-5.9139784946236007E-2</v>
      </c>
      <c r="F1778">
        <v>0.179029634548936</v>
      </c>
      <c r="G1778">
        <v>0.14300110101330499</v>
      </c>
      <c r="H1778">
        <v>0.14939293287545199</v>
      </c>
      <c r="I1778">
        <v>0.14939293287545199</v>
      </c>
    </row>
    <row r="1779" spans="1:9" x14ac:dyDescent="0.35">
      <c r="A1779" s="1" t="s">
        <v>1791</v>
      </c>
      <c r="B1779" t="str">
        <f>HYPERLINK("https://www.suredividend.com/sure-analysis-research-database/","ZimVie Inc")</f>
        <v>ZimVie Inc</v>
      </c>
      <c r="C1779">
        <v>-0.250455373406193</v>
      </c>
      <c r="D1779">
        <v>-0.24356617647058801</v>
      </c>
      <c r="E1779">
        <v>2.1091811414391998E-2</v>
      </c>
      <c r="F1779">
        <v>-0.118843683083511</v>
      </c>
      <c r="G1779">
        <v>0.13831258644536601</v>
      </c>
      <c r="H1779">
        <v>-0.67763415589502507</v>
      </c>
      <c r="I1779">
        <v>-0.67763415589502507</v>
      </c>
    </row>
    <row r="1780" spans="1:9" x14ac:dyDescent="0.35">
      <c r="A1780" s="1" t="s">
        <v>1792</v>
      </c>
      <c r="B1780" t="str">
        <f>HYPERLINK("https://www.suredividend.com/sure-analysis-research-database/","ZipRecruiter Inc")</f>
        <v>ZipRecruiter Inc</v>
      </c>
      <c r="C1780">
        <v>-0.28903654485049801</v>
      </c>
      <c r="D1780">
        <v>-0.42286947141316011</v>
      </c>
      <c r="E1780">
        <v>-0.39169982944854997</v>
      </c>
      <c r="F1780">
        <v>-0.34835566382460398</v>
      </c>
      <c r="G1780">
        <v>-0.31366260423348302</v>
      </c>
      <c r="H1780">
        <v>-0.60487444608567209</v>
      </c>
      <c r="I1780">
        <v>-0.49289099526066299</v>
      </c>
    </row>
    <row r="1781" spans="1:9" x14ac:dyDescent="0.35">
      <c r="A1781" s="1" t="s">
        <v>1793</v>
      </c>
      <c r="B1781" t="str">
        <f>HYPERLINK("https://www.suredividend.com/sure-analysis-research-database/","Zentalis Pharmaceuticals Inc")</f>
        <v>Zentalis Pharmaceuticals Inc</v>
      </c>
      <c r="C1781">
        <v>-0.19094404100811599</v>
      </c>
      <c r="D1781">
        <v>-0.32645803698435211</v>
      </c>
      <c r="E1781">
        <v>3.8377192982456003E-2</v>
      </c>
      <c r="F1781">
        <v>-5.9582919563058008E-2</v>
      </c>
      <c r="G1781">
        <v>-0.1790203727785</v>
      </c>
      <c r="H1781">
        <v>-0.74712950600801009</v>
      </c>
      <c r="I1781">
        <v>-0.183620689655172</v>
      </c>
    </row>
    <row r="1782" spans="1:9" x14ac:dyDescent="0.35">
      <c r="A1782" s="1" t="s">
        <v>1794</v>
      </c>
      <c r="B1782" t="str">
        <f>HYPERLINK("https://www.suredividend.com/sure-analysis-research-database/","Zumiez Inc")</f>
        <v>Zumiez Inc</v>
      </c>
      <c r="C1782">
        <v>-4.6441495778045003E-2</v>
      </c>
      <c r="D1782">
        <v>-0.10424929178470201</v>
      </c>
      <c r="E1782">
        <v>-0.15</v>
      </c>
      <c r="F1782">
        <v>-0.27276908923643001</v>
      </c>
      <c r="G1782">
        <v>-0.25248226950354602</v>
      </c>
      <c r="H1782">
        <v>-0.6002528445006321</v>
      </c>
      <c r="I1782">
        <v>-0.316176470588235</v>
      </c>
    </row>
    <row r="1783" spans="1:9" x14ac:dyDescent="0.35">
      <c r="A1783" s="1" t="s">
        <v>1795</v>
      </c>
      <c r="B1783" t="str">
        <f>HYPERLINK("https://www.suredividend.com/sure-analysis-research-database/","Zuora Inc")</f>
        <v>Zuora Inc</v>
      </c>
      <c r="C1783">
        <v>-0.12442922374429199</v>
      </c>
      <c r="D1783">
        <v>-0.29633027522935701</v>
      </c>
      <c r="E1783">
        <v>-0.11737629459148401</v>
      </c>
      <c r="F1783">
        <v>0.205974842767295</v>
      </c>
      <c r="G1783">
        <v>0.16742770167427601</v>
      </c>
      <c r="H1783">
        <v>-0.61125190065889501</v>
      </c>
      <c r="I1783">
        <v>-0.612430520464881</v>
      </c>
    </row>
    <row r="1784" spans="1:9" x14ac:dyDescent="0.35">
      <c r="A1784" s="1" t="s">
        <v>1796</v>
      </c>
      <c r="B1784" t="str">
        <f>HYPERLINK("https://www.suredividend.com/sure-analysis-research-database/","Zurn Elkay Water Solutions Corp")</f>
        <v>Zurn Elkay Water Solutions Corp</v>
      </c>
      <c r="C1784">
        <v>-6.7814476458186002E-2</v>
      </c>
      <c r="D1784">
        <v>-2.0834486703943E-2</v>
      </c>
      <c r="E1784">
        <v>0.295720167422869</v>
      </c>
      <c r="F1784">
        <v>0.26517687678235902</v>
      </c>
      <c r="G1784">
        <v>0.123324328672927</v>
      </c>
      <c r="H1784">
        <v>-0.24408416793697299</v>
      </c>
      <c r="I1784">
        <v>-2.1307677551681999E-2</v>
      </c>
    </row>
    <row r="1785" spans="1:9" x14ac:dyDescent="0.35">
      <c r="A1785" s="1" t="s">
        <v>1797</v>
      </c>
      <c r="B1785" t="str">
        <f>HYPERLINK("https://www.suredividend.com/sure-analysis-research-database/","Zynex Inc")</f>
        <v>Zynex Inc</v>
      </c>
      <c r="C1785">
        <v>-3.8600723763570002E-2</v>
      </c>
      <c r="D1785">
        <v>-0.143931256713211</v>
      </c>
      <c r="E1785">
        <v>-0.33249581239530901</v>
      </c>
      <c r="F1785">
        <v>-0.42703091301222101</v>
      </c>
      <c r="G1785">
        <v>-8.7056128293241011E-2</v>
      </c>
      <c r="H1785">
        <v>-0.26633711671407401</v>
      </c>
      <c r="I1785">
        <v>41.147012162876777</v>
      </c>
    </row>
  </sheetData>
  <autoFilter ref="A1:I1785" xr:uid="{00000000-0009-0000-0000-000001000000}"/>
  <conditionalFormatting sqref="A1:I1">
    <cfRule type="cellIs" dxfId="9" priority="10" operator="notEqual">
      <formula>-13.345</formula>
    </cfRule>
  </conditionalFormatting>
  <conditionalFormatting sqref="A2:A1785">
    <cfRule type="cellIs" dxfId="8" priority="1" operator="notEqual">
      <formula>"None"</formula>
    </cfRule>
  </conditionalFormatting>
  <conditionalFormatting sqref="B2:B1785">
    <cfRule type="cellIs" dxfId="7" priority="2" operator="notEqual">
      <formula>"None"</formula>
    </cfRule>
  </conditionalFormatting>
  <conditionalFormatting sqref="C2:C1785">
    <cfRule type="cellIs" dxfId="6" priority="3" operator="notEqual">
      <formula>"None"</formula>
    </cfRule>
  </conditionalFormatting>
  <conditionalFormatting sqref="D2:D1785">
    <cfRule type="cellIs" dxfId="5" priority="4" operator="notEqual">
      <formula>"None"</formula>
    </cfRule>
  </conditionalFormatting>
  <conditionalFormatting sqref="E2:E1785">
    <cfRule type="cellIs" dxfId="4" priority="5" operator="notEqual">
      <formula>"None"</formula>
    </cfRule>
  </conditionalFormatting>
  <conditionalFormatting sqref="F2:F1785">
    <cfRule type="cellIs" dxfId="3" priority="6" operator="notEqual">
      <formula>"None"</formula>
    </cfRule>
  </conditionalFormatting>
  <conditionalFormatting sqref="G2:G1785">
    <cfRule type="cellIs" dxfId="2" priority="7" operator="notEqual">
      <formula>"None"</formula>
    </cfRule>
  </conditionalFormatting>
  <conditionalFormatting sqref="H2:H1785">
    <cfRule type="cellIs" dxfId="1" priority="8" operator="notEqual">
      <formula>"None"</formula>
    </cfRule>
  </conditionalFormatting>
  <conditionalFormatting sqref="I2:I1785">
    <cfRule type="cellIs" dxfId="0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defaultRowHeight="14.5" x14ac:dyDescent="0.35"/>
  <cols>
    <col min="1" max="1" width="25.7265625" customWidth="1"/>
    <col min="2" max="2" width="0" hidden="1" customWidth="1"/>
  </cols>
  <sheetData>
    <row r="1" spans="1:2" x14ac:dyDescent="0.35">
      <c r="A1" s="1" t="s">
        <v>1817</v>
      </c>
      <c r="B1" s="1"/>
    </row>
    <row r="2" spans="1:2" x14ac:dyDescent="0.35">
      <c r="A2" s="1" t="s">
        <v>1818</v>
      </c>
    </row>
    <row r="3" spans="1:2" x14ac:dyDescent="0.35">
      <c r="A3" s="1" t="s">
        <v>1819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Golz</dc:creator>
  <cp:lastModifiedBy>Jason Golz</cp:lastModifiedBy>
  <dcterms:created xsi:type="dcterms:W3CDTF">2023-10-16T12:52:33Z</dcterms:created>
  <dcterms:modified xsi:type="dcterms:W3CDTF">2023-10-16T20:44:02Z</dcterms:modified>
</cp:coreProperties>
</file>