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Applications/SMU/"/>
    </mc:Choice>
  </mc:AlternateContent>
  <xr:revisionPtr revIDLastSave="0" documentId="13_ncr:1_{F53B25B3-5369-3242-843C-B2CC1F580C59}" xr6:coauthVersionLast="47" xr6:coauthVersionMax="47" xr10:uidLastSave="{00000000-0000-0000-0000-000000000000}"/>
  <bookViews>
    <workbookView xWindow="0" yWindow="500" windowWidth="25420" windowHeight="13500" firstSheet="1" activeTab="11" xr2:uid="{00000000-000D-0000-FFFF-FFFF00000000}"/>
  </bookViews>
  <sheets>
    <sheet name="Exhibit 1" sheetId="1" r:id="rId1"/>
    <sheet name="Exhibit 2" sheetId="2" r:id="rId2"/>
    <sheet name="Exhibit 3" sheetId="3" r:id="rId3"/>
    <sheet name="Exhibit 4" sheetId="4" r:id="rId4"/>
    <sheet name="Exhibit 5" sheetId="5" r:id="rId5"/>
    <sheet name="Exhibit 6" sheetId="6" r:id="rId6"/>
    <sheet name="Exhibit 7" sheetId="7" r:id="rId7"/>
    <sheet name="WACC" sheetId="11" r:id="rId8"/>
    <sheet name="Best Case Forecast" sheetId="10" r:id="rId9"/>
    <sheet name="Best Case FCF" sheetId="9" r:id="rId10"/>
    <sheet name="Worst Case Forecast" sheetId="12" r:id="rId11"/>
    <sheet name="Worst Case FCF" sheetId="14" r:id="rId12"/>
  </sheets>
  <definedNames>
    <definedName name="ReturnHere" localSheetId="6">'Exhibit 7'!$A$4</definedName>
  </definedNames>
  <calcPr calcId="191028" calcMode="autoNoTable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" i="9" l="1"/>
  <c r="C38" i="9" s="1"/>
  <c r="C39" i="9" s="1"/>
  <c r="B12" i="11"/>
  <c r="B5" i="11"/>
  <c r="K5" i="6"/>
  <c r="I13" i="6"/>
  <c r="D28" i="9"/>
  <c r="D28" i="14" l="1"/>
  <c r="D13" i="14"/>
  <c r="F10" i="14"/>
  <c r="G10" i="14" s="1"/>
  <c r="G24" i="14" s="1"/>
  <c r="E10" i="14"/>
  <c r="E24" i="14" s="1"/>
  <c r="C33" i="12"/>
  <c r="D10" i="12"/>
  <c r="D11" i="12" s="1"/>
  <c r="D12" i="12" s="1"/>
  <c r="D25" i="12" s="1"/>
  <c r="C16" i="4"/>
  <c r="G19" i="4"/>
  <c r="F19" i="4"/>
  <c r="E19" i="4"/>
  <c r="D19" i="4"/>
  <c r="C19" i="4"/>
  <c r="G16" i="4"/>
  <c r="F16" i="4"/>
  <c r="E16" i="4"/>
  <c r="D16" i="4"/>
  <c r="G14" i="4"/>
  <c r="F14" i="4"/>
  <c r="E14" i="4"/>
  <c r="D14" i="4"/>
  <c r="C14" i="4"/>
  <c r="G12" i="4"/>
  <c r="F12" i="4"/>
  <c r="E12" i="4"/>
  <c r="D12" i="4"/>
  <c r="C12" i="4"/>
  <c r="G10" i="4"/>
  <c r="F10" i="4"/>
  <c r="E10" i="4"/>
  <c r="D10" i="4"/>
  <c r="C10" i="4"/>
  <c r="C8" i="4"/>
  <c r="G8" i="4"/>
  <c r="F8" i="4"/>
  <c r="E8" i="4"/>
  <c r="D8" i="4"/>
  <c r="O48" i="14"/>
  <c r="I48" i="14"/>
  <c r="C48" i="14"/>
  <c r="O37" i="14"/>
  <c r="E18" i="14"/>
  <c r="E17" i="14" s="1"/>
  <c r="D18" i="14"/>
  <c r="D15" i="14"/>
  <c r="O36" i="14"/>
  <c r="O38" i="14" s="1"/>
  <c r="E13" i="14"/>
  <c r="E11" i="14"/>
  <c r="D45" i="12"/>
  <c r="D42" i="12"/>
  <c r="C41" i="12"/>
  <c r="C40" i="12"/>
  <c r="C39" i="12"/>
  <c r="D37" i="12"/>
  <c r="C35" i="12"/>
  <c r="C34" i="12"/>
  <c r="E32" i="12"/>
  <c r="C32" i="12"/>
  <c r="D31" i="12"/>
  <c r="B31" i="12"/>
  <c r="E28" i="12"/>
  <c r="F28" i="12" s="1"/>
  <c r="G28" i="12" s="1"/>
  <c r="H28" i="12" s="1"/>
  <c r="C27" i="12"/>
  <c r="C26" i="12"/>
  <c r="H20" i="12"/>
  <c r="G20" i="12"/>
  <c r="F20" i="12"/>
  <c r="E20" i="12"/>
  <c r="D20" i="12"/>
  <c r="C20" i="12"/>
  <c r="C12" i="12"/>
  <c r="C15" i="12" s="1"/>
  <c r="D8" i="12"/>
  <c r="E31" i="12" s="1"/>
  <c r="B5" i="12"/>
  <c r="B2" i="12"/>
  <c r="O48" i="9"/>
  <c r="I48" i="9"/>
  <c r="C48" i="9"/>
  <c r="O37" i="9"/>
  <c r="I18" i="6"/>
  <c r="B3" i="11"/>
  <c r="I12" i="6"/>
  <c r="B8" i="11"/>
  <c r="B6" i="11"/>
  <c r="E18" i="9"/>
  <c r="D18" i="9"/>
  <c r="E10" i="9"/>
  <c r="F10" i="9"/>
  <c r="G10" i="9"/>
  <c r="H10" i="9"/>
  <c r="I10" i="9"/>
  <c r="D10" i="9"/>
  <c r="F24" i="14" l="1"/>
  <c r="E39" i="12"/>
  <c r="C25" i="12"/>
  <c r="D24" i="12"/>
  <c r="E10" i="12"/>
  <c r="D47" i="12"/>
  <c r="D13" i="12"/>
  <c r="E19" i="14"/>
  <c r="H10" i="14"/>
  <c r="H24" i="14" s="1"/>
  <c r="G11" i="14"/>
  <c r="G13" i="14"/>
  <c r="G15" i="14"/>
  <c r="F13" i="14"/>
  <c r="H15" i="14"/>
  <c r="D15" i="12"/>
  <c r="D16" i="12" s="1"/>
  <c r="D17" i="12" s="1"/>
  <c r="D18" i="12" s="1"/>
  <c r="E44" i="12" s="1"/>
  <c r="F40" i="12"/>
  <c r="E33" i="12"/>
  <c r="E28" i="14" s="1"/>
  <c r="E34" i="12"/>
  <c r="E24" i="12"/>
  <c r="E35" i="12"/>
  <c r="E37" i="12"/>
  <c r="E15" i="14"/>
  <c r="I36" i="14"/>
  <c r="F11" i="14"/>
  <c r="F15" i="14"/>
  <c r="D17" i="14"/>
  <c r="D19" i="14"/>
  <c r="C21" i="12"/>
  <c r="C16" i="12"/>
  <c r="E8" i="12"/>
  <c r="F33" i="12"/>
  <c r="F35" i="12"/>
  <c r="F39" i="12"/>
  <c r="E40" i="12"/>
  <c r="E11" i="9"/>
  <c r="E24" i="9"/>
  <c r="C40" i="10"/>
  <c r="F40" i="10" s="1"/>
  <c r="C41" i="10"/>
  <c r="C39" i="10"/>
  <c r="I39" i="10" s="1"/>
  <c r="C34" i="10"/>
  <c r="C35" i="10"/>
  <c r="G35" i="10" s="1"/>
  <c r="C32" i="10"/>
  <c r="E32" i="10" s="1"/>
  <c r="C33" i="10"/>
  <c r="E33" i="10" s="1"/>
  <c r="D37" i="10"/>
  <c r="E34" i="10"/>
  <c r="F33" i="10"/>
  <c r="G27" i="10"/>
  <c r="D26" i="10"/>
  <c r="D20" i="10"/>
  <c r="E20" i="10"/>
  <c r="F20" i="10"/>
  <c r="G20" i="10"/>
  <c r="H20" i="10"/>
  <c r="E12" i="10"/>
  <c r="E15" i="10" s="1"/>
  <c r="F12" i="10"/>
  <c r="F15" i="10" s="1"/>
  <c r="G12" i="10"/>
  <c r="G15" i="10" s="1"/>
  <c r="H12" i="10"/>
  <c r="H15" i="10" s="1"/>
  <c r="D12" i="10"/>
  <c r="D15" i="10" s="1"/>
  <c r="E25" i="10"/>
  <c r="F25" i="10"/>
  <c r="G25" i="10"/>
  <c r="H25" i="10"/>
  <c r="D25" i="10"/>
  <c r="E24" i="10"/>
  <c r="F24" i="10"/>
  <c r="G24" i="10"/>
  <c r="H24" i="10"/>
  <c r="D24" i="10"/>
  <c r="D6" i="4"/>
  <c r="E6" i="4"/>
  <c r="F6" i="4"/>
  <c r="G6" i="4"/>
  <c r="C6" i="4"/>
  <c r="K6" i="6"/>
  <c r="B4" i="11" s="1"/>
  <c r="B10" i="11" s="1"/>
  <c r="L5" i="6"/>
  <c r="M5" i="6"/>
  <c r="N5" i="6"/>
  <c r="O5" i="6"/>
  <c r="P5" i="6"/>
  <c r="L3" i="6"/>
  <c r="M3" i="6"/>
  <c r="N3" i="6"/>
  <c r="O3" i="6"/>
  <c r="P3" i="6"/>
  <c r="K3" i="6"/>
  <c r="L4" i="6"/>
  <c r="M4" i="6"/>
  <c r="N4" i="6"/>
  <c r="O4" i="6"/>
  <c r="P4" i="6"/>
  <c r="B7" i="11"/>
  <c r="B5" i="10"/>
  <c r="F32" i="10" l="1"/>
  <c r="H13" i="14"/>
  <c r="E22" i="14"/>
  <c r="E29" i="14"/>
  <c r="D21" i="12"/>
  <c r="E13" i="12"/>
  <c r="F10" i="12"/>
  <c r="F32" i="12"/>
  <c r="E11" i="12"/>
  <c r="F34" i="12" s="1"/>
  <c r="H33" i="10"/>
  <c r="I33" i="10"/>
  <c r="H32" i="10"/>
  <c r="G33" i="10"/>
  <c r="H21" i="14"/>
  <c r="H21" i="9"/>
  <c r="H39" i="10"/>
  <c r="I40" i="10"/>
  <c r="G16" i="10"/>
  <c r="G17" i="10" s="1"/>
  <c r="H14" i="9"/>
  <c r="G39" i="10"/>
  <c r="H40" i="10"/>
  <c r="F16" i="10"/>
  <c r="F17" i="10" s="1"/>
  <c r="G14" i="9"/>
  <c r="G21" i="14"/>
  <c r="G21" i="9"/>
  <c r="D16" i="10"/>
  <c r="D17" i="10" s="1"/>
  <c r="E14" i="9"/>
  <c r="E16" i="10"/>
  <c r="E17" i="10" s="1"/>
  <c r="F14" i="9"/>
  <c r="F21" i="14"/>
  <c r="F21" i="9"/>
  <c r="I32" i="10"/>
  <c r="I35" i="10"/>
  <c r="E39" i="10"/>
  <c r="F39" i="10"/>
  <c r="G40" i="10"/>
  <c r="H16" i="10"/>
  <c r="I14" i="9"/>
  <c r="I21" i="14"/>
  <c r="I21" i="9"/>
  <c r="E21" i="14"/>
  <c r="E26" i="14" s="1"/>
  <c r="E21" i="9"/>
  <c r="F35" i="10"/>
  <c r="E40" i="10"/>
  <c r="I10" i="14"/>
  <c r="I24" i="14" s="1"/>
  <c r="H11" i="14"/>
  <c r="E45" i="12"/>
  <c r="E41" i="12"/>
  <c r="E42" i="12" s="1"/>
  <c r="C17" i="12"/>
  <c r="C18" i="12" s="1"/>
  <c r="F8" i="12"/>
  <c r="F31" i="12"/>
  <c r="E35" i="10"/>
  <c r="E37" i="10" s="1"/>
  <c r="H35" i="10"/>
  <c r="G32" i="10"/>
  <c r="B14" i="11"/>
  <c r="C4" i="9" l="1"/>
  <c r="C4" i="14"/>
  <c r="O39" i="14" s="1"/>
  <c r="F37" i="12"/>
  <c r="E12" i="12"/>
  <c r="F28" i="14"/>
  <c r="G10" i="12"/>
  <c r="F11" i="12"/>
  <c r="G34" i="12" s="1"/>
  <c r="G32" i="12"/>
  <c r="F13" i="12"/>
  <c r="G40" i="12"/>
  <c r="G33" i="12"/>
  <c r="G39" i="12"/>
  <c r="F24" i="12"/>
  <c r="G35" i="12"/>
  <c r="H17" i="10"/>
  <c r="H18" i="10" s="1"/>
  <c r="E28" i="9"/>
  <c r="E22" i="9" s="1"/>
  <c r="I11" i="14"/>
  <c r="I13" i="14"/>
  <c r="I15" i="14"/>
  <c r="E47" i="12"/>
  <c r="G8" i="12"/>
  <c r="G31" i="12"/>
  <c r="E33" i="14" l="1"/>
  <c r="F12" i="12"/>
  <c r="F22" i="14"/>
  <c r="F29" i="14"/>
  <c r="G28" i="14"/>
  <c r="G37" i="12"/>
  <c r="E15" i="12"/>
  <c r="E25" i="12"/>
  <c r="G11" i="12"/>
  <c r="H34" i="12" s="1"/>
  <c r="G13" i="12"/>
  <c r="G24" i="12"/>
  <c r="H39" i="12"/>
  <c r="H33" i="12"/>
  <c r="H35" i="12"/>
  <c r="H10" i="12"/>
  <c r="H32" i="12"/>
  <c r="H40" i="12"/>
  <c r="H31" i="12"/>
  <c r="H8" i="12"/>
  <c r="I31" i="12" s="1"/>
  <c r="H28" i="14" l="1"/>
  <c r="H37" i="12"/>
  <c r="I40" i="12"/>
  <c r="H11" i="12"/>
  <c r="I34" i="12" s="1"/>
  <c r="H13" i="12"/>
  <c r="I32" i="12"/>
  <c r="I39" i="12"/>
  <c r="I33" i="12"/>
  <c r="H12" i="12"/>
  <c r="H24" i="12"/>
  <c r="I35" i="12"/>
  <c r="E21" i="12"/>
  <c r="E16" i="12"/>
  <c r="E17" i="12" s="1"/>
  <c r="E18" i="12" s="1"/>
  <c r="F44" i="12" s="1"/>
  <c r="G12" i="12"/>
  <c r="F15" i="12"/>
  <c r="F25" i="12"/>
  <c r="G22" i="14"/>
  <c r="G29" i="14"/>
  <c r="G15" i="12" l="1"/>
  <c r="G25" i="12"/>
  <c r="F16" i="12"/>
  <c r="F17" i="12" s="1"/>
  <c r="F18" i="12" s="1"/>
  <c r="F21" i="12"/>
  <c r="I28" i="14"/>
  <c r="I37" i="12"/>
  <c r="F45" i="12"/>
  <c r="G44" i="12"/>
  <c r="F41" i="12"/>
  <c r="F42" i="12" s="1"/>
  <c r="F47" i="12" s="1"/>
  <c r="H22" i="14"/>
  <c r="H29" i="14"/>
  <c r="H15" i="12"/>
  <c r="H25" i="12"/>
  <c r="G45" i="12" l="1"/>
  <c r="G41" i="12"/>
  <c r="G42" i="12" s="1"/>
  <c r="H21" i="12"/>
  <c r="H16" i="12"/>
  <c r="H17" i="12" s="1"/>
  <c r="H18" i="12" s="1"/>
  <c r="I22" i="14"/>
  <c r="I29" i="14"/>
  <c r="G21" i="12"/>
  <c r="G16" i="12"/>
  <c r="G17" i="12" s="1"/>
  <c r="G18" i="12" s="1"/>
  <c r="H44" i="12" s="1"/>
  <c r="I44" i="12" l="1"/>
  <c r="H45" i="12"/>
  <c r="H41" i="12"/>
  <c r="H42" i="12" s="1"/>
  <c r="H47" i="12" s="1"/>
  <c r="G47" i="12"/>
  <c r="C27" i="10"/>
  <c r="C26" i="10"/>
  <c r="C20" i="10"/>
  <c r="C12" i="10"/>
  <c r="C15" i="10" s="1"/>
  <c r="D45" i="10"/>
  <c r="D42" i="10"/>
  <c r="D47" i="10" s="1"/>
  <c r="B31" i="10"/>
  <c r="B2" i="10"/>
  <c r="I45" i="12" l="1"/>
  <c r="I41" i="12"/>
  <c r="I42" i="12" s="1"/>
  <c r="I47" i="12" s="1"/>
  <c r="C21" i="10"/>
  <c r="D12" i="9" s="1"/>
  <c r="D13" i="9" s="1"/>
  <c r="D14" i="9"/>
  <c r="D17" i="9" s="1"/>
  <c r="D21" i="14"/>
  <c r="D21" i="9"/>
  <c r="E29" i="9"/>
  <c r="E19" i="9"/>
  <c r="E26" i="9" s="1"/>
  <c r="E33" i="9" s="1"/>
  <c r="C25" i="10"/>
  <c r="E15" i="9"/>
  <c r="E17" i="9"/>
  <c r="D8" i="10"/>
  <c r="E8" i="10" s="1"/>
  <c r="F8" i="10" s="1"/>
  <c r="G8" i="10" s="1"/>
  <c r="D31" i="10"/>
  <c r="C16" i="10"/>
  <c r="C17" i="10" s="1"/>
  <c r="D15" i="9" l="1"/>
  <c r="D19" i="9"/>
  <c r="F31" i="10"/>
  <c r="E31" i="10"/>
  <c r="G31" i="10"/>
  <c r="H31" i="10"/>
  <c r="H8" i="10"/>
  <c r="E28" i="10"/>
  <c r="C18" i="10"/>
  <c r="F18" i="9" l="1"/>
  <c r="F18" i="14"/>
  <c r="F28" i="10"/>
  <c r="I31" i="10"/>
  <c r="G18" i="14" l="1"/>
  <c r="G18" i="9"/>
  <c r="F17" i="14"/>
  <c r="F19" i="14"/>
  <c r="F26" i="14" s="1"/>
  <c r="F33" i="14" s="1"/>
  <c r="G28" i="10"/>
  <c r="H28" i="10" l="1"/>
  <c r="H18" i="14"/>
  <c r="H18" i="9"/>
  <c r="G17" i="14"/>
  <c r="G19" i="14"/>
  <c r="G26" i="14" s="1"/>
  <c r="G33" i="14" s="1"/>
  <c r="F24" i="9"/>
  <c r="H17" i="14" l="1"/>
  <c r="H19" i="14"/>
  <c r="H26" i="14" s="1"/>
  <c r="H33" i="14" s="1"/>
  <c r="I18" i="9"/>
  <c r="I19" i="9" s="1"/>
  <c r="I18" i="14"/>
  <c r="F11" i="9"/>
  <c r="G24" i="9"/>
  <c r="I17" i="14" l="1"/>
  <c r="I19" i="14"/>
  <c r="I26" i="14" s="1"/>
  <c r="G11" i="9"/>
  <c r="F19" i="9"/>
  <c r="H11" i="9"/>
  <c r="C37" i="14" l="1"/>
  <c r="C38" i="14" s="1"/>
  <c r="O45" i="14"/>
  <c r="I33" i="14"/>
  <c r="C40" i="14" s="1"/>
  <c r="H24" i="9"/>
  <c r="F15" i="9"/>
  <c r="I11" i="9"/>
  <c r="F17" i="9"/>
  <c r="G19" i="9"/>
  <c r="I40" i="14" l="1"/>
  <c r="O40" i="14" s="1"/>
  <c r="O41" i="14" s="1"/>
  <c r="C45" i="14"/>
  <c r="C39" i="14"/>
  <c r="G17" i="9"/>
  <c r="G15" i="9"/>
  <c r="I24" i="9"/>
  <c r="H17" i="9"/>
  <c r="C41" i="14" l="1"/>
  <c r="O49" i="14"/>
  <c r="O43" i="14"/>
  <c r="O44" i="14" s="1"/>
  <c r="H19" i="9"/>
  <c r="H15" i="9"/>
  <c r="C49" i="14" l="1"/>
  <c r="I37" i="14"/>
  <c r="I38" i="14" s="1"/>
  <c r="C43" i="14"/>
  <c r="C44" i="14" s="1"/>
  <c r="I15" i="9"/>
  <c r="I17" i="9"/>
  <c r="I45" i="14" l="1"/>
  <c r="I39" i="14"/>
  <c r="I41" i="14" l="1"/>
  <c r="I49" i="14" s="1"/>
  <c r="I43" i="14" l="1"/>
  <c r="I44" i="14" s="1"/>
  <c r="C11" i="3"/>
  <c r="D11" i="3"/>
  <c r="E11" i="3"/>
  <c r="F11" i="3"/>
  <c r="B11" i="3"/>
  <c r="F26" i="10" l="1"/>
  <c r="G26" i="10"/>
  <c r="H26" i="10"/>
  <c r="H27" i="10"/>
  <c r="F27" i="10" s="1"/>
  <c r="E27" i="10" s="1"/>
  <c r="D27" i="10" s="1"/>
  <c r="H21" i="10" l="1"/>
  <c r="I12" i="9" s="1"/>
  <c r="I36" i="9" l="1"/>
  <c r="O36" i="9"/>
  <c r="O38" i="9" s="1"/>
  <c r="O39" i="9" s="1"/>
  <c r="I13" i="9"/>
  <c r="E26" i="10"/>
  <c r="F21" i="10"/>
  <c r="G12" i="9" s="1"/>
  <c r="G13" i="9" s="1"/>
  <c r="G21" i="10"/>
  <c r="H12" i="9" s="1"/>
  <c r="H13" i="9" s="1"/>
  <c r="G18" i="10" l="1"/>
  <c r="E21" i="10"/>
  <c r="F12" i="9" s="1"/>
  <c r="F13" i="9" s="1"/>
  <c r="F18" i="10"/>
  <c r="D21" i="10" l="1"/>
  <c r="E12" i="9" s="1"/>
  <c r="E13" i="9" s="1"/>
  <c r="E18" i="10"/>
  <c r="F34" i="10"/>
  <c r="G34" i="10" l="1"/>
  <c r="F28" i="9"/>
  <c r="D18" i="10"/>
  <c r="E44" i="10" s="1"/>
  <c r="H34" i="10" l="1"/>
  <c r="G28" i="9"/>
  <c r="F22" i="9"/>
  <c r="F26" i="9" s="1"/>
  <c r="F33" i="9" s="1"/>
  <c r="F29" i="9"/>
  <c r="F44" i="10"/>
  <c r="E41" i="10"/>
  <c r="E45" i="10"/>
  <c r="I34" i="10" l="1"/>
  <c r="I28" i="9" s="1"/>
  <c r="H28" i="9"/>
  <c r="G22" i="9"/>
  <c r="G26" i="9" s="1"/>
  <c r="G33" i="9" s="1"/>
  <c r="G29" i="9"/>
  <c r="G44" i="10"/>
  <c r="F45" i="10"/>
  <c r="F37" i="10"/>
  <c r="F41" i="10" s="1"/>
  <c r="F42" i="10" s="1"/>
  <c r="H22" i="9" l="1"/>
  <c r="H26" i="9" s="1"/>
  <c r="H33" i="9" s="1"/>
  <c r="H29" i="9"/>
  <c r="I22" i="9"/>
  <c r="I26" i="9" s="1"/>
  <c r="I29" i="9"/>
  <c r="F47" i="10"/>
  <c r="H44" i="10"/>
  <c r="G45" i="10"/>
  <c r="G37" i="10"/>
  <c r="G41" i="10" s="1"/>
  <c r="G42" i="10" s="1"/>
  <c r="O45" i="9" l="1"/>
  <c r="I33" i="9"/>
  <c r="C40" i="9" s="1"/>
  <c r="I40" i="9" s="1"/>
  <c r="O40" i="9" s="1"/>
  <c r="O41" i="9" s="1"/>
  <c r="G47" i="10"/>
  <c r="I44" i="10"/>
  <c r="H45" i="10"/>
  <c r="I37" i="10"/>
  <c r="H37" i="10"/>
  <c r="E42" i="10"/>
  <c r="E47" i="10" s="1"/>
  <c r="O49" i="9" l="1"/>
  <c r="O43" i="9"/>
  <c r="O44" i="9" s="1"/>
  <c r="H41" i="10"/>
  <c r="H42" i="10" s="1"/>
  <c r="H47" i="10" s="1"/>
  <c r="C41" i="9"/>
  <c r="C43" i="9" s="1"/>
  <c r="C44" i="9" s="1"/>
  <c r="I41" i="10"/>
  <c r="I42" i="10" s="1"/>
  <c r="I45" i="10"/>
  <c r="I47" i="10" l="1"/>
  <c r="C49" i="9"/>
  <c r="C45" i="9"/>
  <c r="I37" i="9"/>
  <c r="I38" i="9" s="1"/>
  <c r="I39" i="9" l="1"/>
  <c r="I45" i="9"/>
  <c r="I41" i="9" l="1"/>
  <c r="I49" i="9" s="1"/>
  <c r="I43" i="9" l="1"/>
  <c r="I44" i="9" s="1"/>
</calcChain>
</file>

<file path=xl/sharedStrings.xml><?xml version="1.0" encoding="utf-8"?>
<sst xmlns="http://schemas.openxmlformats.org/spreadsheetml/2006/main" count="492" uniqueCount="290">
  <si>
    <r>
      <t xml:space="preserve">Exhibit 1 </t>
    </r>
    <r>
      <rPr>
        <sz val="10"/>
        <color rgb="FF000000"/>
        <rFont val="Times New Roman"/>
        <family val="1"/>
      </rPr>
      <t>Condensed Operating and Stockholder Information, Robertson Tool Company (millions of dollars except per-share data)</t>
    </r>
  </si>
  <si>
    <t>Operations</t>
  </si>
  <si>
    <t>Sales</t>
  </si>
  <si>
    <t>$ 48.5</t>
  </si>
  <si>
    <t>$ 49.1</t>
  </si>
  <si>
    <t>$ 53.7</t>
  </si>
  <si>
    <t>$ 54.8</t>
  </si>
  <si>
    <t>$ 55.3</t>
  </si>
  <si>
    <t>Cost of Goods</t>
  </si>
  <si>
    <t xml:space="preserve">Selling, General and  </t>
  </si>
  <si>
    <t>Administrative Costs</t>
  </si>
  <si>
    <t>Depreciation Expense</t>
  </si>
  <si>
    <t>Interest Expense</t>
  </si>
  <si>
    <t>.4</t>
  </si>
  <si>
    <t>.7</t>
  </si>
  <si>
    <t>.8</t>
  </si>
  <si>
    <t>Income Before Taxes</t>
  </si>
  <si>
    <t>Taxes</t>
  </si>
  <si>
    <t>.9</t>
  </si>
  <si>
    <t>Net Income</t>
  </si>
  <si>
    <t>Percentage of Sales</t>
  </si>
  <si>
    <t>Sell, Gen’l, Admin.</t>
  </si>
  <si>
    <t>Operating Income</t>
  </si>
  <si>
    <t>Stockholder Information</t>
  </si>
  <si>
    <t>Earnings Per Share</t>
  </si>
  <si>
    <t>$ 2.91</t>
  </si>
  <si>
    <t>$ 1.88</t>
  </si>
  <si>
    <t>$ 3.25</t>
  </si>
  <si>
    <t>$ 2.74</t>
  </si>
  <si>
    <t>$ 2.23</t>
  </si>
  <si>
    <t>Dividends Per Share</t>
  </si>
  <si>
    <t>Book Value Per Share</t>
  </si>
  <si>
    <t>Market Price</t>
  </si>
  <si>
    <t>33-46</t>
  </si>
  <si>
    <t>35-48</t>
  </si>
  <si>
    <t>29-41</t>
  </si>
  <si>
    <t>25-33</t>
  </si>
  <si>
    <t>23-32</t>
  </si>
  <si>
    <t>Price/Earnings Ratio</t>
  </si>
  <si>
    <t>11-16</t>
  </si>
  <si>
    <t>10-26</t>
  </si>
  <si>
    <t>9-13</t>
  </si>
  <si>
    <t>9-12</t>
  </si>
  <si>
    <t>10-14</t>
  </si>
  <si>
    <t>Shares Outstanding</t>
  </si>
  <si>
    <r>
      <t xml:space="preserve">Exhibit 2  </t>
    </r>
    <r>
      <rPr>
        <sz val="10"/>
        <color rgb="FF000000"/>
        <rFont val="Times New Roman"/>
        <family val="1"/>
      </rPr>
      <t>Balance Sheet at December 31, 2002, Robertson Tool Company                                       (millions of dollars)</t>
    </r>
  </si>
  <si>
    <t>Assets</t>
  </si>
  <si>
    <t>Liabilities and Net Worth</t>
  </si>
  <si>
    <t>Cash</t>
  </si>
  <si>
    <t>$  1</t>
  </si>
  <si>
    <t>Accounts Payable</t>
  </si>
  <si>
    <t>$  2</t>
  </si>
  <si>
    <t>Accounts Receivable</t>
  </si>
  <si>
    <t>Other</t>
  </si>
  <si>
    <t>Inventories</t>
  </si>
  <si>
    <t>Current Liabilities</t>
  </si>
  <si>
    <t>Long-term Debt</t>
  </si>
  <si>
    <t>Current Assets</t>
  </si>
  <si>
    <t>Net Plant and Equipment</t>
  </si>
  <si>
    <t>Net Worth</t>
  </si>
  <si>
    <t>Total Assets</t>
  </si>
  <si>
    <t>$ 47</t>
  </si>
  <si>
    <t>Total</t>
  </si>
  <si>
    <t>Collection Period (days)</t>
  </si>
  <si>
    <t>Debt as % Capital</t>
  </si>
  <si>
    <t>Days of Inventory (days)</t>
  </si>
  <si>
    <t>Total Assets/Net Worth</t>
  </si>
  <si>
    <t>Sales/Total Assets</t>
  </si>
  <si>
    <r>
      <t xml:space="preserve">Exhibit 3  </t>
    </r>
    <r>
      <rPr>
        <sz val="10"/>
        <color rgb="FF000000"/>
        <rFont val="Times New Roman"/>
        <family val="1"/>
      </rPr>
      <t>Condensed Operating and Stockholder Information, NDP Corporation                                                   (millions of dollars except per-share data)</t>
    </r>
  </si>
  <si>
    <t>$ 45</t>
  </si>
  <si>
    <t>$ 97</t>
  </si>
  <si>
    <t>$ 99</t>
  </si>
  <si>
    <t>$ 98</t>
  </si>
  <si>
    <t>$ 100</t>
  </si>
  <si>
    <t>Financial Position</t>
  </si>
  <si>
    <t>$ 25</t>
  </si>
  <si>
    <t>$ 46</t>
  </si>
  <si>
    <t>$ 49</t>
  </si>
  <si>
    <t>$ 41</t>
  </si>
  <si>
    <t>Net Working Capital</t>
  </si>
  <si>
    <t>Shareholders’ Equity</t>
  </si>
  <si>
    <t>Stockholders Information</t>
  </si>
  <si>
    <t>$ .78</t>
  </si>
  <si>
    <t>$ .61</t>
  </si>
  <si>
    <t>$ .59</t>
  </si>
  <si>
    <t>$ .21</t>
  </si>
  <si>
    <t>$ .54</t>
  </si>
  <si>
    <t>6-17</t>
  </si>
  <si>
    <t>10-18</t>
  </si>
  <si>
    <t>7-18</t>
  </si>
  <si>
    <t>4-10</t>
  </si>
  <si>
    <t>5-8</t>
  </si>
  <si>
    <t>8-22</t>
  </si>
  <si>
    <t>16-30</t>
  </si>
  <si>
    <t>12-31</t>
  </si>
  <si>
    <t>19-48</t>
  </si>
  <si>
    <t>9-15</t>
  </si>
  <si>
    <r>
      <t xml:space="preserve">Exhibit 4  </t>
    </r>
    <r>
      <rPr>
        <sz val="10"/>
        <color rgb="FF000000"/>
        <rFont val="Times New Roman"/>
        <family val="1"/>
      </rPr>
      <t>ProFormas for Robertson Tool   (millions of dollars)</t>
    </r>
  </si>
  <si>
    <t>Actual</t>
  </si>
  <si>
    <t>Forecasts</t>
  </si>
  <si>
    <t>2007 to Infinity</t>
  </si>
  <si>
    <t>$ 58.6</t>
  </si>
  <si>
    <t>$ 62.1</t>
  </si>
  <si>
    <t>$ 65.9</t>
  </si>
  <si>
    <t>$ 69.8</t>
  </si>
  <si>
    <t>Gross Profit</t>
  </si>
  <si>
    <t>Sell &amp; Admin</t>
  </si>
  <si>
    <t>Depreciation</t>
  </si>
  <si>
    <t>EBIT</t>
  </si>
  <si>
    <t>Tax @ 40%</t>
  </si>
  <si>
    <t>EBIAT</t>
  </si>
  <si>
    <t>$ 1.8</t>
  </si>
  <si>
    <t>$ 2.5</t>
  </si>
  <si>
    <t>$ 3.4</t>
  </si>
  <si>
    <t>$ 4.3</t>
  </si>
  <si>
    <t>$ 4.9</t>
  </si>
  <si>
    <t>CoGS % Sales</t>
  </si>
  <si>
    <t>Sell &amp; Admin % Sales</t>
  </si>
  <si>
    <t xml:space="preserve">Net Plant &amp; Equip @                                </t>
  </si>
  <si>
    <t>Beginning of Year</t>
  </si>
  <si>
    <t>$ 19.0</t>
  </si>
  <si>
    <t>$ 20.7</t>
  </si>
  <si>
    <t>$ 21.7</t>
  </si>
  <si>
    <t>$ 22.6</t>
  </si>
  <si>
    <t>$ 23.5</t>
  </si>
  <si>
    <t>Capital Expenditures</t>
  </si>
  <si>
    <t xml:space="preserve">Net Plant &amp; Equip @                     </t>
  </si>
  <si>
    <t>End of Year</t>
  </si>
  <si>
    <r>
      <t xml:space="preserve">Exhibit 5  </t>
    </r>
    <r>
      <rPr>
        <sz val="10"/>
        <color rgb="FF000000"/>
        <rFont val="Times New Roman"/>
        <family val="1"/>
      </rPr>
      <t>Five-Year Forecast of Monmouth, Inc. Earnings, Excluding Robertson Tool    (millions of dollars except per-share data)</t>
    </r>
  </si>
  <si>
    <t>$ 11.0</t>
  </si>
  <si>
    <t>$ 11.9</t>
  </si>
  <si>
    <t>$ 12.8</t>
  </si>
  <si>
    <t>$ 13.8</t>
  </si>
  <si>
    <t>$ 15.0</t>
  </si>
  <si>
    <t>Shares Outstanding (mil)</t>
  </si>
  <si>
    <t>$ 2.61</t>
  </si>
  <si>
    <t>$ 2.83</t>
  </si>
  <si>
    <t>$ 3.04</t>
  </si>
  <si>
    <t>$ 3.27</t>
  </si>
  <si>
    <t>$ 3.56</t>
  </si>
  <si>
    <r>
      <t xml:space="preserve">Exhibit 6  </t>
    </r>
    <r>
      <rPr>
        <sz val="10"/>
        <color rgb="FF000000"/>
        <rFont val="Times New Roman"/>
        <family val="1"/>
      </rPr>
      <t>Selected Financial Information on Quasi-Comparable Firms, 2002</t>
    </r>
  </si>
  <si>
    <t>Actuant Corp.</t>
  </si>
  <si>
    <t>Briggs &amp; Stratton</t>
  </si>
  <si>
    <t>Idex Corp.</t>
  </si>
  <si>
    <t>Lincoln Electric</t>
  </si>
  <si>
    <t>Snap On Inc.</t>
  </si>
  <si>
    <t>Stanley Works</t>
  </si>
  <si>
    <t>Robertson Tool Co.</t>
  </si>
  <si>
    <t>Inventory % Sales</t>
  </si>
  <si>
    <t>Operating Margin % Sales</t>
  </si>
  <si>
    <t>Return on Capital</t>
  </si>
  <si>
    <t>Times Interest Earned</t>
  </si>
  <si>
    <t>Debt % Capital</t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</si>
  <si>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9"/>
        <color rgb="FF000000"/>
        <rFont val="Arial"/>
        <family val="2"/>
      </rPr>
      <t>balance sheet values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</si>
  <si>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9"/>
        <color rgb="FF000000"/>
        <rFont val="Arial"/>
        <family val="2"/>
      </rPr>
      <t>market values</t>
    </r>
  </si>
  <si>
    <t>Bond Rating</t>
  </si>
  <si>
    <t>BB-</t>
  </si>
  <si>
    <t>BB+</t>
  </si>
  <si>
    <t>BBB</t>
  </si>
  <si>
    <t>-</t>
  </si>
  <si>
    <t>A+</t>
  </si>
  <si>
    <t>A</t>
  </si>
  <si>
    <t>Value of Firm ($ mil)</t>
  </si>
  <si>
    <t>$ 712</t>
  </si>
  <si>
    <t>$ 1,443</t>
  </si>
  <si>
    <t>$ 1,191</t>
  </si>
  <si>
    <t>$ 1,145</t>
  </si>
  <si>
    <t>$ 1,861</t>
  </si>
  <si>
    <t>$ 3,014</t>
  </si>
  <si>
    <t>$ 29</t>
  </si>
  <si>
    <t>EBIAT ($ mil)</t>
  </si>
  <si>
    <t>EBIAT Multiple</t>
  </si>
  <si>
    <t>Share Price</t>
  </si>
  <si>
    <t>$ 42</t>
  </si>
  <si>
    <t>$ 22</t>
  </si>
  <si>
    <t>$ 26</t>
  </si>
  <si>
    <t>$ 27</t>
  </si>
  <si>
    <t>$ 30</t>
  </si>
  <si>
    <t>Price/Earnings</t>
  </si>
  <si>
    <t>Equity Beta</t>
  </si>
  <si>
    <t>1.00</t>
  </si>
  <si>
    <t>.75</t>
  </si>
  <si>
    <t>.95</t>
  </si>
  <si>
    <t>Asset Beta</t>
  </si>
  <si>
    <t>.71</t>
  </si>
  <si>
    <t>.63</t>
  </si>
  <si>
    <t>.80</t>
  </si>
  <si>
    <t>.85</t>
  </si>
  <si>
    <t>.73</t>
  </si>
  <si>
    <r>
      <t xml:space="preserve">Exhibit 7 </t>
    </r>
    <r>
      <rPr>
        <sz val="10"/>
        <color rgb="FF000000"/>
        <rFont val="Times New Roman"/>
        <family val="1"/>
      </rPr>
      <t>Information on United States Capital Markets</t>
    </r>
  </si>
  <si>
    <t>I. Interest Rates in May 2003</t>
  </si>
  <si>
    <t>30-Year U.S.</t>
  </si>
  <si>
    <t>U.S. Corporate Bonds Rated</t>
  </si>
  <si>
    <t>Treasury Bonds</t>
  </si>
  <si>
    <t>AA</t>
  </si>
  <si>
    <t>BB</t>
  </si>
  <si>
    <t>II. Estimated Market Risk Premium = 5.5% over 30-Year U.S. Treasury Bonds</t>
  </si>
  <si>
    <t>III. Median Values of Key Ratios by Standard &amp; Poors’ Rating Category</t>
  </si>
  <si>
    <t>AAA</t>
  </si>
  <si>
    <t>B</t>
  </si>
  <si>
    <t>Times Interest Earned (X)</t>
  </si>
  <si>
    <t>EBITDA / Interest (X)</t>
  </si>
  <si>
    <t>Pre-tax Return on Capital (%)</t>
  </si>
  <si>
    <t>Debt as % Capital (%)</t>
  </si>
  <si>
    <t>Number of companies</t>
  </si>
  <si>
    <t>IV. Debt and Times Interest Earned Ratios for Selected Industries</t>
  </si>
  <si>
    <t>Food Processing</t>
  </si>
  <si>
    <t>Electrical Equipment</t>
  </si>
  <si>
    <t>Electric Utilities</t>
  </si>
  <si>
    <t>% of Sales</t>
  </si>
  <si>
    <t>INCOME STATEMENT</t>
  </si>
  <si>
    <t>Revenue</t>
  </si>
  <si>
    <t>Operating profit (EBIT)</t>
  </si>
  <si>
    <t>Pretax profit</t>
  </si>
  <si>
    <t>Net income</t>
  </si>
  <si>
    <t>EBITDA</t>
  </si>
  <si>
    <t>Growth rates &amp; margins</t>
  </si>
  <si>
    <t>Revenue growth</t>
  </si>
  <si>
    <t>Gross profit margin</t>
  </si>
  <si>
    <t>SG&amp;A % of sales</t>
  </si>
  <si>
    <t>Tax rate</t>
  </si>
  <si>
    <t>BALANCE SHEET</t>
  </si>
  <si>
    <t>Cash &amp; equivalents, ST and LT marketable securities</t>
  </si>
  <si>
    <t>Accounts receivable</t>
  </si>
  <si>
    <t>Other current assets</t>
  </si>
  <si>
    <t>Property, plant &amp; equipment</t>
  </si>
  <si>
    <t>Total assets</t>
  </si>
  <si>
    <t>Accounts payable</t>
  </si>
  <si>
    <t>Other current liabilities</t>
  </si>
  <si>
    <t>Total liabilities</t>
  </si>
  <si>
    <t xml:space="preserve">Retained earnings </t>
  </si>
  <si>
    <t>Total equity</t>
  </si>
  <si>
    <t>Balance check</t>
  </si>
  <si>
    <t>Capital expenditures</t>
  </si>
  <si>
    <t>Long term debt</t>
  </si>
  <si>
    <t>Forecast</t>
  </si>
  <si>
    <t>as % of revenue</t>
  </si>
  <si>
    <t>Discounted Cash Flow Valuation</t>
  </si>
  <si>
    <t>Unlevered Free Cash Flows</t>
  </si>
  <si>
    <t>% growth</t>
  </si>
  <si>
    <t>% margin</t>
  </si>
  <si>
    <t>Tax on EBIT</t>
  </si>
  <si>
    <t>NOPAT (aka EBIAT)</t>
  </si>
  <si>
    <t>Changes in net working capital</t>
  </si>
  <si>
    <t>Unlevered free cash flows (UFCF)</t>
  </si>
  <si>
    <t>Net working capital (WC Assets - WC liabilities)</t>
  </si>
  <si>
    <t>Present value of of unlevered free cash flows</t>
  </si>
  <si>
    <t>Terminal value - growth in perpetuity approach</t>
  </si>
  <si>
    <t>Terminal value - EBITDA multiple approach</t>
  </si>
  <si>
    <t>Long term growth rate</t>
  </si>
  <si>
    <t>Terminal year EBITDA</t>
  </si>
  <si>
    <t>EBITDA multiple</t>
  </si>
  <si>
    <t>Present value of terminal value</t>
  </si>
  <si>
    <t>Present value of stage 1 cash flows</t>
  </si>
  <si>
    <t>Total enterprise value (TEV)</t>
  </si>
  <si>
    <t>Enterprise value (stage 1 + 2)</t>
  </si>
  <si>
    <t>Terminal value as % of TEV</t>
  </si>
  <si>
    <t>Stage 1 cash flows as % of TEV</t>
  </si>
  <si>
    <t>Cash flows as % of TEV</t>
  </si>
  <si>
    <t>Implied TV exit EBITDA multiple</t>
  </si>
  <si>
    <t>Implied terminal growth rate</t>
  </si>
  <si>
    <t xml:space="preserve">Year  </t>
  </si>
  <si>
    <t>COGS  % of sales</t>
  </si>
  <si>
    <t>Tax Rate</t>
  </si>
  <si>
    <t>Levered Beta</t>
  </si>
  <si>
    <t>Unlevered Beta</t>
  </si>
  <si>
    <t>Risk Free Rate</t>
  </si>
  <si>
    <t>Debt Rate Premium</t>
  </si>
  <si>
    <t>Cost of Equity</t>
  </si>
  <si>
    <t>Cost of Debt</t>
  </si>
  <si>
    <t>WACC</t>
  </si>
  <si>
    <t>in Millions except for Shares</t>
  </si>
  <si>
    <t>Selling, general &amp; administrative</t>
  </si>
  <si>
    <t>Cost of sales</t>
  </si>
  <si>
    <t>Market Risk Premium</t>
  </si>
  <si>
    <t>D/E</t>
  </si>
  <si>
    <t>L Beta</t>
  </si>
  <si>
    <t>U Beta</t>
  </si>
  <si>
    <t>Avg U Beta</t>
  </si>
  <si>
    <t>% of Rev</t>
  </si>
  <si>
    <t>Year</t>
  </si>
  <si>
    <t>Discount Rate</t>
  </si>
  <si>
    <t>Terminal value in 2007</t>
  </si>
  <si>
    <t>Terminal value 2007</t>
  </si>
  <si>
    <t>Terminal value - EBIAT multiple approach</t>
  </si>
  <si>
    <t>Price per Share</t>
  </si>
  <si>
    <t>2007 FCF x (1+g)</t>
  </si>
  <si>
    <t>Net Debt</t>
  </si>
  <si>
    <t>Terminal year EBIAT</t>
  </si>
  <si>
    <t>EBIAT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</si>
</sst>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0.0"/>
    <numFmt numFmtId="165" formatCode="&quot;$&quot;#,##0.0_);[Red]\(&quot;$&quot;#,##0.0\)"/>
    <numFmt numFmtId="166" formatCode="0.0%"/>
    <numFmt numFmtId="167" formatCode="_(#,##0_)_%;\(#,##0\)_%;_(&quot;–&quot;_)_%;_(@_)_%"/>
    <numFmt numFmtId="168" formatCode="m/d/yy;@"/>
    <numFmt numFmtId="169" formatCode="0\A;[Red]0\A"/>
    <numFmt numFmtId="170" formatCode="0\P_);\(0\P\)"/>
    <numFmt numFmtId="171" formatCode="0.0%_);\(0.0%\);@_)"/>
    <numFmt numFmtId="172" formatCode="_(#,##0.0%_);\(#,##0.0%\);_(&quot;–&quot;_)_%;_(@_)_%"/>
    <numFmt numFmtId="173" formatCode="0.00%_);\(0.00%\);@_)"/>
    <numFmt numFmtId="174" formatCode="0%_);\(0%\);@_)"/>
    <numFmt numFmtId="175" formatCode="0000\A"/>
    <numFmt numFmtId="176" formatCode="0000\P"/>
    <numFmt numFmtId="177" formatCode="#,##0_);\(#,##0\);@_)"/>
    <numFmt numFmtId="178" formatCode="0.0\x_);\(0.0\x\);@_)"/>
    <numFmt numFmtId="179" formatCode="0.000%_);\(0.000%\);@_)"/>
    <numFmt numFmtId="180" formatCode="#,##0.000_);\(#,##0.000\);@_)"/>
    <numFmt numFmtId="181" formatCode="#,##0.00_);\(#,##0.00\);@_)"/>
  </numFmts>
  <fonts count="31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9"/>
      <color rgb="FF000000"/>
      <name val="Times New Roman"/>
      <family val="1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u/>
      <sz val="9"/>
      <color rgb="FF000000"/>
      <name val="Arial"/>
      <family val="2"/>
    </font>
    <font>
      <u/>
      <sz val="9"/>
      <color rgb="FF000000"/>
      <name val="Arial"/>
      <family val="2"/>
    </font>
    <font>
      <sz val="9"/>
      <color rgb="FF000000"/>
      <name val="Symbol"/>
      <family val="1"/>
      <charset val="2"/>
    </font>
    <font>
      <sz val="7"/>
      <color rgb="FF000000"/>
      <name val="Times New Roman"/>
      <family val="1"/>
    </font>
    <font>
      <u/>
      <sz val="10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3" tint="-0.249977111117893"/>
      <name val="Arial"/>
      <family val="2"/>
    </font>
    <font>
      <sz val="10"/>
      <color rgb="FF15601F"/>
      <name val="Arial"/>
      <family val="2"/>
    </font>
    <font>
      <sz val="11"/>
      <color rgb="FF166324"/>
      <name val="Calibri"/>
      <family val="2"/>
      <scheme val="minor"/>
    </font>
    <font>
      <sz val="11"/>
      <color rgb="FF0432FF"/>
      <name val="Calibri"/>
      <family val="2"/>
      <scheme val="minor"/>
    </font>
    <font>
      <b/>
      <sz val="11"/>
      <color rgb="FF16632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264">
    <xf numFmtId="0" fontId="0" fillId="0" borderId="0" xfId="0"/>
    <xf numFmtId="0" fontId="3" fillId="0" borderId="1" xfId="0" applyFont="1" applyBorder="1" applyAlignment="1">
      <alignment horizontal="right" vertical="top" wrapText="1"/>
    </xf>
    <xf numFmtId="8" fontId="0" fillId="0" borderId="0" xfId="0" applyNumberFormat="1"/>
    <xf numFmtId="8" fontId="4" fillId="0" borderId="0" xfId="0" applyNumberFormat="1" applyFont="1" applyAlignment="1">
      <alignment horizontal="right" vertical="top" wrapText="1"/>
    </xf>
    <xf numFmtId="0" fontId="4" fillId="0" borderId="0" xfId="0" applyFont="1" applyAlignment="1">
      <alignment horizontal="right" vertical="top" wrapText="1"/>
    </xf>
    <xf numFmtId="0" fontId="7" fillId="0" borderId="0" xfId="0" applyFont="1" applyAlignment="1">
      <alignment horizontal="right" vertical="top" wrapText="1"/>
    </xf>
    <xf numFmtId="10" fontId="0" fillId="0" borderId="0" xfId="0" applyNumberFormat="1"/>
    <xf numFmtId="0" fontId="4" fillId="0" borderId="3" xfId="0" applyFont="1" applyBorder="1" applyAlignment="1">
      <alignment vertical="top" wrapText="1"/>
    </xf>
    <xf numFmtId="0" fontId="1" fillId="0" borderId="0" xfId="0" applyFont="1" applyAlignment="1">
      <alignment horizontal="justify"/>
    </xf>
    <xf numFmtId="0" fontId="3" fillId="0" borderId="4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justify" vertical="top" wrapText="1"/>
    </xf>
    <xf numFmtId="0" fontId="1" fillId="0" borderId="0" xfId="0" applyFont="1" applyAlignment="1">
      <alignment horizontal="center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0" xfId="0" applyFont="1" applyAlignment="1">
      <alignment horizontal="justify" vertical="top" wrapText="1"/>
    </xf>
    <xf numFmtId="0" fontId="1" fillId="0" borderId="3" xfId="0" applyFont="1" applyBorder="1" applyAlignment="1">
      <alignment horizontal="center" vertical="top" wrapText="1"/>
    </xf>
    <xf numFmtId="10" fontId="1" fillId="0" borderId="0" xfId="0" applyNumberFormat="1" applyFont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vertical="top" wrapText="1"/>
    </xf>
    <xf numFmtId="0" fontId="3" fillId="0" borderId="7" xfId="0" applyFont="1" applyBorder="1" applyAlignment="1">
      <alignment horizontal="right" vertical="top" wrapText="1"/>
    </xf>
    <xf numFmtId="0" fontId="3" fillId="0" borderId="8" xfId="0" applyFont="1" applyBorder="1" applyAlignment="1">
      <alignment horizontal="right" vertical="top" wrapText="1"/>
    </xf>
    <xf numFmtId="0" fontId="6" fillId="0" borderId="9" xfId="0" applyFont="1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49" fontId="4" fillId="0" borderId="0" xfId="0" applyNumberFormat="1" applyFont="1" applyBorder="1" applyAlignment="1">
      <alignment horizontal="right" vertical="top" wrapText="1"/>
    </xf>
    <xf numFmtId="49" fontId="4" fillId="0" borderId="10" xfId="0" applyNumberFormat="1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4" fillId="0" borderId="10" xfId="0" applyFont="1" applyBorder="1" applyAlignment="1">
      <alignment horizontal="right" vertical="top" wrapText="1"/>
    </xf>
    <xf numFmtId="164" fontId="4" fillId="0" borderId="0" xfId="0" applyNumberFormat="1" applyFont="1" applyBorder="1" applyAlignment="1">
      <alignment horizontal="right" vertical="top" wrapText="1"/>
    </xf>
    <xf numFmtId="49" fontId="7" fillId="0" borderId="0" xfId="0" applyNumberFormat="1" applyFont="1" applyBorder="1" applyAlignment="1">
      <alignment horizontal="right" vertical="top" wrapText="1"/>
    </xf>
    <xf numFmtId="49" fontId="7" fillId="0" borderId="10" xfId="0" applyNumberFormat="1" applyFont="1" applyBorder="1" applyAlignment="1">
      <alignment horizontal="right" vertical="top" wrapText="1"/>
    </xf>
    <xf numFmtId="0" fontId="7" fillId="0" borderId="0" xfId="0" applyFont="1" applyBorder="1" applyAlignment="1">
      <alignment horizontal="right" vertical="top" wrapText="1"/>
    </xf>
    <xf numFmtId="164" fontId="7" fillId="0" borderId="0" xfId="0" applyNumberFormat="1" applyFont="1" applyBorder="1" applyAlignment="1">
      <alignment horizontal="right" vertical="top" wrapText="1"/>
    </xf>
    <xf numFmtId="165" fontId="4" fillId="0" borderId="0" xfId="0" applyNumberFormat="1" applyFont="1" applyBorder="1" applyAlignment="1">
      <alignment horizontal="right" vertical="top" wrapText="1"/>
    </xf>
    <xf numFmtId="165" fontId="4" fillId="0" borderId="10" xfId="0" applyNumberFormat="1" applyFont="1" applyBorder="1" applyAlignment="1">
      <alignment horizontal="right" vertical="top" wrapText="1"/>
    </xf>
    <xf numFmtId="9" fontId="4" fillId="0" borderId="0" xfId="0" applyNumberFormat="1" applyFont="1" applyBorder="1" applyAlignment="1">
      <alignment horizontal="right" vertical="top" wrapText="1"/>
    </xf>
    <xf numFmtId="9" fontId="4" fillId="0" borderId="10" xfId="0" applyNumberFormat="1" applyFont="1" applyBorder="1" applyAlignment="1">
      <alignment horizontal="right" vertical="top" wrapText="1"/>
    </xf>
    <xf numFmtId="166" fontId="4" fillId="0" borderId="0" xfId="0" applyNumberFormat="1" applyFont="1" applyBorder="1" applyAlignment="1">
      <alignment horizontal="right" vertical="top" wrapText="1"/>
    </xf>
    <xf numFmtId="166" fontId="4" fillId="0" borderId="10" xfId="0" applyNumberFormat="1" applyFont="1" applyBorder="1" applyAlignment="1">
      <alignment horizontal="right" vertical="top" wrapText="1"/>
    </xf>
    <xf numFmtId="2" fontId="4" fillId="0" borderId="0" xfId="0" applyNumberFormat="1" applyFont="1" applyBorder="1" applyAlignment="1">
      <alignment horizontal="right" vertical="top" wrapText="1"/>
    </xf>
    <xf numFmtId="2" fontId="4" fillId="0" borderId="10" xfId="0" applyNumberFormat="1" applyFont="1" applyBorder="1" applyAlignment="1">
      <alignment horizontal="right" vertical="top" wrapText="1"/>
    </xf>
    <xf numFmtId="3" fontId="4" fillId="0" borderId="0" xfId="0" applyNumberFormat="1" applyFont="1" applyBorder="1" applyAlignment="1">
      <alignment horizontal="right" vertical="top" wrapText="1"/>
    </xf>
    <xf numFmtId="3" fontId="4" fillId="0" borderId="10" xfId="0" applyNumberFormat="1" applyFont="1" applyBorder="1" applyAlignment="1">
      <alignment horizontal="right" vertical="top" wrapText="1"/>
    </xf>
    <xf numFmtId="0" fontId="4" fillId="0" borderId="11" xfId="0" applyFont="1" applyBorder="1" applyAlignment="1">
      <alignment vertical="top" wrapText="1"/>
    </xf>
    <xf numFmtId="0" fontId="4" fillId="0" borderId="12" xfId="0" applyFont="1" applyBorder="1" applyAlignment="1">
      <alignment horizontal="right" vertical="top" wrapText="1"/>
    </xf>
    <xf numFmtId="0" fontId="4" fillId="0" borderId="13" xfId="0" applyFont="1" applyBorder="1" applyAlignment="1">
      <alignment horizontal="righ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7" fillId="0" borderId="10" xfId="0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vertical="top" wrapText="1"/>
    </xf>
    <xf numFmtId="0" fontId="4" fillId="0" borderId="15" xfId="0" applyFont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3" fillId="0" borderId="16" xfId="0" applyFont="1" applyBorder="1" applyAlignment="1">
      <alignment vertical="top" wrapText="1"/>
    </xf>
    <xf numFmtId="0" fontId="3" fillId="0" borderId="17" xfId="0" applyFont="1" applyBorder="1" applyAlignment="1">
      <alignment horizontal="right" vertical="top" wrapText="1"/>
    </xf>
    <xf numFmtId="0" fontId="0" fillId="0" borderId="18" xfId="0" applyBorder="1"/>
    <xf numFmtId="0" fontId="3" fillId="0" borderId="19" xfId="0" applyFont="1" applyBorder="1" applyAlignment="1">
      <alignment horizontal="center" vertical="top" wrapText="1"/>
    </xf>
    <xf numFmtId="0" fontId="3" fillId="0" borderId="21" xfId="0" applyFont="1" applyBorder="1" applyAlignment="1">
      <alignment horizontal="center" vertical="top" wrapText="1"/>
    </xf>
    <xf numFmtId="0" fontId="0" fillId="0" borderId="10" xfId="0" applyBorder="1"/>
    <xf numFmtId="0" fontId="0" fillId="0" borderId="13" xfId="0" applyBorder="1"/>
    <xf numFmtId="0" fontId="5" fillId="0" borderId="9" xfId="0" applyFont="1" applyBorder="1" applyAlignment="1">
      <alignment vertical="top" wrapText="1"/>
    </xf>
    <xf numFmtId="0" fontId="5" fillId="0" borderId="9" xfId="0" applyFont="1" applyBorder="1" applyAlignment="1">
      <alignment horizontal="center" vertical="top" wrapText="1"/>
    </xf>
    <xf numFmtId="0" fontId="5" fillId="0" borderId="14" xfId="0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0" fontId="3" fillId="0" borderId="17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left" vertical="top" wrapText="1" indent="5"/>
    </xf>
    <xf numFmtId="164" fontId="4" fillId="0" borderId="10" xfId="0" applyNumberFormat="1" applyFont="1" applyBorder="1" applyAlignment="1">
      <alignment horizontal="right" vertical="top" wrapText="1"/>
    </xf>
    <xf numFmtId="0" fontId="1" fillId="0" borderId="23" xfId="0" applyFont="1" applyBorder="1" applyAlignment="1">
      <alignment horizontal="left" vertical="top" wrapText="1"/>
    </xf>
    <xf numFmtId="0" fontId="10" fillId="0" borderId="24" xfId="0" applyFont="1" applyBorder="1" applyAlignment="1">
      <alignment horizontal="right" vertical="top" wrapText="1"/>
    </xf>
    <xf numFmtId="0" fontId="10" fillId="0" borderId="18" xfId="0" applyFont="1" applyBorder="1" applyAlignment="1">
      <alignment horizontal="righ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right" vertical="top" wrapText="1"/>
    </xf>
    <xf numFmtId="0" fontId="1" fillId="0" borderId="10" xfId="0" applyFont="1" applyBorder="1" applyAlignment="1">
      <alignment horizontal="right" vertical="top" wrapText="1"/>
    </xf>
    <xf numFmtId="164" fontId="1" fillId="0" borderId="0" xfId="0" applyNumberFormat="1" applyFont="1" applyBorder="1" applyAlignment="1">
      <alignment horizontal="righ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justify" vertical="top" wrapText="1"/>
    </xf>
    <xf numFmtId="0" fontId="1" fillId="0" borderId="13" xfId="0" applyFont="1" applyBorder="1" applyAlignment="1">
      <alignment horizontal="justify" vertical="top" wrapText="1"/>
    </xf>
    <xf numFmtId="0" fontId="1" fillId="0" borderId="23" xfId="0" applyFont="1" applyBorder="1" applyAlignment="1">
      <alignment horizontal="center" vertical="top" wrapText="1"/>
    </xf>
    <xf numFmtId="0" fontId="10" fillId="0" borderId="24" xfId="0" applyFont="1" applyBorder="1" applyAlignment="1">
      <alignment horizontal="center" vertical="top" wrapText="1"/>
    </xf>
    <xf numFmtId="0" fontId="10" fillId="0" borderId="18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left" vertical="top" wrapText="1" indent="1"/>
    </xf>
    <xf numFmtId="9" fontId="1" fillId="0" borderId="0" xfId="0" applyNumberFormat="1" applyFont="1" applyBorder="1" applyAlignment="1">
      <alignment horizontal="right" vertical="top" wrapText="1"/>
    </xf>
    <xf numFmtId="9" fontId="1" fillId="0" borderId="10" xfId="0" applyNumberFormat="1" applyFont="1" applyBorder="1" applyAlignment="1">
      <alignment horizontal="right" vertical="top" wrapText="1"/>
    </xf>
    <xf numFmtId="164" fontId="1" fillId="0" borderId="10" xfId="0" applyNumberFormat="1" applyFont="1" applyBorder="1" applyAlignment="1">
      <alignment horizontal="right" vertical="top" wrapText="1"/>
    </xf>
    <xf numFmtId="0" fontId="4" fillId="0" borderId="0" xfId="0" applyFont="1" applyBorder="1" applyAlignment="1">
      <alignment vertical="top" wrapText="1"/>
    </xf>
    <xf numFmtId="0" fontId="5" fillId="2" borderId="9" xfId="0" applyFont="1" applyFill="1" applyBorder="1" applyAlignment="1">
      <alignment vertical="top" wrapText="1"/>
    </xf>
    <xf numFmtId="9" fontId="4" fillId="0" borderId="0" xfId="2" applyFont="1" applyBorder="1" applyAlignment="1">
      <alignment horizontal="right" vertical="top" wrapText="1"/>
    </xf>
    <xf numFmtId="2" fontId="7" fillId="0" borderId="0" xfId="0" applyNumberFormat="1" applyFont="1" applyBorder="1" applyAlignment="1">
      <alignment vertical="top" wrapText="1"/>
    </xf>
    <xf numFmtId="2" fontId="4" fillId="0" borderId="0" xfId="0" applyNumberFormat="1" applyFont="1" applyBorder="1" applyAlignment="1">
      <alignment vertical="top" wrapText="1"/>
    </xf>
    <xf numFmtId="2" fontId="4" fillId="0" borderId="12" xfId="0" applyNumberFormat="1" applyFont="1" applyBorder="1" applyAlignment="1">
      <alignment vertical="top" wrapText="1"/>
    </xf>
    <xf numFmtId="0" fontId="12" fillId="0" borderId="1" xfId="0" applyFont="1" applyBorder="1"/>
    <xf numFmtId="0" fontId="0" fillId="0" borderId="1" xfId="0" applyBorder="1"/>
    <xf numFmtId="0" fontId="13" fillId="0" borderId="4" xfId="0" applyFont="1" applyBorder="1"/>
    <xf numFmtId="0" fontId="0" fillId="0" borderId="4" xfId="0" applyBorder="1"/>
    <xf numFmtId="0" fontId="14" fillId="0" borderId="0" xfId="0" applyFont="1"/>
    <xf numFmtId="0" fontId="15" fillId="0" borderId="0" xfId="0" applyFont="1" applyAlignment="1">
      <alignment horizontal="center"/>
    </xf>
    <xf numFmtId="0" fontId="12" fillId="0" borderId="25" xfId="0" applyFont="1" applyBorder="1"/>
    <xf numFmtId="0" fontId="0" fillId="0" borderId="25" xfId="0" applyBorder="1"/>
    <xf numFmtId="169" fontId="12" fillId="0" borderId="0" xfId="0" applyNumberFormat="1" applyFont="1"/>
    <xf numFmtId="170" fontId="12" fillId="0" borderId="0" xfId="0" applyNumberFormat="1" applyFont="1"/>
    <xf numFmtId="0" fontId="16" fillId="0" borderId="0" xfId="0" applyFont="1"/>
    <xf numFmtId="168" fontId="16" fillId="0" borderId="0" xfId="0" applyNumberFormat="1" applyFont="1"/>
    <xf numFmtId="9" fontId="16" fillId="0" borderId="0" xfId="0" applyNumberFormat="1" applyFont="1"/>
    <xf numFmtId="166" fontId="16" fillId="0" borderId="0" xfId="0" applyNumberFormat="1" applyFont="1"/>
    <xf numFmtId="37" fontId="14" fillId="0" borderId="0" xfId="0" applyNumberFormat="1" applyFont="1"/>
    <xf numFmtId="0" fontId="12" fillId="0" borderId="0" xfId="0" applyFont="1"/>
    <xf numFmtId="37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4" fontId="0" fillId="0" borderId="0" xfId="0" applyNumberFormat="1"/>
    <xf numFmtId="0" fontId="18" fillId="0" borderId="0" xfId="0" applyFont="1"/>
    <xf numFmtId="171" fontId="14" fillId="0" borderId="0" xfId="0" applyNumberFormat="1" applyFont="1"/>
    <xf numFmtId="171" fontId="15" fillId="0" borderId="0" xfId="0" applyNumberFormat="1" applyFont="1"/>
    <xf numFmtId="168" fontId="16" fillId="0" borderId="25" xfId="0" applyNumberFormat="1" applyFont="1" applyBorder="1"/>
    <xf numFmtId="14" fontId="16" fillId="0" borderId="0" xfId="0" applyNumberFormat="1" applyFont="1"/>
    <xf numFmtId="169" fontId="17" fillId="0" borderId="0" xfId="0" applyNumberFormat="1" applyFont="1"/>
    <xf numFmtId="170" fontId="17" fillId="0" borderId="0" xfId="0" applyNumberFormat="1" applyFont="1"/>
    <xf numFmtId="37" fontId="16" fillId="0" borderId="0" xfId="0" applyNumberFormat="1" applyFont="1"/>
    <xf numFmtId="172" fontId="0" fillId="0" borderId="0" xfId="0" applyNumberFormat="1"/>
    <xf numFmtId="0" fontId="0" fillId="0" borderId="26" xfId="0" applyBorder="1"/>
    <xf numFmtId="0" fontId="0" fillId="0" borderId="0" xfId="0" applyAlignment="1">
      <alignment horizontal="right"/>
    </xf>
    <xf numFmtId="172" fontId="14" fillId="0" borderId="0" xfId="0" applyNumberFormat="1" applyFont="1"/>
    <xf numFmtId="7" fontId="21" fillId="0" borderId="0" xfId="0" applyNumberFormat="1" applyFont="1" applyAlignment="1">
      <alignment horizontal="right"/>
    </xf>
    <xf numFmtId="0" fontId="12" fillId="0" borderId="26" xfId="0" applyFont="1" applyBorder="1"/>
    <xf numFmtId="0" fontId="22" fillId="0" borderId="0" xfId="0" applyFont="1" applyAlignment="1">
      <alignment horizontal="centerContinuous"/>
    </xf>
    <xf numFmtId="14" fontId="0" fillId="0" borderId="0" xfId="0" applyNumberFormat="1" applyAlignment="1">
      <alignment horizontal="center"/>
    </xf>
    <xf numFmtId="176" fontId="12" fillId="0" borderId="0" xfId="0" applyNumberFormat="1" applyFont="1"/>
    <xf numFmtId="177" fontId="14" fillId="0" borderId="0" xfId="0" applyNumberFormat="1" applyFont="1"/>
    <xf numFmtId="177" fontId="21" fillId="0" borderId="0" xfId="0" applyNumberFormat="1" applyFont="1"/>
    <xf numFmtId="177" fontId="17" fillId="0" borderId="0" xfId="0" applyNumberFormat="1" applyFont="1"/>
    <xf numFmtId="177" fontId="0" fillId="0" borderId="0" xfId="0" applyNumberFormat="1"/>
    <xf numFmtId="177" fontId="21" fillId="0" borderId="26" xfId="0" applyNumberFormat="1" applyFont="1" applyBorder="1"/>
    <xf numFmtId="0" fontId="17" fillId="0" borderId="0" xfId="0" applyFont="1"/>
    <xf numFmtId="172" fontId="15" fillId="0" borderId="0" xfId="0" applyNumberFormat="1" applyFont="1"/>
    <xf numFmtId="176" fontId="0" fillId="0" borderId="0" xfId="0" applyNumberFormat="1"/>
    <xf numFmtId="0" fontId="16" fillId="0" borderId="0" xfId="0" applyFont="1" applyAlignment="1">
      <alignment horizontal="left"/>
    </xf>
    <xf numFmtId="172" fontId="16" fillId="0" borderId="0" xfId="0" applyNumberFormat="1" applyFont="1"/>
    <xf numFmtId="179" fontId="16" fillId="0" borderId="0" xfId="0" applyNumberFormat="1" applyFont="1"/>
    <xf numFmtId="178" fontId="16" fillId="0" borderId="0" xfId="0" applyNumberFormat="1" applyFont="1"/>
    <xf numFmtId="171" fontId="0" fillId="0" borderId="0" xfId="0" quotePrefix="1" applyNumberFormat="1"/>
    <xf numFmtId="180" fontId="23" fillId="0" borderId="0" xfId="0" applyNumberFormat="1" applyFont="1"/>
    <xf numFmtId="39" fontId="15" fillId="0" borderId="0" xfId="0" applyNumberFormat="1" applyFont="1"/>
    <xf numFmtId="39" fontId="17" fillId="0" borderId="0" xfId="0" applyNumberFormat="1" applyFont="1"/>
    <xf numFmtId="0" fontId="0" fillId="0" borderId="0" xfId="0" applyBorder="1"/>
    <xf numFmtId="39" fontId="0" fillId="0" borderId="0" xfId="0" applyNumberFormat="1"/>
    <xf numFmtId="0" fontId="25" fillId="0" borderId="0" xfId="0" applyFont="1" applyAlignment="1">
      <alignment horizontal="right"/>
    </xf>
    <xf numFmtId="10" fontId="26" fillId="0" borderId="0" xfId="0" applyNumberFormat="1" applyFont="1" applyAlignment="1">
      <alignment horizontal="right"/>
    </xf>
    <xf numFmtId="10" fontId="27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24" fillId="0" borderId="0" xfId="0" applyFont="1" applyAlignment="1">
      <alignment horizontal="right"/>
    </xf>
    <xf numFmtId="10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2" fontId="0" fillId="0" borderId="0" xfId="0" applyNumberFormat="1"/>
    <xf numFmtId="0" fontId="4" fillId="2" borderId="9" xfId="0" applyFont="1" applyFill="1" applyBorder="1" applyAlignment="1">
      <alignment vertical="top" wrapText="1"/>
    </xf>
    <xf numFmtId="0" fontId="8" fillId="2" borderId="9" xfId="0" applyFont="1" applyFill="1" applyBorder="1" applyAlignment="1">
      <alignment horizontal="left" vertical="top" wrapText="1" indent="5"/>
    </xf>
    <xf numFmtId="0" fontId="3" fillId="0" borderId="1" xfId="0" applyFont="1" applyFill="1" applyBorder="1" applyAlignment="1">
      <alignment horizontal="center" vertical="top" wrapText="1"/>
    </xf>
    <xf numFmtId="2" fontId="28" fillId="0" borderId="0" xfId="0" applyNumberFormat="1" applyFont="1" applyAlignment="1">
      <alignment horizontal="right"/>
    </xf>
    <xf numFmtId="39" fontId="12" fillId="0" borderId="0" xfId="0" applyNumberFormat="1" applyFont="1"/>
    <xf numFmtId="0" fontId="12" fillId="0" borderId="0" xfId="0" applyFont="1" applyBorder="1"/>
    <xf numFmtId="10" fontId="4" fillId="0" borderId="0" xfId="2" applyNumberFormat="1" applyFont="1" applyBorder="1" applyAlignment="1">
      <alignment horizontal="right" vertical="top" wrapText="1"/>
    </xf>
    <xf numFmtId="43" fontId="17" fillId="0" borderId="0" xfId="1" applyFont="1"/>
    <xf numFmtId="39" fontId="28" fillId="0" borderId="0" xfId="0" applyNumberFormat="1" applyFont="1"/>
    <xf numFmtId="43" fontId="28" fillId="0" borderId="0" xfId="1" applyFont="1" applyBorder="1" applyAlignment="1">
      <alignment horizontal="right" vertical="top"/>
    </xf>
    <xf numFmtId="43" fontId="28" fillId="0" borderId="0" xfId="1" applyFont="1" applyBorder="1" applyAlignment="1">
      <alignment vertical="top"/>
    </xf>
    <xf numFmtId="43" fontId="28" fillId="0" borderId="0" xfId="1" applyFont="1" applyBorder="1" applyAlignment="1">
      <alignment vertical="top" wrapText="1"/>
    </xf>
    <xf numFmtId="39" fontId="0" fillId="0" borderId="0" xfId="0" applyNumberFormat="1" applyFont="1"/>
    <xf numFmtId="171" fontId="29" fillId="0" borderId="0" xfId="0" applyNumberFormat="1" applyFont="1"/>
    <xf numFmtId="167" fontId="12" fillId="0" borderId="0" xfId="0" applyNumberFormat="1" applyFont="1" applyBorder="1"/>
    <xf numFmtId="0" fontId="20" fillId="0" borderId="0" xfId="0" applyFont="1" applyBorder="1" applyAlignment="1">
      <alignment horizontal="center"/>
    </xf>
    <xf numFmtId="170" fontId="17" fillId="0" borderId="0" xfId="0" applyNumberFormat="1" applyFont="1" applyBorder="1"/>
    <xf numFmtId="168" fontId="19" fillId="0" borderId="0" xfId="0" applyNumberFormat="1" applyFont="1" applyBorder="1"/>
    <xf numFmtId="0" fontId="0" fillId="0" borderId="0" xfId="0" applyBorder="1" applyAlignment="1">
      <alignment horizontal="left" indent="1"/>
    </xf>
    <xf numFmtId="171" fontId="0" fillId="0" borderId="0" xfId="0" applyNumberFormat="1" applyBorder="1" applyAlignment="1">
      <alignment horizontal="center"/>
    </xf>
    <xf numFmtId="0" fontId="12" fillId="0" borderId="0" xfId="0" applyFont="1" applyBorder="1" applyAlignment="1">
      <alignment horizontal="left" indent="1"/>
    </xf>
    <xf numFmtId="0" fontId="0" fillId="0" borderId="0" xfId="0" applyBorder="1" applyAlignment="1">
      <alignment horizontal="left" indent="2"/>
    </xf>
    <xf numFmtId="172" fontId="15" fillId="0" borderId="0" xfId="0" applyNumberFormat="1" applyFont="1" applyBorder="1" applyAlignment="1">
      <alignment horizontal="center"/>
    </xf>
    <xf numFmtId="171" fontId="14" fillId="0" borderId="0" xfId="0" applyNumberFormat="1" applyFont="1" applyBorder="1"/>
    <xf numFmtId="0" fontId="0" fillId="0" borderId="0" xfId="0" applyBorder="1" applyAlignment="1">
      <alignment horizontal="center"/>
    </xf>
    <xf numFmtId="171" fontId="15" fillId="0" borderId="0" xfId="0" applyNumberFormat="1" applyFont="1" applyBorder="1"/>
    <xf numFmtId="174" fontId="0" fillId="0" borderId="0" xfId="0" applyNumberFormat="1" applyBorder="1"/>
    <xf numFmtId="10" fontId="0" fillId="0" borderId="0" xfId="2" applyNumberFormat="1" applyFont="1"/>
    <xf numFmtId="10" fontId="0" fillId="0" borderId="0" xfId="2" applyNumberFormat="1" applyFont="1" applyAlignment="1">
      <alignment horizontal="right"/>
    </xf>
    <xf numFmtId="0" fontId="0" fillId="0" borderId="27" xfId="0" applyNumberForma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181" fontId="14" fillId="0" borderId="0" xfId="0" applyNumberFormat="1" applyFont="1"/>
    <xf numFmtId="181" fontId="17" fillId="0" borderId="0" xfId="0" applyNumberFormat="1" applyFont="1"/>
    <xf numFmtId="10" fontId="28" fillId="0" borderId="0" xfId="0" applyNumberFormat="1" applyFont="1"/>
    <xf numFmtId="0" fontId="19" fillId="0" borderId="0" xfId="0" applyFont="1" applyBorder="1"/>
    <xf numFmtId="0" fontId="12" fillId="0" borderId="29" xfId="0" applyFont="1" applyBorder="1"/>
    <xf numFmtId="0" fontId="12" fillId="0" borderId="3" xfId="0" applyFont="1" applyBorder="1"/>
    <xf numFmtId="0" fontId="0" fillId="0" borderId="3" xfId="0" applyBorder="1"/>
    <xf numFmtId="7" fontId="21" fillId="0" borderId="3" xfId="0" applyNumberFormat="1" applyFont="1" applyBorder="1" applyAlignment="1">
      <alignment horizontal="right"/>
    </xf>
    <xf numFmtId="0" fontId="22" fillId="0" borderId="3" xfId="0" applyFont="1" applyBorder="1" applyAlignment="1">
      <alignment horizontal="centerContinuous"/>
    </xf>
    <xf numFmtId="0" fontId="0" fillId="0" borderId="30" xfId="0" applyFont="1" applyBorder="1" applyAlignment="1">
      <alignment horizontal="center"/>
    </xf>
    <xf numFmtId="181" fontId="21" fillId="0" borderId="0" xfId="0" applyNumberFormat="1" applyFont="1"/>
    <xf numFmtId="181" fontId="28" fillId="0" borderId="0" xfId="0" applyNumberFormat="1" applyFont="1"/>
    <xf numFmtId="0" fontId="14" fillId="0" borderId="12" xfId="0" applyNumberFormat="1" applyFont="1" applyBorder="1" applyAlignment="1">
      <alignment horizontal="center"/>
    </xf>
    <xf numFmtId="0" fontId="0" fillId="0" borderId="26" xfId="0" applyFont="1" applyBorder="1"/>
    <xf numFmtId="177" fontId="0" fillId="0" borderId="26" xfId="0" applyNumberFormat="1" applyFont="1" applyBorder="1"/>
    <xf numFmtId="181" fontId="0" fillId="0" borderId="0" xfId="0" applyNumberFormat="1"/>
    <xf numFmtId="178" fontId="0" fillId="0" borderId="0" xfId="0" applyNumberFormat="1" applyFont="1"/>
    <xf numFmtId="173" fontId="0" fillId="0" borderId="0" xfId="0" quotePrefix="1" applyNumberFormat="1"/>
    <xf numFmtId="10" fontId="17" fillId="0" borderId="0" xfId="2" applyNumberFormat="1" applyFont="1"/>
    <xf numFmtId="0" fontId="16" fillId="3" borderId="0" xfId="0" applyFont="1" applyFill="1" applyAlignment="1">
      <alignment horizontal="left"/>
    </xf>
    <xf numFmtId="2" fontId="0" fillId="3" borderId="0" xfId="0" applyNumberFormat="1" applyFill="1"/>
    <xf numFmtId="0" fontId="0" fillId="3" borderId="0" xfId="0" applyFill="1"/>
    <xf numFmtId="0" fontId="12" fillId="3" borderId="0" xfId="0" applyFont="1" applyFill="1"/>
    <xf numFmtId="181" fontId="12" fillId="3" borderId="0" xfId="0" applyNumberFormat="1" applyFont="1" applyFill="1"/>
    <xf numFmtId="177" fontId="12" fillId="3" borderId="0" xfId="0" applyNumberFormat="1" applyFont="1" applyFill="1"/>
    <xf numFmtId="173" fontId="14" fillId="0" borderId="0" xfId="0" applyNumberFormat="1" applyFont="1"/>
    <xf numFmtId="173" fontId="29" fillId="0" borderId="0" xfId="0" applyNumberFormat="1" applyFont="1"/>
    <xf numFmtId="43" fontId="11" fillId="0" borderId="0" xfId="1" applyFont="1" applyBorder="1" applyAlignment="1">
      <alignment horizontal="right" vertical="top"/>
    </xf>
    <xf numFmtId="43" fontId="11" fillId="0" borderId="0" xfId="1" applyFont="1" applyBorder="1" applyAlignment="1">
      <alignment vertical="top"/>
    </xf>
    <xf numFmtId="43" fontId="12" fillId="0" borderId="0" xfId="1" applyFont="1"/>
    <xf numFmtId="43" fontId="11" fillId="0" borderId="0" xfId="1" applyFont="1" applyBorder="1" applyAlignment="1">
      <alignment vertical="top" wrapText="1"/>
    </xf>
    <xf numFmtId="39" fontId="11" fillId="0" borderId="0" xfId="1" applyNumberFormat="1" applyFont="1" applyBorder="1" applyAlignment="1">
      <alignment horizontal="right" vertical="top"/>
    </xf>
    <xf numFmtId="39" fontId="14" fillId="0" borderId="0" xfId="0" applyNumberFormat="1" applyFont="1"/>
    <xf numFmtId="39" fontId="21" fillId="0" borderId="0" xfId="0" applyNumberFormat="1" applyFont="1"/>
    <xf numFmtId="39" fontId="28" fillId="0" borderId="0" xfId="1" applyNumberFormat="1" applyFont="1" applyBorder="1" applyAlignment="1">
      <alignment vertical="top" wrapText="1"/>
    </xf>
    <xf numFmtId="10" fontId="14" fillId="0" borderId="0" xfId="2" applyNumberFormat="1" applyFont="1"/>
    <xf numFmtId="0" fontId="2" fillId="0" borderId="0" xfId="0" applyFont="1" applyBorder="1" applyAlignment="1">
      <alignment horizontal="justify"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left" wrapText="1"/>
    </xf>
    <xf numFmtId="0" fontId="0" fillId="0" borderId="0" xfId="0" applyBorder="1" applyAlignment="1"/>
    <xf numFmtId="0" fontId="2" fillId="0" borderId="6" xfId="0" applyFont="1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2" fontId="4" fillId="0" borderId="0" xfId="0" applyNumberFormat="1" applyFont="1" applyBorder="1" applyAlignment="1">
      <alignment vertical="top" wrapText="1"/>
    </xf>
    <xf numFmtId="0" fontId="3" fillId="0" borderId="2" xfId="0" applyFont="1" applyBorder="1" applyAlignment="1">
      <alignment horizontal="center" vertical="top"/>
    </xf>
    <xf numFmtId="0" fontId="3" fillId="0" borderId="22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20" xfId="0" applyFont="1" applyBorder="1" applyAlignment="1">
      <alignment horizontal="center" vertical="top"/>
    </xf>
    <xf numFmtId="0" fontId="0" fillId="0" borderId="0" xfId="0" applyBorder="1" applyAlignment="1">
      <alignment horizontal="left" wrapText="1"/>
    </xf>
    <xf numFmtId="0" fontId="2" fillId="0" borderId="6" xfId="0" applyFont="1" applyBorder="1" applyAlignment="1">
      <alignment horizontal="justify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4" xfId="0" applyFont="1" applyBorder="1" applyAlignment="1">
      <alignment horizontal="center" vertical="top" wrapText="1"/>
    </xf>
    <xf numFmtId="0" fontId="1" fillId="2" borderId="0" xfId="0" applyFont="1" applyFill="1" applyAlignment="1">
      <alignment horizontal="justify" wrapText="1"/>
    </xf>
    <xf numFmtId="0" fontId="0" fillId="2" borderId="0" xfId="0" applyFill="1" applyAlignment="1">
      <alignment wrapText="1"/>
    </xf>
    <xf numFmtId="0" fontId="2" fillId="0" borderId="0" xfId="0" applyFont="1" applyAlignment="1">
      <alignment horizontal="justify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justify" wrapText="1"/>
    </xf>
    <xf numFmtId="0" fontId="1" fillId="0" borderId="0" xfId="0" applyFont="1" applyBorder="1" applyAlignment="1">
      <alignment horizontal="left" wrapText="1"/>
    </xf>
    <xf numFmtId="0" fontId="24" fillId="0" borderId="0" xfId="0" applyFont="1" applyAlignment="1">
      <alignment horizontal="center"/>
    </xf>
    <xf numFmtId="0" fontId="14" fillId="0" borderId="12" xfId="0" applyFont="1" applyBorder="1" applyAlignment="1">
      <alignment horizontal="center"/>
    </xf>
    <xf numFmtId="167" fontId="15" fillId="0" borderId="0" xfId="0" applyNumberFormat="1" applyFont="1" applyFill="1" applyBorder="1" applyAlignment="1">
      <alignment horizontal="center"/>
    </xf>
    <xf numFmtId="181" fontId="21" fillId="0" borderId="0" xfId="0" applyNumberFormat="1" applyFont="1" applyBorder="1"/>
    <xf numFmtId="172" fontId="14" fillId="0" borderId="0" xfId="0" applyNumberFormat="1" applyFont="1" applyBorder="1"/>
    <xf numFmtId="177" fontId="21" fillId="0" borderId="0" xfId="0" applyNumberFormat="1" applyFont="1" applyBorder="1"/>
    <xf numFmtId="181" fontId="14" fillId="0" borderId="0" xfId="0" applyNumberFormat="1" applyFont="1" applyBorder="1"/>
    <xf numFmtId="181" fontId="17" fillId="0" borderId="0" xfId="0" applyNumberFormat="1" applyFont="1" applyBorder="1"/>
    <xf numFmtId="175" fontId="12" fillId="0" borderId="0" xfId="0" applyNumberFormat="1" applyFont="1" applyBorder="1"/>
    <xf numFmtId="176" fontId="12" fillId="0" borderId="0" xfId="0" applyNumberFormat="1" applyFont="1" applyBorder="1"/>
    <xf numFmtId="39" fontId="28" fillId="0" borderId="0" xfId="0" applyNumberFormat="1" applyFont="1" applyBorder="1"/>
    <xf numFmtId="39" fontId="0" fillId="0" borderId="0" xfId="0" applyNumberFormat="1" applyBorder="1"/>
    <xf numFmtId="39" fontId="14" fillId="0" borderId="0" xfId="0" applyNumberFormat="1" applyFont="1" applyBorder="1"/>
    <xf numFmtId="39" fontId="30" fillId="0" borderId="0" xfId="0" applyNumberFormat="1" applyFont="1" applyFill="1" applyBorder="1"/>
    <xf numFmtId="39" fontId="21" fillId="0" borderId="0" xfId="0" applyNumberFormat="1" applyFont="1" applyBorder="1"/>
    <xf numFmtId="39" fontId="29" fillId="0" borderId="0" xfId="2" applyNumberFormat="1" applyFont="1" applyBorder="1"/>
    <xf numFmtId="39" fontId="17" fillId="0" borderId="0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6">
    <dxf>
      <fill>
        <patternFill>
          <bgColor theme="8"/>
        </patternFill>
      </fill>
      <border>
        <left/>
        <right/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8"/>
        </patternFill>
      </fill>
      <border>
        <left/>
        <right/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8"/>
        </patternFill>
      </fill>
      <border>
        <left/>
        <right/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8"/>
        </patternFill>
      </fill>
      <border>
        <left/>
        <right/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8"/>
        </patternFill>
      </fill>
      <border>
        <left/>
        <right/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8"/>
        </patternFill>
      </fill>
      <border>
        <left/>
        <right/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9" defaultPivotStyle="PivotStyleLight16"/>
  <colors>
    <mruColors>
      <color rgb="FF0432FF"/>
      <color rgb="FF166324"/>
      <color rgb="FF00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workbookViewId="0">
      <selection activeCell="I15" sqref="I15"/>
    </sheetView>
  </sheetViews>
  <sheetFormatPr baseColWidth="10" defaultColWidth="8.83203125" defaultRowHeight="15" x14ac:dyDescent="0.2"/>
  <cols>
    <col min="1" max="1" width="23.33203125" customWidth="1"/>
  </cols>
  <sheetData>
    <row r="1" spans="1:12" ht="36" customHeight="1" x14ac:dyDescent="0.2">
      <c r="A1" s="224" t="s">
        <v>0</v>
      </c>
      <c r="B1" s="225"/>
      <c r="C1" s="225"/>
      <c r="D1" s="225"/>
      <c r="E1" s="225"/>
      <c r="F1" s="225"/>
    </row>
    <row r="2" spans="1:12" ht="16" thickBot="1" x14ac:dyDescent="0.25">
      <c r="A2" s="20"/>
      <c r="B2" s="21">
        <v>1998</v>
      </c>
      <c r="C2" s="21">
        <v>1999</v>
      </c>
      <c r="D2" s="21">
        <v>2000</v>
      </c>
      <c r="E2" s="21">
        <v>2001</v>
      </c>
      <c r="F2" s="22">
        <v>2002</v>
      </c>
    </row>
    <row r="3" spans="1:12" x14ac:dyDescent="0.2">
      <c r="A3" s="23" t="s">
        <v>1</v>
      </c>
      <c r="B3" s="87"/>
      <c r="C3" s="87"/>
      <c r="D3" s="87"/>
      <c r="E3" s="87"/>
      <c r="F3" s="24"/>
    </row>
    <row r="4" spans="1:12" x14ac:dyDescent="0.2">
      <c r="A4" s="63" t="s">
        <v>2</v>
      </c>
      <c r="B4" s="26" t="s">
        <v>3</v>
      </c>
      <c r="C4" s="26" t="s">
        <v>4</v>
      </c>
      <c r="D4" s="26" t="s">
        <v>5</v>
      </c>
      <c r="E4" s="26" t="s">
        <v>6</v>
      </c>
      <c r="F4" s="27" t="s">
        <v>7</v>
      </c>
      <c r="J4" s="3"/>
      <c r="K4" s="2"/>
      <c r="L4" s="2"/>
    </row>
    <row r="5" spans="1:12" x14ac:dyDescent="0.2">
      <c r="A5" s="63" t="s">
        <v>8</v>
      </c>
      <c r="B5" s="28">
        <v>32.6</v>
      </c>
      <c r="C5" s="28">
        <v>33.1</v>
      </c>
      <c r="D5" s="28">
        <v>35.9</v>
      </c>
      <c r="E5" s="28">
        <v>37.200000000000003</v>
      </c>
      <c r="F5" s="29">
        <v>37.9</v>
      </c>
      <c r="J5" s="4"/>
      <c r="K5" s="2"/>
    </row>
    <row r="6" spans="1:12" x14ac:dyDescent="0.2">
      <c r="A6" s="63" t="s">
        <v>9</v>
      </c>
      <c r="B6" s="28"/>
      <c r="C6" s="28"/>
      <c r="D6" s="28"/>
      <c r="E6" s="28"/>
      <c r="F6" s="29"/>
      <c r="J6" s="4"/>
    </row>
    <row r="7" spans="1:12" x14ac:dyDescent="0.2">
      <c r="A7" s="64" t="s">
        <v>10</v>
      </c>
      <c r="B7" s="28">
        <v>10.7</v>
      </c>
      <c r="C7" s="28">
        <v>11.1</v>
      </c>
      <c r="D7" s="28">
        <v>11.5</v>
      </c>
      <c r="E7" s="28">
        <v>11.9</v>
      </c>
      <c r="F7" s="29">
        <v>12.3</v>
      </c>
      <c r="J7" s="4"/>
      <c r="K7" s="2"/>
    </row>
    <row r="8" spans="1:12" x14ac:dyDescent="0.2">
      <c r="A8" s="63" t="s">
        <v>11</v>
      </c>
      <c r="B8" s="30">
        <v>2</v>
      </c>
      <c r="C8" s="28">
        <v>2.2999999999999998</v>
      </c>
      <c r="D8" s="28">
        <v>2.4</v>
      </c>
      <c r="E8" s="28">
        <v>2.2999999999999998</v>
      </c>
      <c r="F8" s="29">
        <v>2.1</v>
      </c>
      <c r="J8" s="4"/>
    </row>
    <row r="9" spans="1:12" x14ac:dyDescent="0.2">
      <c r="A9" s="63" t="s">
        <v>12</v>
      </c>
      <c r="B9" s="31" t="s">
        <v>13</v>
      </c>
      <c r="C9" s="31" t="s">
        <v>14</v>
      </c>
      <c r="D9" s="31" t="s">
        <v>15</v>
      </c>
      <c r="E9" s="31" t="s">
        <v>15</v>
      </c>
      <c r="F9" s="32" t="s">
        <v>15</v>
      </c>
      <c r="I9" s="5"/>
      <c r="J9" s="5"/>
    </row>
    <row r="10" spans="1:12" x14ac:dyDescent="0.2">
      <c r="A10" s="63" t="s">
        <v>16</v>
      </c>
      <c r="B10" s="28">
        <v>2.8</v>
      </c>
      <c r="C10" s="28">
        <v>1.9</v>
      </c>
      <c r="D10" s="28">
        <v>3.1</v>
      </c>
      <c r="E10" s="28">
        <v>2.6</v>
      </c>
      <c r="F10" s="29">
        <v>2.2000000000000002</v>
      </c>
      <c r="J10" s="3"/>
    </row>
    <row r="11" spans="1:12" x14ac:dyDescent="0.2">
      <c r="A11" s="63" t="s">
        <v>17</v>
      </c>
      <c r="B11" s="33">
        <v>1.1000000000000001</v>
      </c>
      <c r="C11" s="31" t="s">
        <v>15</v>
      </c>
      <c r="D11" s="33">
        <v>1.2</v>
      </c>
      <c r="E11" s="34">
        <v>1</v>
      </c>
      <c r="F11" s="32" t="s">
        <v>18</v>
      </c>
      <c r="J11" s="5"/>
    </row>
    <row r="12" spans="1:12" x14ac:dyDescent="0.2">
      <c r="A12" s="63" t="s">
        <v>19</v>
      </c>
      <c r="B12" s="35">
        <v>1.7</v>
      </c>
      <c r="C12" s="35">
        <v>1.1000000000000001</v>
      </c>
      <c r="D12" s="35">
        <v>1.9</v>
      </c>
      <c r="E12" s="35">
        <v>1.6</v>
      </c>
      <c r="F12" s="36">
        <v>1.3</v>
      </c>
      <c r="J12" s="2"/>
    </row>
    <row r="13" spans="1:12" x14ac:dyDescent="0.2">
      <c r="A13" s="63"/>
      <c r="B13" s="28"/>
      <c r="C13" s="28"/>
      <c r="D13" s="28"/>
      <c r="E13" s="28"/>
      <c r="F13" s="29"/>
    </row>
    <row r="14" spans="1:12" x14ac:dyDescent="0.2">
      <c r="A14" s="23" t="s">
        <v>20</v>
      </c>
      <c r="B14" s="28"/>
      <c r="C14" s="28"/>
      <c r="D14" s="28"/>
      <c r="E14" s="28"/>
      <c r="F14" s="29"/>
    </row>
    <row r="15" spans="1:12" x14ac:dyDescent="0.2">
      <c r="A15" s="63" t="s">
        <v>8</v>
      </c>
      <c r="B15" s="37">
        <v>0.67</v>
      </c>
      <c r="C15" s="37">
        <v>0.67</v>
      </c>
      <c r="D15" s="37">
        <v>0.67</v>
      </c>
      <c r="E15" s="37">
        <v>0.68</v>
      </c>
      <c r="F15" s="38">
        <v>0.69</v>
      </c>
      <c r="I15" s="6"/>
    </row>
    <row r="16" spans="1:12" x14ac:dyDescent="0.2">
      <c r="A16" s="63" t="s">
        <v>21</v>
      </c>
      <c r="B16" s="37">
        <v>0.22</v>
      </c>
      <c r="C16" s="37">
        <v>0.23</v>
      </c>
      <c r="D16" s="37">
        <v>0.21</v>
      </c>
      <c r="E16" s="37">
        <v>0.22</v>
      </c>
      <c r="F16" s="38">
        <v>0.22</v>
      </c>
      <c r="I16" s="6"/>
    </row>
    <row r="17" spans="1:9" x14ac:dyDescent="0.2">
      <c r="A17" s="63" t="s">
        <v>22</v>
      </c>
      <c r="B17" s="39">
        <v>6.6000000000000003E-2</v>
      </c>
      <c r="C17" s="39">
        <v>5.2999999999999999E-2</v>
      </c>
      <c r="D17" s="39">
        <v>7.2999999999999995E-2</v>
      </c>
      <c r="E17" s="39">
        <v>6.2E-2</v>
      </c>
      <c r="F17" s="40">
        <v>5.3999999999999999E-2</v>
      </c>
      <c r="I17" s="3"/>
    </row>
    <row r="18" spans="1:9" x14ac:dyDescent="0.2">
      <c r="A18" s="63"/>
      <c r="B18" s="28"/>
      <c r="C18" s="28"/>
      <c r="D18" s="28"/>
      <c r="E18" s="28"/>
      <c r="F18" s="29"/>
    </row>
    <row r="19" spans="1:9" x14ac:dyDescent="0.2">
      <c r="A19" s="23" t="s">
        <v>23</v>
      </c>
      <c r="B19" s="28"/>
      <c r="C19" s="28"/>
      <c r="D19" s="28"/>
      <c r="E19" s="28"/>
      <c r="F19" s="29"/>
    </row>
    <row r="20" spans="1:9" x14ac:dyDescent="0.2">
      <c r="A20" s="63" t="s">
        <v>24</v>
      </c>
      <c r="B20" s="26" t="s">
        <v>25</v>
      </c>
      <c r="C20" s="26" t="s">
        <v>26</v>
      </c>
      <c r="D20" s="26" t="s">
        <v>27</v>
      </c>
      <c r="E20" s="26" t="s">
        <v>28</v>
      </c>
      <c r="F20" s="27" t="s">
        <v>29</v>
      </c>
      <c r="I20" s="2"/>
    </row>
    <row r="21" spans="1:9" x14ac:dyDescent="0.2">
      <c r="A21" s="63" t="s">
        <v>30</v>
      </c>
      <c r="B21" s="41">
        <v>1.6</v>
      </c>
      <c r="C21" s="41">
        <v>1.6</v>
      </c>
      <c r="D21" s="41">
        <v>1.6</v>
      </c>
      <c r="E21" s="41">
        <v>1.6</v>
      </c>
      <c r="F21" s="42">
        <v>1.6</v>
      </c>
    </row>
    <row r="22" spans="1:9" x14ac:dyDescent="0.2">
      <c r="A22" s="63" t="s">
        <v>31</v>
      </c>
      <c r="B22" s="41">
        <v>49.4</v>
      </c>
      <c r="C22" s="41">
        <v>49.68</v>
      </c>
      <c r="D22" s="41">
        <v>51.33</v>
      </c>
      <c r="E22" s="41">
        <v>52.47</v>
      </c>
      <c r="F22" s="42">
        <v>53.1</v>
      </c>
    </row>
    <row r="23" spans="1:9" x14ac:dyDescent="0.2">
      <c r="A23" s="63" t="s">
        <v>32</v>
      </c>
      <c r="B23" s="28" t="s">
        <v>33</v>
      </c>
      <c r="C23" s="28" t="s">
        <v>34</v>
      </c>
      <c r="D23" s="28" t="s">
        <v>35</v>
      </c>
      <c r="E23" s="28" t="s">
        <v>36</v>
      </c>
      <c r="F23" s="29" t="s">
        <v>37</v>
      </c>
    </row>
    <row r="24" spans="1:9" x14ac:dyDescent="0.2">
      <c r="A24" s="63" t="s">
        <v>38</v>
      </c>
      <c r="B24" s="26" t="s">
        <v>39</v>
      </c>
      <c r="C24" s="26" t="s">
        <v>40</v>
      </c>
      <c r="D24" s="26" t="s">
        <v>41</v>
      </c>
      <c r="E24" s="26" t="s">
        <v>42</v>
      </c>
      <c r="F24" s="27" t="s">
        <v>43</v>
      </c>
    </row>
    <row r="25" spans="1:9" x14ac:dyDescent="0.2">
      <c r="A25" s="63" t="s">
        <v>44</v>
      </c>
      <c r="B25" s="43">
        <v>584000</v>
      </c>
      <c r="C25" s="43">
        <v>584000</v>
      </c>
      <c r="D25" s="43">
        <v>584000</v>
      </c>
      <c r="E25" s="43">
        <v>584000</v>
      </c>
      <c r="F25" s="44">
        <v>584000</v>
      </c>
    </row>
    <row r="26" spans="1:9" x14ac:dyDescent="0.2">
      <c r="A26" s="66"/>
      <c r="B26" s="46"/>
      <c r="C26" s="46"/>
      <c r="D26" s="46"/>
      <c r="E26" s="46"/>
      <c r="F26" s="47"/>
    </row>
  </sheetData>
  <mergeCells count="1">
    <mergeCell ref="A1:F1"/>
  </mergeCells>
  <pageMargins left="0.7" right="0.7" top="0.75" bottom="0.75" header="0.3" footer="0.3"/>
  <pageSetup orientation="portrait" r:id="rId1"/>
  <ignoredErrors>
    <ignoredError sqref="B9:F9 B4:F4 C11:F11 B20:F20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CEB3D-2CB5-574D-BACE-54E8F7059C52}">
  <sheetPr>
    <tabColor rgb="FF00B050"/>
  </sheetPr>
  <dimension ref="B1:P51"/>
  <sheetViews>
    <sheetView showGridLines="0" topLeftCell="A25" workbookViewId="0">
      <selection activeCell="L27" sqref="L27"/>
    </sheetView>
  </sheetViews>
  <sheetFormatPr baseColWidth="10" defaultRowHeight="15" x14ac:dyDescent="0.2"/>
  <cols>
    <col min="2" max="2" width="38" bestFit="1" customWidth="1"/>
    <col min="3" max="3" width="12.83203125" customWidth="1"/>
    <col min="4" max="4" width="11.1640625" bestFit="1" customWidth="1"/>
  </cols>
  <sheetData>
    <row r="1" spans="2:9" ht="16" thickBot="1" x14ac:dyDescent="0.25"/>
    <row r="2" spans="2:9" ht="16" thickBot="1" x14ac:dyDescent="0.25">
      <c r="B2" s="192" t="s">
        <v>237</v>
      </c>
      <c r="C2" s="94"/>
      <c r="D2" s="94"/>
      <c r="E2" s="94"/>
      <c r="F2" s="94"/>
      <c r="G2" s="94"/>
      <c r="H2" s="94"/>
      <c r="I2" s="94"/>
    </row>
    <row r="3" spans="2:9" x14ac:dyDescent="0.2">
      <c r="B3" s="162"/>
      <c r="C3" s="147"/>
      <c r="D3" s="147"/>
      <c r="E3" s="147"/>
      <c r="F3" s="147"/>
      <c r="G3" s="147"/>
      <c r="H3" s="147"/>
      <c r="I3" s="147"/>
    </row>
    <row r="4" spans="2:9" x14ac:dyDescent="0.2">
      <c r="B4" s="191" t="s">
        <v>281</v>
      </c>
      <c r="C4" s="190">
        <f>WACC!B14</f>
        <v>8.2695154146537928E-2</v>
      </c>
    </row>
    <row r="5" spans="2:9" x14ac:dyDescent="0.2">
      <c r="D5" s="126"/>
      <c r="H5" s="147"/>
    </row>
    <row r="6" spans="2:9" ht="19" thickBot="1" x14ac:dyDescent="0.4">
      <c r="B6" s="193" t="s">
        <v>238</v>
      </c>
      <c r="C6" s="194"/>
      <c r="D6" s="195"/>
      <c r="E6" s="194"/>
      <c r="F6" s="194"/>
      <c r="G6" s="194"/>
      <c r="H6" s="196"/>
      <c r="I6" s="194"/>
    </row>
    <row r="7" spans="2:9" ht="18" x14ac:dyDescent="0.35">
      <c r="C7" s="128"/>
      <c r="D7" s="197" t="s">
        <v>98</v>
      </c>
      <c r="E7" s="248" t="s">
        <v>235</v>
      </c>
      <c r="F7" s="248"/>
      <c r="G7" s="248"/>
      <c r="H7" s="248"/>
      <c r="I7" s="248"/>
    </row>
    <row r="8" spans="2:9" x14ac:dyDescent="0.2">
      <c r="B8" s="103" t="s">
        <v>280</v>
      </c>
      <c r="C8" s="129"/>
      <c r="D8" s="186">
        <v>2002</v>
      </c>
      <c r="E8" s="187">
        <v>2003</v>
      </c>
      <c r="F8" s="186">
        <v>2004</v>
      </c>
      <c r="G8" s="187">
        <v>2005</v>
      </c>
      <c r="H8" s="186">
        <v>2006</v>
      </c>
      <c r="I8" s="187">
        <v>2007</v>
      </c>
    </row>
    <row r="9" spans="2:9" x14ac:dyDescent="0.2">
      <c r="B9" s="103"/>
      <c r="D9" s="255"/>
      <c r="E9" s="130"/>
      <c r="F9" s="130"/>
      <c r="G9" s="130"/>
      <c r="I9" s="130"/>
    </row>
    <row r="10" spans="2:9" x14ac:dyDescent="0.2">
      <c r="B10" t="s">
        <v>211</v>
      </c>
      <c r="C10" s="131"/>
      <c r="D10" s="250">
        <f>'Best Case Forecast'!C10</f>
        <v>55.3</v>
      </c>
      <c r="E10" s="250">
        <f>'Best Case Forecast'!D10</f>
        <v>58.6</v>
      </c>
      <c r="F10" s="250">
        <f>'Best Case Forecast'!E10</f>
        <v>62.1</v>
      </c>
      <c r="G10" s="250">
        <f>'Best Case Forecast'!F10</f>
        <v>65.900000000000006</v>
      </c>
      <c r="H10" s="250">
        <f>'Best Case Forecast'!G10</f>
        <v>69.8</v>
      </c>
      <c r="I10" s="250">
        <f>'Best Case Forecast'!H10</f>
        <v>69.8</v>
      </c>
    </row>
    <row r="11" spans="2:9" x14ac:dyDescent="0.2">
      <c r="B11" s="110" t="s">
        <v>239</v>
      </c>
      <c r="D11" s="147"/>
      <c r="E11" s="251">
        <f>E10/D10-1</f>
        <v>5.9674502712477429E-2</v>
      </c>
      <c r="F11" s="251">
        <f>F10/E10-1</f>
        <v>5.9726962457337773E-2</v>
      </c>
      <c r="G11" s="251">
        <f>G10/F10-1</f>
        <v>6.1191626409017763E-2</v>
      </c>
      <c r="H11" s="251">
        <f>H10/G10-1</f>
        <v>5.9180576631259418E-2</v>
      </c>
      <c r="I11" s="251">
        <f>I10/H10-1</f>
        <v>0</v>
      </c>
    </row>
    <row r="12" spans="2:9" x14ac:dyDescent="0.2">
      <c r="B12" t="s">
        <v>215</v>
      </c>
      <c r="C12" s="131"/>
      <c r="D12" s="250">
        <f>'Best Case Forecast'!C21</f>
        <v>5.0999999999999979</v>
      </c>
      <c r="E12" s="250">
        <f>'Best Case Forecast'!D21</f>
        <v>6.5000000000000036</v>
      </c>
      <c r="F12" s="250">
        <f>'Best Case Forecast'!E21</f>
        <v>8.1</v>
      </c>
      <c r="G12" s="250">
        <f>'Best Case Forecast'!F21</f>
        <v>9.9000000000000057</v>
      </c>
      <c r="H12" s="250">
        <f>'Best Case Forecast'!G21</f>
        <v>11.099999999999998</v>
      </c>
      <c r="I12" s="250">
        <f>'Best Case Forecast'!H21</f>
        <v>11.099999999999998</v>
      </c>
    </row>
    <row r="13" spans="2:9" x14ac:dyDescent="0.2">
      <c r="B13" s="110" t="s">
        <v>240</v>
      </c>
      <c r="D13" s="251">
        <f>D12/D10</f>
        <v>9.2224231464737766E-2</v>
      </c>
      <c r="E13" s="251">
        <f t="shared" ref="E13:I13" si="0">E12/E10</f>
        <v>0.1109215017064847</v>
      </c>
      <c r="F13" s="251">
        <f t="shared" si="0"/>
        <v>0.13043478260869565</v>
      </c>
      <c r="G13" s="251">
        <f t="shared" si="0"/>
        <v>0.150227617602428</v>
      </c>
      <c r="H13" s="251">
        <f>H12/H10</f>
        <v>0.15902578796561603</v>
      </c>
      <c r="I13" s="251">
        <f t="shared" si="0"/>
        <v>0.15902578796561603</v>
      </c>
    </row>
    <row r="14" spans="2:9" x14ac:dyDescent="0.2">
      <c r="B14" t="s">
        <v>108</v>
      </c>
      <c r="C14" s="131"/>
      <c r="D14" s="250">
        <f>'Best Case Forecast'!C15</f>
        <v>2.9999999999999978</v>
      </c>
      <c r="E14" s="250">
        <f>'Best Case Forecast'!D15</f>
        <v>4.2000000000000037</v>
      </c>
      <c r="F14" s="250">
        <f>'Best Case Forecast'!E15</f>
        <v>5.6</v>
      </c>
      <c r="G14" s="250">
        <f>'Best Case Forecast'!F15</f>
        <v>7.2000000000000055</v>
      </c>
      <c r="H14" s="250">
        <f>'Best Case Forecast'!G15</f>
        <v>8.1999999999999975</v>
      </c>
      <c r="I14" s="250">
        <f>'Best Case Forecast'!H15</f>
        <v>8.1999999999999975</v>
      </c>
    </row>
    <row r="15" spans="2:9" x14ac:dyDescent="0.2">
      <c r="B15" s="110" t="s">
        <v>240</v>
      </c>
      <c r="D15" s="251">
        <f>D14/D10</f>
        <v>5.424954792043396E-2</v>
      </c>
      <c r="E15" s="251">
        <f t="shared" ref="E15:I15" si="1">E14/E10</f>
        <v>7.1672354948805528E-2</v>
      </c>
      <c r="F15" s="251">
        <f t="shared" si="1"/>
        <v>9.0177133655394523E-2</v>
      </c>
      <c r="G15" s="251">
        <f t="shared" si="1"/>
        <v>0.1092564491654022</v>
      </c>
      <c r="H15" s="251">
        <f>H14/H10</f>
        <v>0.11747851002865327</v>
      </c>
      <c r="I15" s="251">
        <f t="shared" si="1"/>
        <v>0.11747851002865327</v>
      </c>
    </row>
    <row r="16" spans="2:9" x14ac:dyDescent="0.2">
      <c r="B16" s="110"/>
      <c r="D16" s="252"/>
      <c r="E16" s="252"/>
      <c r="F16" s="252"/>
      <c r="G16" s="252"/>
      <c r="H16" s="252"/>
      <c r="I16" s="252"/>
    </row>
    <row r="17" spans="2:13" x14ac:dyDescent="0.2">
      <c r="B17" t="s">
        <v>241</v>
      </c>
      <c r="D17" s="253">
        <f>D18*D14</f>
        <v>1.1999999999999991</v>
      </c>
      <c r="E17" s="253">
        <f t="shared" ref="E17:I17" si="2">E18*E14</f>
        <v>1.6800000000000015</v>
      </c>
      <c r="F17" s="253">
        <f t="shared" si="2"/>
        <v>2.2399999999999998</v>
      </c>
      <c r="G17" s="253">
        <f t="shared" si="2"/>
        <v>2.8800000000000026</v>
      </c>
      <c r="H17" s="253">
        <f>H18*H14</f>
        <v>3.2799999999999994</v>
      </c>
      <c r="I17" s="253">
        <f t="shared" si="2"/>
        <v>3.2799999999999994</v>
      </c>
    </row>
    <row r="18" spans="2:13" x14ac:dyDescent="0.2">
      <c r="B18" s="110" t="s">
        <v>220</v>
      </c>
      <c r="D18" s="250">
        <f>'Best Case Forecast'!C28</f>
        <v>0.4</v>
      </c>
      <c r="E18" s="250">
        <f>'Best Case Forecast'!D28</f>
        <v>0.4</v>
      </c>
      <c r="F18" s="250">
        <f>'Best Case Forecast'!E28</f>
        <v>0.4</v>
      </c>
      <c r="G18" s="250">
        <f>'Best Case Forecast'!F28</f>
        <v>0.4</v>
      </c>
      <c r="H18" s="250">
        <f>'Best Case Forecast'!G28</f>
        <v>0.4</v>
      </c>
      <c r="I18" s="250">
        <f>'Best Case Forecast'!H28</f>
        <v>0.4</v>
      </c>
    </row>
    <row r="19" spans="2:13" x14ac:dyDescent="0.2">
      <c r="B19" s="108" t="s">
        <v>242</v>
      </c>
      <c r="C19" s="108"/>
      <c r="D19" s="254">
        <f t="shared" ref="D19:G19" si="3">D14*(1-D18)</f>
        <v>1.7999999999999987</v>
      </c>
      <c r="E19" s="254">
        <f t="shared" si="3"/>
        <v>2.5200000000000022</v>
      </c>
      <c r="F19" s="254">
        <f t="shared" si="3"/>
        <v>3.36</v>
      </c>
      <c r="G19" s="254">
        <f t="shared" si="3"/>
        <v>4.3200000000000029</v>
      </c>
      <c r="H19" s="254">
        <f>H14*(1-H18)</f>
        <v>4.9199999999999982</v>
      </c>
      <c r="I19" s="254">
        <f>I14*(1-I18)</f>
        <v>4.9199999999999982</v>
      </c>
    </row>
    <row r="20" spans="2:13" x14ac:dyDescent="0.2">
      <c r="D20" s="131"/>
      <c r="E20" s="131"/>
      <c r="F20" s="131"/>
      <c r="G20" s="131"/>
      <c r="H20" s="131"/>
      <c r="I20" s="131"/>
    </row>
    <row r="21" spans="2:13" x14ac:dyDescent="0.2">
      <c r="B21" t="s">
        <v>107</v>
      </c>
      <c r="D21" s="198">
        <f>'Best Case Forecast'!C20</f>
        <v>2.1</v>
      </c>
      <c r="E21" s="198">
        <f>'Best Case Forecast'!D20</f>
        <v>2.2999999999999998</v>
      </c>
      <c r="F21" s="198">
        <f>'Best Case Forecast'!E20</f>
        <v>2.5</v>
      </c>
      <c r="G21" s="198">
        <f>'Best Case Forecast'!F20</f>
        <v>2.7</v>
      </c>
      <c r="H21" s="198">
        <f>'Best Case Forecast'!G20</f>
        <v>2.9</v>
      </c>
      <c r="I21" s="198">
        <f>'Best Case Forecast'!H20</f>
        <v>2.9</v>
      </c>
      <c r="M21" s="134"/>
    </row>
    <row r="22" spans="2:13" x14ac:dyDescent="0.2">
      <c r="B22" t="s">
        <v>243</v>
      </c>
      <c r="D22" s="131"/>
      <c r="E22" s="199">
        <f>-(E28-D28)</f>
        <v>-1.4321880650994601</v>
      </c>
      <c r="F22" s="199">
        <f t="shared" ref="F22:I22" si="4">-(F28-E28)</f>
        <v>-1.242396430616008</v>
      </c>
      <c r="G22" s="199">
        <f t="shared" si="4"/>
        <v>-1.3228711368778789</v>
      </c>
      <c r="H22" s="199">
        <f t="shared" si="4"/>
        <v>-1.3337210464619602</v>
      </c>
      <c r="I22" s="199">
        <f t="shared" si="4"/>
        <v>0</v>
      </c>
      <c r="M22" s="134"/>
    </row>
    <row r="23" spans="2:13" x14ac:dyDescent="0.2">
      <c r="B23" t="s">
        <v>233</v>
      </c>
      <c r="D23" s="132"/>
      <c r="E23" s="168">
        <v>-4</v>
      </c>
      <c r="F23" s="168">
        <v>-3.5</v>
      </c>
      <c r="G23" s="168">
        <v>-3.6</v>
      </c>
      <c r="H23" s="168">
        <v>-3.8</v>
      </c>
      <c r="I23" s="168">
        <v>-2.9</v>
      </c>
      <c r="M23" s="134"/>
    </row>
    <row r="24" spans="2:13" x14ac:dyDescent="0.2">
      <c r="B24" s="110" t="s">
        <v>236</v>
      </c>
      <c r="D24" s="132"/>
      <c r="E24" s="125">
        <f>E23/E10</f>
        <v>-6.8259385665529013E-2</v>
      </c>
      <c r="F24" s="125">
        <f>F23/F10</f>
        <v>-5.6360708534621579E-2</v>
      </c>
      <c r="G24" s="125">
        <f>G23/G10</f>
        <v>-5.4628224582701057E-2</v>
      </c>
      <c r="H24" s="125">
        <f>H23/H10</f>
        <v>-5.4441260744985676E-2</v>
      </c>
      <c r="I24" s="125">
        <f>I23/I10</f>
        <v>-4.1547277936962751E-2</v>
      </c>
      <c r="M24" s="134"/>
    </row>
    <row r="25" spans="2:13" x14ac:dyDescent="0.2">
      <c r="D25" s="132"/>
      <c r="E25" s="132"/>
      <c r="F25" s="132"/>
      <c r="G25" s="132"/>
      <c r="H25" s="132"/>
      <c r="I25" s="132"/>
      <c r="M25" s="134"/>
    </row>
    <row r="26" spans="2:13" x14ac:dyDescent="0.2">
      <c r="B26" s="108" t="s">
        <v>244</v>
      </c>
      <c r="C26" s="108"/>
      <c r="D26" s="133"/>
      <c r="E26" s="189">
        <f>E19+E21+E22+E23</f>
        <v>-0.612188065099458</v>
      </c>
      <c r="F26" s="189">
        <f>F19+F21+F22+F23</f>
        <v>1.1176035693839914</v>
      </c>
      <c r="G26" s="189">
        <f>G19+G21+G22+G23</f>
        <v>2.0971288631221241</v>
      </c>
      <c r="H26" s="189">
        <f>H19+H21+H22+H23</f>
        <v>2.6862789535380385</v>
      </c>
      <c r="I26" s="189">
        <f>I19+I21+I22+I23</f>
        <v>4.9199999999999982</v>
      </c>
      <c r="M26" s="133"/>
    </row>
    <row r="27" spans="2:13" x14ac:dyDescent="0.2">
      <c r="D27" s="132"/>
      <c r="M27" s="134"/>
    </row>
    <row r="28" spans="2:13" x14ac:dyDescent="0.2">
      <c r="B28" t="s">
        <v>245</v>
      </c>
      <c r="D28" s="198">
        <f>SUM('Best Case Forecast'!D32:D35)-SUM('Best Case Forecast'!D39:D40)</f>
        <v>24</v>
      </c>
      <c r="E28" s="198">
        <f>SUM('Best Case Forecast'!E32:E35)-SUM('Best Case Forecast'!E39:E40)</f>
        <v>25.43218806509946</v>
      </c>
      <c r="F28" s="198">
        <f>SUM('Best Case Forecast'!F32:F35)-SUM('Best Case Forecast'!F39:F40)</f>
        <v>26.674584495715468</v>
      </c>
      <c r="G28" s="198">
        <f>SUM('Best Case Forecast'!G32:G35)-SUM('Best Case Forecast'!G39:G40)</f>
        <v>27.997455632593347</v>
      </c>
      <c r="H28" s="198">
        <f>SUM('Best Case Forecast'!H32:H35)-SUM('Best Case Forecast'!H39:H40)</f>
        <v>29.331176679055307</v>
      </c>
      <c r="I28" s="198">
        <f>SUM('Best Case Forecast'!I32:I35)-SUM('Best Case Forecast'!I39:I40)</f>
        <v>29.331176679055307</v>
      </c>
      <c r="J28" s="132"/>
    </row>
    <row r="29" spans="2:13" x14ac:dyDescent="0.2">
      <c r="B29" s="110" t="s">
        <v>236</v>
      </c>
      <c r="D29" s="125"/>
      <c r="E29" s="125">
        <f t="shared" ref="E29:I29" si="5">E28/E10</f>
        <v>0.43399638336347202</v>
      </c>
      <c r="F29" s="125">
        <f t="shared" si="5"/>
        <v>0.42954242344147292</v>
      </c>
      <c r="G29" s="125">
        <f t="shared" si="5"/>
        <v>0.42484758167819947</v>
      </c>
      <c r="H29" s="125">
        <f>H28/H10</f>
        <v>0.42021743093202446</v>
      </c>
      <c r="I29" s="125">
        <f t="shared" si="5"/>
        <v>0.42021743093202446</v>
      </c>
      <c r="J29" s="132"/>
    </row>
    <row r="30" spans="2:13" x14ac:dyDescent="0.2">
      <c r="D30" s="132"/>
      <c r="E30" s="125"/>
      <c r="F30" s="125"/>
      <c r="G30" s="125"/>
      <c r="H30" s="252"/>
      <c r="I30" s="125"/>
      <c r="J30" s="132"/>
      <c r="K30" s="107"/>
      <c r="M30" s="125"/>
    </row>
    <row r="31" spans="2:13" x14ac:dyDescent="0.2">
      <c r="B31" s="127"/>
      <c r="C31" s="123"/>
      <c r="D31" s="135"/>
      <c r="E31" s="201">
        <v>1</v>
      </c>
      <c r="F31" s="202">
        <v>2</v>
      </c>
      <c r="G31" s="201">
        <v>3</v>
      </c>
      <c r="H31" s="202">
        <v>4</v>
      </c>
      <c r="I31" s="201">
        <v>5</v>
      </c>
      <c r="J31" s="132"/>
    </row>
    <row r="32" spans="2:13" x14ac:dyDescent="0.2">
      <c r="B32" s="108"/>
      <c r="D32" s="200">
        <v>2002</v>
      </c>
      <c r="E32" s="200">
        <v>2003</v>
      </c>
      <c r="F32" s="200">
        <v>2004</v>
      </c>
      <c r="G32" s="200">
        <v>2005</v>
      </c>
      <c r="H32" s="200">
        <v>2006</v>
      </c>
      <c r="I32" s="200">
        <v>2007</v>
      </c>
      <c r="J32" s="132"/>
    </row>
    <row r="33" spans="2:15" x14ac:dyDescent="0.2">
      <c r="B33" s="108" t="s">
        <v>246</v>
      </c>
      <c r="C33" s="136"/>
      <c r="D33" s="133"/>
      <c r="E33" s="189">
        <f>E26/(1+$C$4)^E31</f>
        <v>-0.56542976363649733</v>
      </c>
      <c r="F33" s="189">
        <f t="shared" ref="F33:I33" si="6">F26/(1+$C$4)^F31</f>
        <v>0.95340054127918994</v>
      </c>
      <c r="G33" s="189">
        <f t="shared" si="6"/>
        <v>1.6523670974616287</v>
      </c>
      <c r="H33" s="189">
        <f t="shared" si="6"/>
        <v>1.9549080613493477</v>
      </c>
      <c r="I33" s="189">
        <f t="shared" si="6"/>
        <v>3.306999564935841</v>
      </c>
      <c r="J33" s="131"/>
    </row>
    <row r="35" spans="2:15" x14ac:dyDescent="0.2">
      <c r="B35" s="127" t="s">
        <v>247</v>
      </c>
      <c r="C35" s="127"/>
      <c r="E35" s="127" t="s">
        <v>248</v>
      </c>
      <c r="F35" s="123"/>
      <c r="G35" s="123"/>
      <c r="H35" s="123"/>
      <c r="I35" s="123"/>
      <c r="K35" s="127" t="s">
        <v>284</v>
      </c>
      <c r="L35" s="123"/>
      <c r="M35" s="123"/>
      <c r="N35" s="123"/>
      <c r="O35" s="123"/>
    </row>
    <row r="36" spans="2:15" x14ac:dyDescent="0.2">
      <c r="B36" t="s">
        <v>249</v>
      </c>
      <c r="C36" s="137">
        <v>0.02</v>
      </c>
      <c r="E36" t="s">
        <v>250</v>
      </c>
      <c r="I36" s="203">
        <f>I12</f>
        <v>11.099999999999998</v>
      </c>
      <c r="J36" s="134"/>
      <c r="K36" t="s">
        <v>288</v>
      </c>
      <c r="O36" s="203">
        <f>I12</f>
        <v>11.099999999999998</v>
      </c>
    </row>
    <row r="37" spans="2:15" x14ac:dyDescent="0.2">
      <c r="B37" s="138" t="s">
        <v>286</v>
      </c>
      <c r="C37" s="203">
        <f>I26*(1+C36)</f>
        <v>5.018399999999998</v>
      </c>
      <c r="E37" t="s">
        <v>251</v>
      </c>
      <c r="I37" s="204">
        <f>C41/I12</f>
        <v>4.3314282367176693</v>
      </c>
      <c r="K37" t="s">
        <v>289</v>
      </c>
      <c r="O37" s="204">
        <f>'Exhibit 6'!I18</f>
        <v>13.314285714285717</v>
      </c>
    </row>
    <row r="38" spans="2:15" x14ac:dyDescent="0.2">
      <c r="B38" t="s">
        <v>282</v>
      </c>
      <c r="C38" s="203">
        <f>C37/C4-C36</f>
        <v>60.66553897495934</v>
      </c>
      <c r="E38" t="s">
        <v>283</v>
      </c>
      <c r="I38" s="203">
        <f>I36*I37</f>
        <v>48.078853427566123</v>
      </c>
      <c r="J38" s="134"/>
      <c r="K38" t="s">
        <v>283</v>
      </c>
      <c r="O38" s="203">
        <f>O36*O37</f>
        <v>147.78857142857143</v>
      </c>
    </row>
    <row r="39" spans="2:15" x14ac:dyDescent="0.2">
      <c r="B39" t="s">
        <v>252</v>
      </c>
      <c r="C39" s="203">
        <f>C38/(1+C4)^5</f>
        <v>40.776607926176609</v>
      </c>
      <c r="E39" t="s">
        <v>252</v>
      </c>
      <c r="I39" s="203">
        <f>I38/(1+C4)^5</f>
        <v>32.316412066580348</v>
      </c>
      <c r="J39" s="134"/>
      <c r="K39" t="s">
        <v>252</v>
      </c>
      <c r="O39" s="203">
        <f>O38/(1+C4)^5</f>
        <v>99.336736060320206</v>
      </c>
    </row>
    <row r="40" spans="2:15" x14ac:dyDescent="0.2">
      <c r="B40" t="s">
        <v>253</v>
      </c>
      <c r="C40" s="188">
        <f>SUM(E33:I33)</f>
        <v>7.3022455013895105</v>
      </c>
      <c r="E40" t="s">
        <v>253</v>
      </c>
      <c r="I40" s="203">
        <f>C40</f>
        <v>7.3022455013895105</v>
      </c>
      <c r="J40" s="134"/>
      <c r="K40" t="s">
        <v>253</v>
      </c>
      <c r="O40" s="203">
        <f>I40</f>
        <v>7.3022455013895105</v>
      </c>
    </row>
    <row r="41" spans="2:15" x14ac:dyDescent="0.2">
      <c r="B41" s="210" t="s">
        <v>254</v>
      </c>
      <c r="C41" s="211">
        <f>C40+C39</f>
        <v>48.078853427566116</v>
      </c>
      <c r="D41" s="209"/>
      <c r="E41" s="210" t="s">
        <v>255</v>
      </c>
      <c r="F41" s="209"/>
      <c r="G41" s="209"/>
      <c r="H41" s="209"/>
      <c r="I41" s="211">
        <f>SUM(I39:I40)</f>
        <v>39.618657567969862</v>
      </c>
      <c r="J41" s="212"/>
      <c r="K41" s="210" t="s">
        <v>255</v>
      </c>
      <c r="L41" s="209"/>
      <c r="M41" s="209"/>
      <c r="N41" s="209"/>
      <c r="O41" s="211">
        <f>SUM(O39:O40)</f>
        <v>106.63898156170971</v>
      </c>
    </row>
    <row r="43" spans="2:15" x14ac:dyDescent="0.2">
      <c r="B43" s="139" t="s">
        <v>256</v>
      </c>
      <c r="C43" s="140">
        <f>C39/$C$41</f>
        <v>0.84811939177395712</v>
      </c>
      <c r="E43" s="139" t="s">
        <v>256</v>
      </c>
      <c r="I43" s="140">
        <f>+I39/I41</f>
        <v>0.81568670041730307</v>
      </c>
      <c r="J43" s="140"/>
      <c r="K43" s="139" t="s">
        <v>256</v>
      </c>
      <c r="O43" s="140">
        <f>+O39/O41</f>
        <v>0.93152367554106985</v>
      </c>
    </row>
    <row r="44" spans="2:15" x14ac:dyDescent="0.2">
      <c r="B44" s="139" t="s">
        <v>257</v>
      </c>
      <c r="C44" s="140">
        <f>1-C43</f>
        <v>0.15188060822604288</v>
      </c>
      <c r="E44" s="139" t="s">
        <v>258</v>
      </c>
      <c r="G44" s="141"/>
      <c r="I44" s="122">
        <f>1-I43</f>
        <v>0.18431329958269693</v>
      </c>
      <c r="J44" s="122"/>
      <c r="K44" s="139" t="s">
        <v>258</v>
      </c>
      <c r="M44" s="141"/>
      <c r="O44" s="122">
        <f>1-O43</f>
        <v>6.8476324458930149E-2</v>
      </c>
    </row>
    <row r="45" spans="2:15" x14ac:dyDescent="0.2">
      <c r="B45" s="139" t="s">
        <v>259</v>
      </c>
      <c r="C45" s="142">
        <f>(C41/I12)</f>
        <v>4.3314282367176693</v>
      </c>
      <c r="E45" t="s">
        <v>260</v>
      </c>
      <c r="I45" s="205">
        <f>ABS(C4-I26/I38)/(1+I26/I38)</f>
        <v>1.7813815649973214E-2</v>
      </c>
      <c r="J45" s="143"/>
      <c r="K45" t="s">
        <v>260</v>
      </c>
      <c r="O45" s="205">
        <f>ABS(C4-I26/O38)/(1+I26/O38)</f>
        <v>4.7812631780119401E-2</v>
      </c>
    </row>
    <row r="46" spans="2:15" x14ac:dyDescent="0.2">
      <c r="J46" s="144"/>
    </row>
    <row r="47" spans="2:15" x14ac:dyDescent="0.2">
      <c r="B47" s="139" t="s">
        <v>287</v>
      </c>
      <c r="C47" s="156">
        <v>12</v>
      </c>
      <c r="E47" s="139" t="s">
        <v>287</v>
      </c>
      <c r="I47" s="156">
        <v>12</v>
      </c>
      <c r="J47" s="144"/>
      <c r="K47" s="139" t="s">
        <v>287</v>
      </c>
      <c r="O47" s="156">
        <v>12</v>
      </c>
    </row>
    <row r="48" spans="2:15" x14ac:dyDescent="0.2">
      <c r="B48" s="139" t="s">
        <v>44</v>
      </c>
      <c r="C48">
        <f>0.584</f>
        <v>0.58399999999999996</v>
      </c>
      <c r="E48" s="139" t="s">
        <v>44</v>
      </c>
      <c r="I48">
        <f>0.584</f>
        <v>0.58399999999999996</v>
      </c>
      <c r="J48" s="144"/>
      <c r="K48" s="139" t="s">
        <v>44</v>
      </c>
      <c r="O48">
        <f>0.584</f>
        <v>0.58399999999999996</v>
      </c>
    </row>
    <row r="49" spans="2:16" x14ac:dyDescent="0.2">
      <c r="B49" s="207" t="s">
        <v>285</v>
      </c>
      <c r="C49" s="208">
        <f>(C41-C47)/C48</f>
        <v>61.778858608846093</v>
      </c>
      <c r="D49" s="209"/>
      <c r="E49" s="207" t="s">
        <v>285</v>
      </c>
      <c r="F49" s="209"/>
      <c r="G49" s="209"/>
      <c r="H49" s="209"/>
      <c r="I49" s="208">
        <f>(I41-I47)/I48</f>
        <v>47.292221862962094</v>
      </c>
      <c r="J49" s="209"/>
      <c r="K49" s="207" t="s">
        <v>285</v>
      </c>
      <c r="L49" s="209"/>
      <c r="M49" s="209"/>
      <c r="N49" s="209"/>
      <c r="O49" s="208">
        <f>(O41-O47)/O48</f>
        <v>162.05305061936596</v>
      </c>
    </row>
    <row r="51" spans="2:16" x14ac:dyDescent="0.2">
      <c r="B51" s="127"/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</row>
  </sheetData>
  <mergeCells count="1">
    <mergeCell ref="E7:I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7F036-4541-9A41-B3C6-1E40DD930129}">
  <sheetPr>
    <tabColor rgb="FF92D050"/>
  </sheetPr>
  <dimension ref="B1:K72"/>
  <sheetViews>
    <sheetView showGridLines="0" topLeftCell="A20" workbookViewId="0">
      <selection activeCell="J1" sqref="J1"/>
    </sheetView>
  </sheetViews>
  <sheetFormatPr baseColWidth="10" defaultRowHeight="15" x14ac:dyDescent="0.2"/>
  <cols>
    <col min="2" max="2" width="40" customWidth="1"/>
    <col min="3" max="3" width="16.1640625" customWidth="1"/>
  </cols>
  <sheetData>
    <row r="1" spans="2:11" ht="16" thickBot="1" x14ac:dyDescent="0.25"/>
    <row r="2" spans="2:11" ht="16" thickBot="1" x14ac:dyDescent="0.25">
      <c r="B2" s="93" t="str">
        <f>"Financial Statement Model for "&amp;C5</f>
        <v>Financial Statement Model for Robertson Tool Co.</v>
      </c>
      <c r="C2" s="94"/>
      <c r="D2" s="94"/>
      <c r="E2" s="94"/>
      <c r="F2" s="94"/>
      <c r="G2" s="94"/>
      <c r="H2" s="94"/>
      <c r="I2" s="147"/>
      <c r="J2" s="147"/>
      <c r="K2" s="147"/>
    </row>
    <row r="3" spans="2:11" x14ac:dyDescent="0.2">
      <c r="B3" s="95" t="s">
        <v>271</v>
      </c>
      <c r="C3" s="96"/>
      <c r="D3" s="96"/>
      <c r="E3" s="96"/>
      <c r="F3" s="96"/>
      <c r="G3" s="96"/>
    </row>
    <row r="5" spans="2:11" x14ac:dyDescent="0.2">
      <c r="B5" s="97" t="str">
        <f>C5</f>
        <v>Robertson Tool Co.</v>
      </c>
      <c r="C5" s="98" t="s">
        <v>147</v>
      </c>
      <c r="H5" s="249"/>
    </row>
    <row r="7" spans="2:11" x14ac:dyDescent="0.2">
      <c r="B7" s="99" t="s">
        <v>210</v>
      </c>
      <c r="C7" s="100"/>
      <c r="D7" s="100"/>
      <c r="E7" s="100"/>
      <c r="F7" s="100"/>
      <c r="G7" s="100"/>
      <c r="H7" s="100"/>
      <c r="I7" s="147"/>
      <c r="J7" s="147"/>
      <c r="K7" s="147"/>
    </row>
    <row r="8" spans="2:11" x14ac:dyDescent="0.2">
      <c r="B8" t="s">
        <v>261</v>
      </c>
      <c r="C8" s="101">
        <v>2002</v>
      </c>
      <c r="D8" s="102">
        <f>C8+1</f>
        <v>2003</v>
      </c>
      <c r="E8" s="102">
        <f>D8+1</f>
        <v>2004</v>
      </c>
      <c r="F8" s="102">
        <f>E8+1</f>
        <v>2005</v>
      </c>
      <c r="G8" s="102">
        <f>F8+1</f>
        <v>2006</v>
      </c>
      <c r="H8" s="102">
        <f>G8+1</f>
        <v>2007</v>
      </c>
      <c r="I8" s="147"/>
      <c r="J8" s="147"/>
      <c r="K8" s="147"/>
    </row>
    <row r="9" spans="2:11" x14ac:dyDescent="0.2">
      <c r="B9" s="103"/>
      <c r="C9" s="104"/>
      <c r="D9" s="105"/>
      <c r="E9" s="106"/>
      <c r="F9" s="106"/>
      <c r="G9" s="104"/>
      <c r="H9" s="104"/>
    </row>
    <row r="10" spans="2:11" x14ac:dyDescent="0.2">
      <c r="B10" t="s">
        <v>211</v>
      </c>
      <c r="C10" s="165">
        <v>55.3</v>
      </c>
      <c r="D10" s="215">
        <f>C10*(1+6%)</f>
        <v>58.618000000000002</v>
      </c>
      <c r="E10" s="215">
        <f>D10*(1+2%)</f>
        <v>59.79036</v>
      </c>
      <c r="F10" s="215">
        <f t="shared" ref="F10:H10" si="0">E10*(1+2%)</f>
        <v>60.986167200000004</v>
      </c>
      <c r="G10" s="215">
        <f t="shared" si="0"/>
        <v>62.205890544000006</v>
      </c>
      <c r="H10" s="215">
        <f t="shared" si="0"/>
        <v>63.450008354880005</v>
      </c>
    </row>
    <row r="11" spans="2:11" x14ac:dyDescent="0.2">
      <c r="B11" t="s">
        <v>273</v>
      </c>
      <c r="C11" s="165">
        <v>-37.9</v>
      </c>
      <c r="D11" s="216">
        <f>-D10*D26</f>
        <v>-38.101700000000001</v>
      </c>
      <c r="E11" s="216">
        <f t="shared" ref="E11:H11" si="1">-E10*E26</f>
        <v>-40.6574448</v>
      </c>
      <c r="F11" s="216">
        <f t="shared" si="1"/>
        <v>-41.470593696000009</v>
      </c>
      <c r="G11" s="216">
        <f t="shared" si="1"/>
        <v>-42.30000556992001</v>
      </c>
      <c r="H11" s="216">
        <f t="shared" si="1"/>
        <v>-43.146005681318407</v>
      </c>
    </row>
    <row r="12" spans="2:11" x14ac:dyDescent="0.2">
      <c r="B12" s="108" t="s">
        <v>105</v>
      </c>
      <c r="C12" s="146">
        <f>SUM(C10:C11)</f>
        <v>17.399999999999999</v>
      </c>
      <c r="D12" s="217">
        <f>SUM(D10:D11)</f>
        <v>20.516300000000001</v>
      </c>
      <c r="E12" s="217">
        <f>SUM(E10:E11)</f>
        <v>19.132915199999999</v>
      </c>
      <c r="F12" s="217">
        <f t="shared" ref="F12:H12" si="2">SUM(F10:F11)</f>
        <v>19.515573503999995</v>
      </c>
      <c r="G12" s="217">
        <f t="shared" si="2"/>
        <v>19.905884974079996</v>
      </c>
      <c r="H12" s="217">
        <f t="shared" si="2"/>
        <v>20.304002673561598</v>
      </c>
    </row>
    <row r="13" spans="2:11" x14ac:dyDescent="0.2">
      <c r="B13" t="s">
        <v>272</v>
      </c>
      <c r="C13" s="165">
        <v>-12.3</v>
      </c>
      <c r="D13" s="218">
        <f>-D10*D27</f>
        <v>-11.137420000000001</v>
      </c>
      <c r="E13" s="218">
        <f t="shared" ref="E13:H13" si="3">-E10*E27</f>
        <v>-13.1538792</v>
      </c>
      <c r="F13" s="218">
        <f t="shared" si="3"/>
        <v>-13.416956784000002</v>
      </c>
      <c r="G13" s="218">
        <f t="shared" si="3"/>
        <v>-13.685295919680001</v>
      </c>
      <c r="H13" s="218">
        <f t="shared" si="3"/>
        <v>-13.959001838073601</v>
      </c>
    </row>
    <row r="14" spans="2:11" x14ac:dyDescent="0.2">
      <c r="B14" t="s">
        <v>107</v>
      </c>
      <c r="C14" s="165">
        <v>-2.1</v>
      </c>
      <c r="D14" s="168">
        <v>-2.2999999999999998</v>
      </c>
      <c r="E14" s="168">
        <v>-2.5</v>
      </c>
      <c r="F14" s="168">
        <v>-2.7</v>
      </c>
      <c r="G14" s="168">
        <v>-2.9</v>
      </c>
      <c r="H14" s="168">
        <v>-2.9</v>
      </c>
    </row>
    <row r="15" spans="2:11" x14ac:dyDescent="0.2">
      <c r="B15" s="108" t="s">
        <v>212</v>
      </c>
      <c r="C15" s="146">
        <f>C12+C13+C14</f>
        <v>2.9999999999999978</v>
      </c>
      <c r="D15" s="164">
        <f t="shared" ref="D15:H15" si="4">D12+D13+D14</f>
        <v>7.0788800000000007</v>
      </c>
      <c r="E15" s="164">
        <f t="shared" si="4"/>
        <v>3.4790359999999989</v>
      </c>
      <c r="F15" s="164">
        <f t="shared" si="4"/>
        <v>3.3986167199999935</v>
      </c>
      <c r="G15" s="164">
        <f t="shared" si="4"/>
        <v>3.3205890543999943</v>
      </c>
      <c r="H15" s="164">
        <f t="shared" si="4"/>
        <v>3.4450008354879977</v>
      </c>
    </row>
    <row r="16" spans="2:11" x14ac:dyDescent="0.2">
      <c r="B16" s="108" t="s">
        <v>213</v>
      </c>
      <c r="C16" s="146">
        <f>SUM(C15:C15)</f>
        <v>2.9999999999999978</v>
      </c>
      <c r="D16" s="164">
        <f t="shared" ref="D16:H16" si="5">SUM(D15:D15)</f>
        <v>7.0788800000000007</v>
      </c>
      <c r="E16" s="164">
        <f t="shared" si="5"/>
        <v>3.4790359999999989</v>
      </c>
      <c r="F16" s="164">
        <f t="shared" si="5"/>
        <v>3.3986167199999935</v>
      </c>
      <c r="G16" s="164">
        <f t="shared" si="5"/>
        <v>3.3205890543999943</v>
      </c>
      <c r="H16" s="164">
        <f t="shared" si="5"/>
        <v>3.4450008354879977</v>
      </c>
    </row>
    <row r="17" spans="2:11" x14ac:dyDescent="0.2">
      <c r="B17" t="s">
        <v>17</v>
      </c>
      <c r="C17" s="169">
        <f>-C16*40%</f>
        <v>-1.1999999999999991</v>
      </c>
      <c r="D17" s="169">
        <f t="shared" ref="D17:H17" si="6">-D16*40%</f>
        <v>-2.8315520000000003</v>
      </c>
      <c r="E17" s="169">
        <f t="shared" si="6"/>
        <v>-1.3916143999999997</v>
      </c>
      <c r="F17" s="169">
        <f t="shared" si="6"/>
        <v>-1.3594466879999976</v>
      </c>
      <c r="G17" s="169">
        <f t="shared" si="6"/>
        <v>-1.3282356217599978</v>
      </c>
      <c r="H17" s="169">
        <f t="shared" si="6"/>
        <v>-1.3780003341951992</v>
      </c>
    </row>
    <row r="18" spans="2:11" x14ac:dyDescent="0.2">
      <c r="B18" s="108" t="s">
        <v>214</v>
      </c>
      <c r="C18" s="146">
        <f t="shared" ref="C18:G18" si="7">SUM(C16:C17)</f>
        <v>1.7999999999999987</v>
      </c>
      <c r="D18" s="164">
        <f t="shared" si="7"/>
        <v>4.2473280000000004</v>
      </c>
      <c r="E18" s="164">
        <f t="shared" si="7"/>
        <v>2.087421599999999</v>
      </c>
      <c r="F18" s="164">
        <f t="shared" si="7"/>
        <v>2.0391700319999959</v>
      </c>
      <c r="G18" s="164">
        <f t="shared" si="7"/>
        <v>1.9923534326399965</v>
      </c>
      <c r="H18" s="164">
        <f>SUM(H16:H17)</f>
        <v>2.0670005012927986</v>
      </c>
    </row>
    <row r="19" spans="2:11" x14ac:dyDescent="0.2">
      <c r="B19" s="110"/>
      <c r="C19" s="148"/>
      <c r="D19" s="109"/>
      <c r="E19" s="109"/>
      <c r="F19" s="109"/>
      <c r="G19" s="109"/>
      <c r="H19" s="109"/>
    </row>
    <row r="20" spans="2:11" x14ac:dyDescent="0.2">
      <c r="B20" s="111" t="s">
        <v>107</v>
      </c>
      <c r="C20" s="165">
        <f>-C14</f>
        <v>2.1</v>
      </c>
      <c r="D20" s="165">
        <f t="shared" ref="D20:H20" si="8">-D14</f>
        <v>2.2999999999999998</v>
      </c>
      <c r="E20" s="165">
        <f t="shared" si="8"/>
        <v>2.5</v>
      </c>
      <c r="F20" s="165">
        <f t="shared" si="8"/>
        <v>2.7</v>
      </c>
      <c r="G20" s="165">
        <f t="shared" si="8"/>
        <v>2.9</v>
      </c>
      <c r="H20" s="165">
        <f t="shared" si="8"/>
        <v>2.9</v>
      </c>
    </row>
    <row r="21" spans="2:11" x14ac:dyDescent="0.2">
      <c r="B21" s="112" t="s">
        <v>215</v>
      </c>
      <c r="C21" s="146">
        <f t="shared" ref="C21:H21" si="9">C15+C20</f>
        <v>5.0999999999999979</v>
      </c>
      <c r="D21" s="146">
        <f t="shared" si="9"/>
        <v>9.3788800000000005</v>
      </c>
      <c r="E21" s="146">
        <f t="shared" si="9"/>
        <v>5.9790359999999989</v>
      </c>
      <c r="F21" s="146">
        <f t="shared" si="9"/>
        <v>6.0986167199999937</v>
      </c>
      <c r="G21" s="146">
        <f t="shared" si="9"/>
        <v>6.2205890543999942</v>
      </c>
      <c r="H21" s="146">
        <f t="shared" si="9"/>
        <v>6.3450008354879976</v>
      </c>
    </row>
    <row r="22" spans="2:11" x14ac:dyDescent="0.2">
      <c r="B22" s="110"/>
      <c r="E22" s="113"/>
    </row>
    <row r="23" spans="2:11" x14ac:dyDescent="0.2">
      <c r="B23" s="114" t="s">
        <v>216</v>
      </c>
    </row>
    <row r="24" spans="2:11" x14ac:dyDescent="0.2">
      <c r="B24" s="110" t="s">
        <v>217</v>
      </c>
      <c r="C24" s="213"/>
      <c r="D24" s="213">
        <f>(D10-C10)/C10</f>
        <v>6.0000000000000095E-2</v>
      </c>
      <c r="E24" s="213">
        <f t="shared" ref="E24:H24" si="10">(E10-D10)/D10</f>
        <v>1.9999999999999959E-2</v>
      </c>
      <c r="F24" s="213">
        <f t="shared" si="10"/>
        <v>2.0000000000000073E-2</v>
      </c>
      <c r="G24" s="213">
        <f t="shared" si="10"/>
        <v>2.0000000000000032E-2</v>
      </c>
      <c r="H24" s="213">
        <f t="shared" si="10"/>
        <v>1.999999999999998E-2</v>
      </c>
      <c r="I24" s="115"/>
    </row>
    <row r="25" spans="2:11" x14ac:dyDescent="0.2">
      <c r="B25" s="110" t="s">
        <v>218</v>
      </c>
      <c r="C25" s="213">
        <f>C12/C10</f>
        <v>0.31464737793851716</v>
      </c>
      <c r="D25" s="213">
        <f>D12/D10</f>
        <v>0.35000000000000003</v>
      </c>
      <c r="E25" s="213">
        <f>E12/E10</f>
        <v>0.32</v>
      </c>
      <c r="F25" s="213">
        <f t="shared" ref="F25:H25" si="11">F12/F10</f>
        <v>0.3199999999999999</v>
      </c>
      <c r="G25" s="213">
        <f t="shared" si="11"/>
        <v>0.3199999999999999</v>
      </c>
      <c r="H25" s="213">
        <f t="shared" si="11"/>
        <v>0.31999999999999995</v>
      </c>
      <c r="I25" s="115"/>
    </row>
    <row r="26" spans="2:11" x14ac:dyDescent="0.2">
      <c r="B26" s="110" t="s">
        <v>262</v>
      </c>
      <c r="C26" s="213">
        <f>-C11/C10</f>
        <v>0.68535262206148284</v>
      </c>
      <c r="D26" s="213">
        <v>0.65</v>
      </c>
      <c r="E26" s="213">
        <v>0.68</v>
      </c>
      <c r="F26" s="213">
        <v>0.68</v>
      </c>
      <c r="G26" s="213">
        <v>0.68</v>
      </c>
      <c r="H26" s="213">
        <v>0.68</v>
      </c>
      <c r="I26" s="115"/>
    </row>
    <row r="27" spans="2:11" x14ac:dyDescent="0.2">
      <c r="B27" s="110" t="s">
        <v>219</v>
      </c>
      <c r="C27" s="213">
        <f>-C13/C10</f>
        <v>0.22242314647377942</v>
      </c>
      <c r="D27" s="213">
        <v>0.19</v>
      </c>
      <c r="E27" s="213">
        <v>0.22</v>
      </c>
      <c r="F27" s="213">
        <v>0.22</v>
      </c>
      <c r="G27" s="213">
        <v>0.22</v>
      </c>
      <c r="H27" s="213">
        <v>0.22</v>
      </c>
      <c r="I27" s="115"/>
    </row>
    <row r="28" spans="2:11" x14ac:dyDescent="0.2">
      <c r="B28" s="110" t="s">
        <v>220</v>
      </c>
      <c r="C28" s="214">
        <v>0.4</v>
      </c>
      <c r="D28" s="214">
        <v>0.4</v>
      </c>
      <c r="E28" s="214">
        <f>D28</f>
        <v>0.4</v>
      </c>
      <c r="F28" s="214">
        <f>E28</f>
        <v>0.4</v>
      </c>
      <c r="G28" s="214">
        <f t="shared" ref="G28:H28" si="12">F28</f>
        <v>0.4</v>
      </c>
      <c r="H28" s="214">
        <f t="shared" si="12"/>
        <v>0.4</v>
      </c>
      <c r="I28" s="116"/>
    </row>
    <row r="29" spans="2:11" x14ac:dyDescent="0.2">
      <c r="B29" s="110"/>
      <c r="C29" s="110"/>
      <c r="E29" s="113"/>
    </row>
    <row r="30" spans="2:11" x14ac:dyDescent="0.2">
      <c r="B30" s="99" t="s">
        <v>221</v>
      </c>
      <c r="C30" s="99"/>
      <c r="D30" s="117"/>
      <c r="E30" s="100"/>
      <c r="F30" s="100"/>
      <c r="G30" s="100"/>
      <c r="H30" s="100"/>
      <c r="I30" s="100"/>
    </row>
    <row r="31" spans="2:11" x14ac:dyDescent="0.2">
      <c r="B31" s="118" t="str">
        <f>B8</f>
        <v xml:space="preserve">Year  </v>
      </c>
      <c r="C31" s="118" t="s">
        <v>279</v>
      </c>
      <c r="D31" s="119">
        <f t="shared" ref="D31:I31" si="13">C8</f>
        <v>2002</v>
      </c>
      <c r="E31" s="120">
        <f t="shared" si="13"/>
        <v>2003</v>
      </c>
      <c r="F31" s="120">
        <f t="shared" si="13"/>
        <v>2004</v>
      </c>
      <c r="G31" s="120">
        <f t="shared" si="13"/>
        <v>2005</v>
      </c>
      <c r="H31" s="120">
        <f t="shared" si="13"/>
        <v>2006</v>
      </c>
      <c r="I31" s="120">
        <f t="shared" si="13"/>
        <v>2007</v>
      </c>
    </row>
    <row r="32" spans="2:11" x14ac:dyDescent="0.2">
      <c r="B32" t="s">
        <v>222</v>
      </c>
      <c r="C32" s="184">
        <f>D32/$C$10</f>
        <v>1.8083182640144666E-2</v>
      </c>
      <c r="D32" s="145">
        <v>1</v>
      </c>
      <c r="E32" s="148">
        <f>D10*$C$32</f>
        <v>1.06</v>
      </c>
      <c r="F32" s="148">
        <f t="shared" ref="F32:I32" si="14">E10*$C$32</f>
        <v>1.0811999999999999</v>
      </c>
      <c r="G32" s="148">
        <f t="shared" si="14"/>
        <v>1.102824</v>
      </c>
      <c r="H32" s="148">
        <f t="shared" si="14"/>
        <v>1.1248804800000001</v>
      </c>
      <c r="I32" s="148">
        <f t="shared" si="14"/>
        <v>1.1473780896000001</v>
      </c>
      <c r="K32" s="184"/>
    </row>
    <row r="33" spans="2:11" x14ac:dyDescent="0.2">
      <c r="B33" t="s">
        <v>223</v>
      </c>
      <c r="C33" s="184">
        <f>D33/$C$10</f>
        <v>0.14466546112115733</v>
      </c>
      <c r="D33" s="145">
        <v>8</v>
      </c>
      <c r="E33" s="148">
        <f>D10*$C$33</f>
        <v>8.48</v>
      </c>
      <c r="F33" s="148">
        <f>E10*$C$33</f>
        <v>8.6495999999999995</v>
      </c>
      <c r="G33" s="148">
        <f>F10*$C$33</f>
        <v>8.8225920000000002</v>
      </c>
      <c r="H33" s="148">
        <f>G10*$C$33</f>
        <v>8.9990438400000006</v>
      </c>
      <c r="I33" s="148">
        <f>H10*$C$33</f>
        <v>9.1790247168000008</v>
      </c>
    </row>
    <row r="34" spans="2:11" x14ac:dyDescent="0.2">
      <c r="B34" t="s">
        <v>54</v>
      </c>
      <c r="C34" s="184">
        <f t="shared" ref="C34:C35" si="15">D34/$C$10</f>
        <v>0.32549728752260398</v>
      </c>
      <c r="D34" s="145">
        <v>18</v>
      </c>
      <c r="E34" s="148">
        <f>D10*$C$34</f>
        <v>19.080000000000002</v>
      </c>
      <c r="F34" s="148">
        <f>E34*E11/D11</f>
        <v>20.359827692307693</v>
      </c>
      <c r="G34" s="148">
        <f>F34*F11/E11</f>
        <v>20.767024246153852</v>
      </c>
      <c r="H34" s="148">
        <f>G34*G11/F11</f>
        <v>21.18236473107693</v>
      </c>
      <c r="I34" s="148">
        <f>H34*H11/G11</f>
        <v>21.606012025698469</v>
      </c>
    </row>
    <row r="35" spans="2:11" x14ac:dyDescent="0.2">
      <c r="B35" t="s">
        <v>224</v>
      </c>
      <c r="C35" s="184">
        <f t="shared" si="15"/>
        <v>1.8083182640144666E-2</v>
      </c>
      <c r="D35" s="145">
        <v>1</v>
      </c>
      <c r="E35" s="148">
        <f>D10*$C$35</f>
        <v>1.06</v>
      </c>
      <c r="F35" s="148">
        <f t="shared" ref="F35:I35" si="16">E10*$C$35</f>
        <v>1.0811999999999999</v>
      </c>
      <c r="G35" s="148">
        <f t="shared" si="16"/>
        <v>1.102824</v>
      </c>
      <c r="H35" s="148">
        <f t="shared" si="16"/>
        <v>1.1248804800000001</v>
      </c>
      <c r="I35" s="148">
        <f t="shared" si="16"/>
        <v>1.1473780896000001</v>
      </c>
    </row>
    <row r="36" spans="2:11" x14ac:dyDescent="0.2">
      <c r="B36" t="s">
        <v>225</v>
      </c>
      <c r="D36" s="145">
        <v>19</v>
      </c>
      <c r="E36" s="145">
        <v>20.7</v>
      </c>
      <c r="F36" s="145">
        <v>21.7</v>
      </c>
      <c r="G36" s="145">
        <v>22.6</v>
      </c>
      <c r="H36" s="145">
        <v>23.5</v>
      </c>
      <c r="I36" s="145">
        <v>23.5</v>
      </c>
    </row>
    <row r="37" spans="2:11" x14ac:dyDescent="0.2">
      <c r="B37" s="112" t="s">
        <v>226</v>
      </c>
      <c r="C37" s="112"/>
      <c r="D37" s="146">
        <f t="shared" ref="D37:I37" si="17">SUM(D32:D36)</f>
        <v>47</v>
      </c>
      <c r="E37" s="161">
        <f t="shared" si="17"/>
        <v>50.38</v>
      </c>
      <c r="F37" s="161">
        <f t="shared" si="17"/>
        <v>52.87182769230769</v>
      </c>
      <c r="G37" s="161">
        <f t="shared" si="17"/>
        <v>54.39526424615385</v>
      </c>
      <c r="H37" s="161">
        <f t="shared" si="17"/>
        <v>55.931169531076932</v>
      </c>
      <c r="I37" s="161">
        <f t="shared" si="17"/>
        <v>56.57979292169847</v>
      </c>
    </row>
    <row r="38" spans="2:11" x14ac:dyDescent="0.2">
      <c r="B38" s="111"/>
      <c r="C38" s="111"/>
      <c r="D38" s="109"/>
      <c r="E38" s="109"/>
      <c r="F38" s="109"/>
      <c r="G38" s="109"/>
      <c r="H38" s="109"/>
      <c r="I38" s="109"/>
    </row>
    <row r="39" spans="2:11" x14ac:dyDescent="0.2">
      <c r="B39" s="111" t="s">
        <v>227</v>
      </c>
      <c r="C39" s="185">
        <f>D39/$C$10</f>
        <v>3.6166365280289332E-2</v>
      </c>
      <c r="D39" s="145">
        <v>2</v>
      </c>
      <c r="E39" s="148">
        <f>D10*$C$39</f>
        <v>2.12</v>
      </c>
      <c r="F39" s="148">
        <f t="shared" ref="F39:I39" si="18">E10*$C$39</f>
        <v>2.1623999999999999</v>
      </c>
      <c r="G39" s="148">
        <f t="shared" si="18"/>
        <v>2.2056480000000001</v>
      </c>
      <c r="H39" s="148">
        <f t="shared" si="18"/>
        <v>2.2497609600000001</v>
      </c>
      <c r="I39" s="148">
        <f t="shared" si="18"/>
        <v>2.2947561792000002</v>
      </c>
    </row>
    <row r="40" spans="2:11" x14ac:dyDescent="0.2">
      <c r="B40" s="111" t="s">
        <v>228</v>
      </c>
      <c r="C40" s="185">
        <f t="shared" ref="C40:C41" si="19">D40/$C$10</f>
        <v>3.6166365280289332E-2</v>
      </c>
      <c r="D40" s="145">
        <v>2</v>
      </c>
      <c r="E40" s="148">
        <f>D10*$C$40</f>
        <v>2.12</v>
      </c>
      <c r="F40" s="148">
        <f t="shared" ref="F40:I40" si="20">E10*$C$40</f>
        <v>2.1623999999999999</v>
      </c>
      <c r="G40" s="148">
        <f t="shared" si="20"/>
        <v>2.2056480000000001</v>
      </c>
      <c r="H40" s="148">
        <f t="shared" si="20"/>
        <v>2.2497609600000001</v>
      </c>
      <c r="I40" s="148">
        <f t="shared" si="20"/>
        <v>2.2947561792000002</v>
      </c>
    </row>
    <row r="41" spans="2:11" x14ac:dyDescent="0.2">
      <c r="B41" s="111" t="s">
        <v>234</v>
      </c>
      <c r="C41" s="185">
        <f t="shared" si="19"/>
        <v>0.21699819168173601</v>
      </c>
      <c r="D41" s="145">
        <v>12</v>
      </c>
      <c r="E41" s="148">
        <f>E37-E39-E40-E44</f>
        <v>10.892672000000005</v>
      </c>
      <c r="F41" s="148">
        <f>F37-F39-F40-F44</f>
        <v>11.212278092307692</v>
      </c>
      <c r="G41" s="148">
        <f t="shared" ref="G41:H41" si="21">G37-G39-G40-G44</f>
        <v>10.610048614153854</v>
      </c>
      <c r="H41" s="148">
        <f t="shared" si="21"/>
        <v>10.065374546436935</v>
      </c>
      <c r="I41" s="148">
        <f>I37-I39-I40-I44</f>
        <v>8.5570069973656828</v>
      </c>
    </row>
    <row r="42" spans="2:11" x14ac:dyDescent="0.2">
      <c r="B42" s="112" t="s">
        <v>229</v>
      </c>
      <c r="C42" s="112"/>
      <c r="D42" s="146">
        <f t="shared" ref="D42:I42" si="22">SUM(D39:D41)</f>
        <v>16</v>
      </c>
      <c r="E42" s="161">
        <f t="shared" si="22"/>
        <v>15.132672000000005</v>
      </c>
      <c r="F42" s="161">
        <f t="shared" si="22"/>
        <v>15.537078092307691</v>
      </c>
      <c r="G42" s="161">
        <f t="shared" si="22"/>
        <v>15.021344614153854</v>
      </c>
      <c r="H42" s="161">
        <f t="shared" si="22"/>
        <v>14.564896466436934</v>
      </c>
      <c r="I42" s="161">
        <f t="shared" si="22"/>
        <v>13.146519355765683</v>
      </c>
    </row>
    <row r="43" spans="2:11" x14ac:dyDescent="0.2">
      <c r="B43" s="112"/>
      <c r="C43" s="112"/>
      <c r="D43" s="206"/>
      <c r="E43" s="206"/>
      <c r="F43" s="206"/>
      <c r="G43" s="206"/>
      <c r="H43" s="206"/>
      <c r="I43" s="206"/>
    </row>
    <row r="44" spans="2:11" x14ac:dyDescent="0.2">
      <c r="B44" s="111" t="s">
        <v>230</v>
      </c>
      <c r="C44" s="111"/>
      <c r="D44" s="145">
        <v>31</v>
      </c>
      <c r="E44" s="148">
        <f>D44+D18</f>
        <v>35.247328000000003</v>
      </c>
      <c r="F44" s="148">
        <f>E44+E18</f>
        <v>37.334749600000002</v>
      </c>
      <c r="G44" s="148">
        <f>F44+F18</f>
        <v>39.373919631999996</v>
      </c>
      <c r="H44" s="148">
        <f t="shared" ref="H44:I44" si="23">G44+G18</f>
        <v>41.366273064639991</v>
      </c>
      <c r="I44" s="148">
        <f t="shared" si="23"/>
        <v>43.433273565932787</v>
      </c>
    </row>
    <row r="45" spans="2:11" x14ac:dyDescent="0.2">
      <c r="B45" s="112" t="s">
        <v>231</v>
      </c>
      <c r="C45" s="112"/>
      <c r="D45" s="161">
        <f t="shared" ref="D45:I45" si="24">SUM(D44:D44)</f>
        <v>31</v>
      </c>
      <c r="E45" s="161">
        <f t="shared" si="24"/>
        <v>35.247328000000003</v>
      </c>
      <c r="F45" s="161">
        <f t="shared" si="24"/>
        <v>37.334749600000002</v>
      </c>
      <c r="G45" s="161">
        <f t="shared" si="24"/>
        <v>39.373919631999996</v>
      </c>
      <c r="H45" s="161">
        <f t="shared" si="24"/>
        <v>41.366273064639991</v>
      </c>
      <c r="I45" s="161">
        <f t="shared" si="24"/>
        <v>43.433273565932787</v>
      </c>
    </row>
    <row r="46" spans="2:11" x14ac:dyDescent="0.2">
      <c r="D46" s="109"/>
    </row>
    <row r="47" spans="2:11" x14ac:dyDescent="0.2">
      <c r="B47" s="103" t="s">
        <v>232</v>
      </c>
      <c r="C47" s="103"/>
      <c r="D47" s="121">
        <f t="shared" ref="D47:I47" si="25">ROUND(D37-D42-D45,3)</f>
        <v>0</v>
      </c>
      <c r="E47" s="121">
        <f t="shared" si="25"/>
        <v>0</v>
      </c>
      <c r="F47" s="121">
        <f t="shared" si="25"/>
        <v>0</v>
      </c>
      <c r="G47" s="121">
        <f t="shared" si="25"/>
        <v>0</v>
      </c>
      <c r="H47" s="121">
        <f t="shared" si="25"/>
        <v>0</v>
      </c>
      <c r="I47" s="121">
        <f t="shared" si="25"/>
        <v>0</v>
      </c>
    </row>
    <row r="48" spans="2:11" x14ac:dyDescent="0.2">
      <c r="E48" s="109"/>
      <c r="F48" s="109"/>
      <c r="H48" s="109"/>
      <c r="I48" s="109"/>
      <c r="J48" s="109"/>
      <c r="K48" s="109"/>
    </row>
    <row r="49" spans="2:11" x14ac:dyDescent="0.2">
      <c r="B49" s="147"/>
      <c r="C49" s="147"/>
      <c r="D49" s="147"/>
      <c r="E49" s="147"/>
      <c r="F49" s="147"/>
      <c r="G49" s="147"/>
      <c r="H49" s="147"/>
      <c r="I49" s="147"/>
      <c r="J49" s="147"/>
      <c r="K49" s="147"/>
    </row>
    <row r="50" spans="2:11" x14ac:dyDescent="0.2">
      <c r="B50" s="162"/>
      <c r="C50" s="162"/>
      <c r="D50" s="162"/>
      <c r="E50" s="162"/>
      <c r="F50" s="162"/>
      <c r="G50" s="162"/>
      <c r="H50" s="162"/>
      <c r="I50" s="162"/>
      <c r="J50" s="162"/>
      <c r="K50" s="162"/>
    </row>
    <row r="51" spans="2:11" x14ac:dyDescent="0.2">
      <c r="B51" s="147"/>
      <c r="C51" s="147"/>
      <c r="D51" s="147"/>
      <c r="E51" s="147"/>
      <c r="F51" s="147"/>
      <c r="G51" s="147"/>
      <c r="H51" s="147"/>
      <c r="I51" s="147"/>
      <c r="J51" s="147"/>
      <c r="K51" s="147"/>
    </row>
    <row r="52" spans="2:11" x14ac:dyDescent="0.2">
      <c r="B52" s="147"/>
      <c r="C52" s="171"/>
      <c r="D52" s="147"/>
      <c r="E52" s="172"/>
      <c r="F52" s="173"/>
      <c r="G52" s="173"/>
      <c r="H52" s="173"/>
      <c r="I52" s="173"/>
      <c r="J52" s="173"/>
      <c r="K52" s="147"/>
    </row>
    <row r="53" spans="2:11" x14ac:dyDescent="0.2">
      <c r="B53" s="147"/>
      <c r="C53" s="147"/>
      <c r="D53" s="147"/>
      <c r="E53" s="172"/>
      <c r="F53" s="174"/>
      <c r="G53" s="174"/>
      <c r="H53" s="174"/>
      <c r="I53" s="174"/>
      <c r="J53" s="174"/>
      <c r="K53" s="147"/>
    </row>
    <row r="54" spans="2:11" x14ac:dyDescent="0.2">
      <c r="B54" s="175"/>
      <c r="C54" s="147"/>
      <c r="D54" s="147"/>
      <c r="E54" s="176"/>
      <c r="F54" s="176"/>
      <c r="G54" s="176"/>
      <c r="H54" s="176"/>
      <c r="I54" s="176"/>
      <c r="J54" s="176"/>
      <c r="K54" s="147"/>
    </row>
    <row r="55" spans="2:11" x14ac:dyDescent="0.2">
      <c r="B55" s="175"/>
      <c r="C55" s="147"/>
      <c r="D55" s="147"/>
      <c r="E55" s="176"/>
      <c r="F55" s="176"/>
      <c r="G55" s="176"/>
      <c r="H55" s="176"/>
      <c r="I55" s="176"/>
      <c r="J55" s="176"/>
      <c r="K55" s="147"/>
    </row>
    <row r="56" spans="2:11" x14ac:dyDescent="0.2">
      <c r="B56" s="175"/>
      <c r="C56" s="147"/>
      <c r="D56" s="147"/>
      <c r="E56" s="176"/>
      <c r="F56" s="176"/>
      <c r="G56" s="176"/>
      <c r="H56" s="176"/>
      <c r="I56" s="176"/>
      <c r="J56" s="176"/>
      <c r="K56" s="147"/>
    </row>
    <row r="57" spans="2:11" x14ac:dyDescent="0.2">
      <c r="B57" s="175"/>
      <c r="C57" s="147"/>
      <c r="D57" s="147"/>
      <c r="E57" s="176"/>
      <c r="F57" s="176"/>
      <c r="G57" s="176"/>
      <c r="H57" s="176"/>
      <c r="I57" s="176"/>
      <c r="J57" s="176"/>
      <c r="K57" s="147"/>
    </row>
    <row r="58" spans="2:11" x14ac:dyDescent="0.2">
      <c r="B58" s="147"/>
      <c r="C58" s="147"/>
      <c r="D58" s="147"/>
      <c r="E58" s="147"/>
      <c r="F58" s="147"/>
      <c r="G58" s="147"/>
      <c r="H58" s="147"/>
      <c r="I58" s="147"/>
      <c r="J58" s="147"/>
      <c r="K58" s="147"/>
    </row>
    <row r="59" spans="2:11" x14ac:dyDescent="0.2">
      <c r="B59" s="177"/>
      <c r="C59" s="147"/>
      <c r="D59" s="147"/>
      <c r="E59" s="147"/>
      <c r="F59" s="147"/>
      <c r="G59" s="147"/>
      <c r="H59" s="147"/>
      <c r="I59" s="147"/>
      <c r="J59" s="147"/>
      <c r="K59" s="147"/>
    </row>
    <row r="60" spans="2:11" x14ac:dyDescent="0.2">
      <c r="B60" s="178"/>
      <c r="C60" s="147"/>
      <c r="D60" s="147"/>
      <c r="E60" s="179"/>
      <c r="F60" s="180"/>
      <c r="G60" s="180"/>
      <c r="H60" s="180"/>
      <c r="I60" s="180"/>
      <c r="J60" s="180"/>
      <c r="K60" s="147"/>
    </row>
    <row r="61" spans="2:11" x14ac:dyDescent="0.2">
      <c r="B61" s="178"/>
      <c r="C61" s="147"/>
      <c r="D61" s="147"/>
      <c r="E61" s="179"/>
      <c r="F61" s="180"/>
      <c r="G61" s="180"/>
      <c r="H61" s="180"/>
      <c r="I61" s="180"/>
      <c r="J61" s="180"/>
      <c r="K61" s="147"/>
    </row>
    <row r="62" spans="2:11" x14ac:dyDescent="0.2">
      <c r="B62" s="177"/>
      <c r="C62" s="147"/>
      <c r="D62" s="147"/>
      <c r="E62" s="181"/>
      <c r="F62" s="182"/>
      <c r="G62" s="182"/>
      <c r="H62" s="182"/>
      <c r="I62" s="182"/>
      <c r="J62" s="182"/>
      <c r="K62" s="147"/>
    </row>
    <row r="63" spans="2:11" x14ac:dyDescent="0.2">
      <c r="B63" s="178"/>
      <c r="C63" s="147"/>
      <c r="D63" s="147"/>
      <c r="E63" s="179"/>
      <c r="F63" s="180"/>
      <c r="G63" s="180"/>
      <c r="H63" s="180"/>
      <c r="I63" s="180"/>
      <c r="J63" s="180"/>
      <c r="K63" s="147"/>
    </row>
    <row r="64" spans="2:11" x14ac:dyDescent="0.2">
      <c r="B64" s="178"/>
      <c r="C64" s="147"/>
      <c r="D64" s="147"/>
      <c r="E64" s="179"/>
      <c r="F64" s="180"/>
      <c r="G64" s="180"/>
      <c r="H64" s="180"/>
      <c r="I64" s="180"/>
      <c r="J64" s="180"/>
      <c r="K64" s="147"/>
    </row>
    <row r="65" spans="2:11" x14ac:dyDescent="0.2">
      <c r="B65" s="177"/>
      <c r="C65" s="147"/>
      <c r="D65" s="147"/>
      <c r="E65" s="181"/>
      <c r="F65" s="183"/>
      <c r="G65" s="183"/>
      <c r="H65" s="183"/>
      <c r="I65" s="183"/>
      <c r="J65" s="183"/>
      <c r="K65" s="147"/>
    </row>
    <row r="66" spans="2:11" x14ac:dyDescent="0.2">
      <c r="B66" s="178"/>
      <c r="C66" s="147"/>
      <c r="D66" s="147"/>
      <c r="E66" s="179"/>
      <c r="F66" s="180"/>
      <c r="G66" s="180"/>
      <c r="H66" s="180"/>
      <c r="I66" s="180"/>
      <c r="J66" s="180"/>
      <c r="K66" s="147"/>
    </row>
    <row r="67" spans="2:11" x14ac:dyDescent="0.2">
      <c r="B67" s="178"/>
      <c r="C67" s="147"/>
      <c r="D67" s="147"/>
      <c r="E67" s="179"/>
      <c r="F67" s="180"/>
      <c r="G67" s="180"/>
      <c r="H67" s="180"/>
      <c r="I67" s="180"/>
      <c r="J67" s="180"/>
      <c r="K67" s="147"/>
    </row>
    <row r="68" spans="2:11" x14ac:dyDescent="0.2">
      <c r="B68" s="177"/>
      <c r="C68" s="147"/>
      <c r="D68" s="147"/>
      <c r="E68" s="181"/>
      <c r="F68" s="183"/>
      <c r="G68" s="183"/>
      <c r="H68" s="183"/>
      <c r="I68" s="183"/>
      <c r="J68" s="183"/>
      <c r="K68" s="147"/>
    </row>
    <row r="69" spans="2:11" x14ac:dyDescent="0.2">
      <c r="B69" s="178"/>
      <c r="C69" s="147"/>
      <c r="D69" s="147"/>
      <c r="E69" s="179"/>
      <c r="F69" s="180"/>
      <c r="G69" s="180"/>
      <c r="H69" s="180"/>
      <c r="I69" s="180"/>
      <c r="J69" s="180"/>
      <c r="K69" s="147"/>
    </row>
    <row r="70" spans="2:11" x14ac:dyDescent="0.2">
      <c r="B70" s="178"/>
      <c r="C70" s="147"/>
      <c r="D70" s="147"/>
      <c r="E70" s="179"/>
      <c r="F70" s="180"/>
      <c r="G70" s="180"/>
      <c r="H70" s="180"/>
      <c r="I70" s="180"/>
      <c r="J70" s="180"/>
      <c r="K70" s="147"/>
    </row>
    <row r="71" spans="2:11" x14ac:dyDescent="0.2">
      <c r="B71" s="147"/>
      <c r="C71" s="147"/>
      <c r="D71" s="147"/>
      <c r="E71" s="147"/>
      <c r="F71" s="147"/>
      <c r="G71" s="147"/>
      <c r="H71" s="147"/>
      <c r="I71" s="147"/>
      <c r="J71" s="147"/>
      <c r="K71" s="147"/>
    </row>
    <row r="72" spans="2:11" x14ac:dyDescent="0.2">
      <c r="B72" s="147"/>
      <c r="C72" s="147"/>
      <c r="D72" s="147"/>
      <c r="E72" s="147"/>
      <c r="F72" s="147"/>
      <c r="G72" s="147"/>
      <c r="H72" s="147"/>
      <c r="I72" s="147"/>
      <c r="J72" s="147"/>
      <c r="K72" s="147"/>
    </row>
  </sheetData>
  <conditionalFormatting sqref="B68">
    <cfRule type="expression" dxfId="2" priority="2">
      <formula>#REF!=$D68</formula>
    </cfRule>
  </conditionalFormatting>
  <conditionalFormatting sqref="B57">
    <cfRule type="expression" dxfId="1" priority="1">
      <formula>#REF!=$D57</formula>
    </cfRule>
  </conditionalFormatting>
  <conditionalFormatting sqref="B27:H27">
    <cfRule type="expression" dxfId="0" priority="3">
      <formula>#REF!=#REF!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2015-369F-064A-A993-2F8DA8164AFF}">
  <sheetPr>
    <tabColor rgb="FF92D050"/>
  </sheetPr>
  <dimension ref="B1:P51"/>
  <sheetViews>
    <sheetView showGridLines="0" tabSelected="1" topLeftCell="A25" workbookViewId="0">
      <selection activeCell="O26" sqref="O26"/>
    </sheetView>
  </sheetViews>
  <sheetFormatPr baseColWidth="10" defaultRowHeight="15" x14ac:dyDescent="0.2"/>
  <cols>
    <col min="2" max="2" width="38" bestFit="1" customWidth="1"/>
    <col min="3" max="3" width="12.83203125" customWidth="1"/>
    <col min="4" max="4" width="11.1640625" bestFit="1" customWidth="1"/>
  </cols>
  <sheetData>
    <row r="1" spans="2:9" ht="16" thickBot="1" x14ac:dyDescent="0.25"/>
    <row r="2" spans="2:9" ht="16" thickBot="1" x14ac:dyDescent="0.25">
      <c r="B2" s="192" t="s">
        <v>237</v>
      </c>
      <c r="C2" s="94"/>
      <c r="D2" s="94"/>
      <c r="E2" s="94"/>
      <c r="F2" s="94"/>
      <c r="G2" s="94"/>
      <c r="H2" s="94"/>
      <c r="I2" s="94"/>
    </row>
    <row r="3" spans="2:9" x14ac:dyDescent="0.2">
      <c r="B3" s="162"/>
      <c r="C3" s="147"/>
      <c r="D3" s="147"/>
      <c r="E3" s="147"/>
      <c r="F3" s="147"/>
      <c r="G3" s="147"/>
      <c r="H3" s="147"/>
      <c r="I3" s="147"/>
    </row>
    <row r="4" spans="2:9" x14ac:dyDescent="0.2">
      <c r="B4" s="191" t="s">
        <v>281</v>
      </c>
      <c r="C4" s="190">
        <f>WACC!B14</f>
        <v>8.2695154146537928E-2</v>
      </c>
    </row>
    <row r="5" spans="2:9" x14ac:dyDescent="0.2">
      <c r="D5" s="126"/>
      <c r="H5" s="147"/>
    </row>
    <row r="6" spans="2:9" ht="19" thickBot="1" x14ac:dyDescent="0.4">
      <c r="B6" s="193" t="s">
        <v>238</v>
      </c>
      <c r="C6" s="194"/>
      <c r="D6" s="195"/>
      <c r="E6" s="194"/>
      <c r="F6" s="194"/>
      <c r="G6" s="194"/>
      <c r="H6" s="196"/>
      <c r="I6" s="194"/>
    </row>
    <row r="7" spans="2:9" ht="18" x14ac:dyDescent="0.35">
      <c r="C7" s="128"/>
      <c r="D7" s="197" t="s">
        <v>98</v>
      </c>
      <c r="E7" s="248" t="s">
        <v>235</v>
      </c>
      <c r="F7" s="248"/>
      <c r="G7" s="248"/>
      <c r="H7" s="248"/>
      <c r="I7" s="248"/>
    </row>
    <row r="8" spans="2:9" x14ac:dyDescent="0.2">
      <c r="B8" s="103" t="s">
        <v>280</v>
      </c>
      <c r="C8" s="129"/>
      <c r="D8" s="186">
        <v>2002</v>
      </c>
      <c r="E8" s="187">
        <v>2003</v>
      </c>
      <c r="F8" s="186">
        <v>2004</v>
      </c>
      <c r="G8" s="187">
        <v>2005</v>
      </c>
      <c r="H8" s="186">
        <v>2006</v>
      </c>
      <c r="I8" s="187">
        <v>2007</v>
      </c>
    </row>
    <row r="9" spans="2:9" x14ac:dyDescent="0.2">
      <c r="B9" s="103"/>
      <c r="D9" s="255"/>
      <c r="E9" s="256"/>
      <c r="F9" s="256"/>
      <c r="G9" s="256"/>
      <c r="H9" s="147"/>
      <c r="I9" s="256"/>
    </row>
    <row r="10" spans="2:9" x14ac:dyDescent="0.2">
      <c r="B10" t="s">
        <v>211</v>
      </c>
      <c r="C10" s="131"/>
      <c r="D10" s="257">
        <v>55.3</v>
      </c>
      <c r="E10" s="219">
        <f>D10*(1+6%)</f>
        <v>58.618000000000002</v>
      </c>
      <c r="F10" s="219">
        <f>E10*(1+2%)</f>
        <v>59.79036</v>
      </c>
      <c r="G10" s="219">
        <f t="shared" ref="G10:I10" si="0">F10*(1+2%)</f>
        <v>60.986167200000004</v>
      </c>
      <c r="H10" s="219">
        <f t="shared" si="0"/>
        <v>62.205890544000006</v>
      </c>
      <c r="I10" s="219">
        <f t="shared" si="0"/>
        <v>63.450008354880005</v>
      </c>
    </row>
    <row r="11" spans="2:9" x14ac:dyDescent="0.2">
      <c r="B11" s="110" t="s">
        <v>239</v>
      </c>
      <c r="D11" s="258"/>
      <c r="E11" s="259">
        <f>E10/D10-1</f>
        <v>6.0000000000000053E-2</v>
      </c>
      <c r="F11" s="259">
        <f>F10/E10-1</f>
        <v>2.0000000000000018E-2</v>
      </c>
      <c r="G11" s="259">
        <f>G10/F10-1</f>
        <v>2.0000000000000018E-2</v>
      </c>
      <c r="H11" s="259">
        <f>H10/G10-1</f>
        <v>2.0000000000000018E-2</v>
      </c>
      <c r="I11" s="259">
        <f>I10/H10-1</f>
        <v>2.0000000000000018E-2</v>
      </c>
    </row>
    <row r="12" spans="2:9" x14ac:dyDescent="0.2">
      <c r="B12" t="s">
        <v>215</v>
      </c>
      <c r="C12" s="131"/>
      <c r="D12" s="260">
        <v>5.0999999999999979</v>
      </c>
      <c r="E12" s="260">
        <v>9.3788800000000005</v>
      </c>
      <c r="F12" s="260">
        <v>5.9790359999999989</v>
      </c>
      <c r="G12" s="260">
        <v>6.0986167199999937</v>
      </c>
      <c r="H12" s="260">
        <v>6.2205890543999942</v>
      </c>
      <c r="I12" s="260">
        <v>6.3450008354879976</v>
      </c>
    </row>
    <row r="13" spans="2:9" x14ac:dyDescent="0.2">
      <c r="B13" s="110" t="s">
        <v>240</v>
      </c>
      <c r="D13" s="259">
        <f>D12/D10</f>
        <v>9.2224231464737766E-2</v>
      </c>
      <c r="E13" s="259">
        <f t="shared" ref="E13:I13" si="1">E12/E10</f>
        <v>0.16</v>
      </c>
      <c r="F13" s="259">
        <f t="shared" si="1"/>
        <v>9.9999999999999978E-2</v>
      </c>
      <c r="G13" s="259">
        <f t="shared" si="1"/>
        <v>9.9999999999999895E-2</v>
      </c>
      <c r="H13" s="259">
        <f>H12/H10</f>
        <v>9.9999999999999895E-2</v>
      </c>
      <c r="I13" s="259">
        <f t="shared" si="1"/>
        <v>9.999999999999995E-2</v>
      </c>
    </row>
    <row r="14" spans="2:9" x14ac:dyDescent="0.2">
      <c r="B14" t="s">
        <v>108</v>
      </c>
      <c r="C14" s="131"/>
      <c r="D14" s="257">
        <v>2.9999999999999978</v>
      </c>
      <c r="E14" s="257">
        <v>7.0788800000000007</v>
      </c>
      <c r="F14" s="257">
        <v>3.4790359999999989</v>
      </c>
      <c r="G14" s="257">
        <v>3.3986167199999935</v>
      </c>
      <c r="H14" s="257">
        <v>3.3205890543999943</v>
      </c>
      <c r="I14" s="257">
        <v>3.4450008354879977</v>
      </c>
    </row>
    <row r="15" spans="2:9" x14ac:dyDescent="0.2">
      <c r="B15" s="110" t="s">
        <v>240</v>
      </c>
      <c r="D15" s="259">
        <f>D14/D10</f>
        <v>5.424954792043396E-2</v>
      </c>
      <c r="E15" s="259">
        <f t="shared" ref="E15:I15" si="2">E14/E10</f>
        <v>0.12076290559213894</v>
      </c>
      <c r="F15" s="259">
        <f t="shared" si="2"/>
        <v>5.8187239548315131E-2</v>
      </c>
      <c r="G15" s="259">
        <f t="shared" si="2"/>
        <v>5.5727665404098278E-2</v>
      </c>
      <c r="H15" s="259">
        <f>H14/H10</f>
        <v>5.3380620795891454E-2</v>
      </c>
      <c r="I15" s="259">
        <f t="shared" si="2"/>
        <v>5.4294726270481874E-2</v>
      </c>
    </row>
    <row r="16" spans="2:9" x14ac:dyDescent="0.2">
      <c r="B16" s="110"/>
      <c r="D16" s="261"/>
      <c r="E16" s="261"/>
      <c r="F16" s="261"/>
      <c r="G16" s="261"/>
      <c r="H16" s="261"/>
      <c r="I16" s="261"/>
    </row>
    <row r="17" spans="2:13" x14ac:dyDescent="0.2">
      <c r="B17" t="s">
        <v>241</v>
      </c>
      <c r="D17" s="259">
        <f>D18*D14</f>
        <v>1.1999999999999991</v>
      </c>
      <c r="E17" s="259">
        <f t="shared" ref="E17:I17" si="3">E18*E14</f>
        <v>2.8315520000000003</v>
      </c>
      <c r="F17" s="259">
        <f t="shared" si="3"/>
        <v>1.3916143999999997</v>
      </c>
      <c r="G17" s="259">
        <f t="shared" si="3"/>
        <v>1.3594466879999976</v>
      </c>
      <c r="H17" s="259">
        <f>H18*H14</f>
        <v>1.3282356217599978</v>
      </c>
      <c r="I17" s="259">
        <f t="shared" si="3"/>
        <v>1.3780003341951992</v>
      </c>
    </row>
    <row r="18" spans="2:13" x14ac:dyDescent="0.2">
      <c r="B18" s="110" t="s">
        <v>220</v>
      </c>
      <c r="D18" s="262">
        <f>'Best Case Forecast'!C28</f>
        <v>0.4</v>
      </c>
      <c r="E18" s="262">
        <f>'Best Case Forecast'!D28</f>
        <v>0.4</v>
      </c>
      <c r="F18" s="262">
        <f>'Best Case Forecast'!E28</f>
        <v>0.4</v>
      </c>
      <c r="G18" s="262">
        <f>'Best Case Forecast'!F28</f>
        <v>0.4</v>
      </c>
      <c r="H18" s="262">
        <f>'Best Case Forecast'!G28</f>
        <v>0.4</v>
      </c>
      <c r="I18" s="262">
        <f>'Best Case Forecast'!H28</f>
        <v>0.4</v>
      </c>
    </row>
    <row r="19" spans="2:13" x14ac:dyDescent="0.2">
      <c r="B19" s="108" t="s">
        <v>242</v>
      </c>
      <c r="C19" s="108"/>
      <c r="D19" s="263">
        <f t="shared" ref="D19:G19" si="4">D14*(1-D18)</f>
        <v>1.7999999999999987</v>
      </c>
      <c r="E19" s="263">
        <f t="shared" si="4"/>
        <v>4.2473280000000004</v>
      </c>
      <c r="F19" s="263">
        <f t="shared" si="4"/>
        <v>2.0874215999999994</v>
      </c>
      <c r="G19" s="263">
        <f t="shared" si="4"/>
        <v>2.0391700319999959</v>
      </c>
      <c r="H19" s="263">
        <f>H14*(1-H18)</f>
        <v>1.9923534326399965</v>
      </c>
      <c r="I19" s="263">
        <f>I14*(1-I18)</f>
        <v>2.0670005012927986</v>
      </c>
    </row>
    <row r="20" spans="2:13" x14ac:dyDescent="0.2">
      <c r="D20" s="220"/>
      <c r="E20" s="220"/>
      <c r="F20" s="220"/>
      <c r="G20" s="220"/>
      <c r="H20" s="220"/>
      <c r="I20" s="220"/>
    </row>
    <row r="21" spans="2:13" x14ac:dyDescent="0.2">
      <c r="B21" t="s">
        <v>107</v>
      </c>
      <c r="D21" s="221">
        <f>'Best Case Forecast'!C20</f>
        <v>2.1</v>
      </c>
      <c r="E21" s="221">
        <f>'Best Case Forecast'!D20</f>
        <v>2.2999999999999998</v>
      </c>
      <c r="F21" s="221">
        <f>'Best Case Forecast'!E20</f>
        <v>2.5</v>
      </c>
      <c r="G21" s="221">
        <f>'Best Case Forecast'!F20</f>
        <v>2.7</v>
      </c>
      <c r="H21" s="221">
        <f>'Best Case Forecast'!G20</f>
        <v>2.9</v>
      </c>
      <c r="I21" s="221">
        <f>'Best Case Forecast'!H20</f>
        <v>2.9</v>
      </c>
      <c r="M21" s="134"/>
    </row>
    <row r="22" spans="2:13" x14ac:dyDescent="0.2">
      <c r="B22" t="s">
        <v>243</v>
      </c>
      <c r="D22" s="220"/>
      <c r="E22" s="165">
        <f>-(E28-D28)</f>
        <v>-1.4400000000000048</v>
      </c>
      <c r="F22" s="165">
        <f t="shared" ref="F22:I22" si="5">-(F28-E28)</f>
        <v>-1.4070276923076861</v>
      </c>
      <c r="G22" s="165">
        <f t="shared" si="5"/>
        <v>-0.5369405538461578</v>
      </c>
      <c r="H22" s="165">
        <f t="shared" si="5"/>
        <v>-0.54767936492308422</v>
      </c>
      <c r="I22" s="165">
        <f t="shared" si="5"/>
        <v>-0.55863295222153653</v>
      </c>
      <c r="M22" s="134"/>
    </row>
    <row r="23" spans="2:13" x14ac:dyDescent="0.2">
      <c r="B23" t="s">
        <v>233</v>
      </c>
      <c r="D23" s="221"/>
      <c r="E23" s="222">
        <v>-4</v>
      </c>
      <c r="F23" s="222">
        <v>-3.5</v>
      </c>
      <c r="G23" s="222">
        <v>-3.6</v>
      </c>
      <c r="H23" s="222">
        <v>-3.8</v>
      </c>
      <c r="I23" s="222">
        <v>-2.9</v>
      </c>
      <c r="M23" s="134"/>
    </row>
    <row r="24" spans="2:13" x14ac:dyDescent="0.2">
      <c r="B24" s="110" t="s">
        <v>236</v>
      </c>
      <c r="D24" s="221"/>
      <c r="E24" s="223">
        <f>-E23/E10</f>
        <v>6.8238425057149679E-2</v>
      </c>
      <c r="F24" s="223">
        <f t="shared" ref="F24:I24" si="6">-F23/F10</f>
        <v>5.8537864632358792E-2</v>
      </c>
      <c r="G24" s="223">
        <f t="shared" si="6"/>
        <v>5.9029779461202143E-2</v>
      </c>
      <c r="H24" s="223">
        <f t="shared" si="6"/>
        <v>6.1087462405383479E-2</v>
      </c>
      <c r="I24" s="223">
        <f t="shared" si="6"/>
        <v>4.5705273729518082E-2</v>
      </c>
      <c r="M24" s="134"/>
    </row>
    <row r="25" spans="2:13" x14ac:dyDescent="0.2">
      <c r="D25" s="132"/>
      <c r="E25" s="132"/>
      <c r="F25" s="132"/>
      <c r="G25" s="132"/>
      <c r="H25" s="132"/>
      <c r="I25" s="132"/>
      <c r="M25" s="134"/>
    </row>
    <row r="26" spans="2:13" x14ac:dyDescent="0.2">
      <c r="B26" s="108" t="s">
        <v>244</v>
      </c>
      <c r="C26" s="108"/>
      <c r="D26" s="133"/>
      <c r="E26" s="189">
        <f>E19+E21+E22+E23</f>
        <v>1.1073279999999954</v>
      </c>
      <c r="F26" s="189">
        <f>F19+F21+F22+F23</f>
        <v>-0.31960609230768711</v>
      </c>
      <c r="G26" s="189">
        <f>G19+G21+G22+G23</f>
        <v>0.6022294781538382</v>
      </c>
      <c r="H26" s="189">
        <f>H19+H21+H22+H23</f>
        <v>0.54467406771691262</v>
      </c>
      <c r="I26" s="189">
        <f>I19+I21+I22+I23</f>
        <v>1.5083675490712616</v>
      </c>
      <c r="M26" s="133"/>
    </row>
    <row r="27" spans="2:13" x14ac:dyDescent="0.2">
      <c r="D27" s="132"/>
      <c r="M27" s="134"/>
    </row>
    <row r="28" spans="2:13" x14ac:dyDescent="0.2">
      <c r="B28" t="s">
        <v>245</v>
      </c>
      <c r="D28" s="198">
        <f>SUM('Worst Case Forecast'!D32:D35)-SUM('Worst Case Forecast'!D39:D40)</f>
        <v>24</v>
      </c>
      <c r="E28" s="198">
        <f>SUM('Worst Case Forecast'!E32:E35)-SUM('Worst Case Forecast'!E39:E40)</f>
        <v>25.440000000000005</v>
      </c>
      <c r="F28" s="198">
        <f>SUM('Worst Case Forecast'!F32:F35)-SUM('Worst Case Forecast'!F39:F40)</f>
        <v>26.847027692307691</v>
      </c>
      <c r="G28" s="198">
        <f>SUM('Worst Case Forecast'!G32:G35)-SUM('Worst Case Forecast'!G39:G40)</f>
        <v>27.383968246153849</v>
      </c>
      <c r="H28" s="198">
        <f>SUM('Worst Case Forecast'!H32:H35)-SUM('Worst Case Forecast'!H39:H40)</f>
        <v>27.931647611076933</v>
      </c>
      <c r="I28" s="198">
        <f>SUM('Worst Case Forecast'!I32:I35)-SUM('Worst Case Forecast'!I39:I40)</f>
        <v>28.490280563298469</v>
      </c>
      <c r="J28" s="132"/>
    </row>
    <row r="29" spans="2:13" x14ac:dyDescent="0.2">
      <c r="B29" s="110" t="s">
        <v>236</v>
      </c>
      <c r="D29" s="125"/>
      <c r="E29" s="125">
        <f t="shared" ref="E29:I29" si="7">E28/E10</f>
        <v>0.43399638336347202</v>
      </c>
      <c r="F29" s="125">
        <f t="shared" si="7"/>
        <v>0.44901933509528447</v>
      </c>
      <c r="G29" s="125">
        <f t="shared" si="7"/>
        <v>0.44901933509528447</v>
      </c>
      <c r="H29" s="125">
        <f>H28/H10</f>
        <v>0.44901933509528458</v>
      </c>
      <c r="I29" s="125">
        <f t="shared" si="7"/>
        <v>0.44901933509528458</v>
      </c>
      <c r="J29" s="132"/>
    </row>
    <row r="30" spans="2:13" x14ac:dyDescent="0.2">
      <c r="D30" s="132"/>
      <c r="E30" s="125"/>
      <c r="F30" s="125"/>
      <c r="G30" s="125"/>
      <c r="H30" s="252"/>
      <c r="I30" s="125"/>
      <c r="J30" s="132"/>
      <c r="K30" s="107"/>
      <c r="M30" s="125"/>
    </row>
    <row r="31" spans="2:13" x14ac:dyDescent="0.2">
      <c r="B31" s="127"/>
      <c r="C31" s="123"/>
      <c r="D31" s="135"/>
      <c r="E31" s="201">
        <v>1</v>
      </c>
      <c r="F31" s="202">
        <v>2</v>
      </c>
      <c r="G31" s="201">
        <v>3</v>
      </c>
      <c r="H31" s="202">
        <v>4</v>
      </c>
      <c r="I31" s="201">
        <v>5</v>
      </c>
      <c r="J31" s="132"/>
    </row>
    <row r="32" spans="2:13" x14ac:dyDescent="0.2">
      <c r="B32" s="108"/>
      <c r="D32" s="200">
        <v>2002</v>
      </c>
      <c r="E32" s="200">
        <v>2003</v>
      </c>
      <c r="F32" s="200">
        <v>2004</v>
      </c>
      <c r="G32" s="200">
        <v>2005</v>
      </c>
      <c r="H32" s="200">
        <v>2006</v>
      </c>
      <c r="I32" s="200">
        <v>2007</v>
      </c>
      <c r="J32" s="132"/>
    </row>
    <row r="33" spans="2:15" x14ac:dyDescent="0.2">
      <c r="B33" s="108" t="s">
        <v>246</v>
      </c>
      <c r="C33" s="136"/>
      <c r="D33" s="133"/>
      <c r="E33" s="189">
        <f>E26/(1+$C$4)^E31</f>
        <v>1.0227514141530216</v>
      </c>
      <c r="F33" s="189">
        <f t="shared" ref="F33:I33" si="8">F26/(1+$C$4)^F31</f>
        <v>-0.27264821780251586</v>
      </c>
      <c r="G33" s="189">
        <f t="shared" si="8"/>
        <v>0.47450788185777792</v>
      </c>
      <c r="H33" s="189">
        <f t="shared" si="8"/>
        <v>0.3963801765208802</v>
      </c>
      <c r="I33" s="189">
        <f t="shared" si="8"/>
        <v>1.0138558594597571</v>
      </c>
      <c r="J33" s="131"/>
    </row>
    <row r="35" spans="2:15" x14ac:dyDescent="0.2">
      <c r="B35" s="127" t="s">
        <v>247</v>
      </c>
      <c r="C35" s="127"/>
      <c r="E35" s="127" t="s">
        <v>248</v>
      </c>
      <c r="F35" s="123"/>
      <c r="G35" s="123"/>
      <c r="H35" s="123"/>
      <c r="I35" s="123"/>
      <c r="K35" s="127" t="s">
        <v>284</v>
      </c>
      <c r="L35" s="123"/>
      <c r="M35" s="123"/>
      <c r="N35" s="123"/>
      <c r="O35" s="123"/>
    </row>
    <row r="36" spans="2:15" x14ac:dyDescent="0.2">
      <c r="B36" t="s">
        <v>249</v>
      </c>
      <c r="C36" s="137">
        <v>0.02</v>
      </c>
      <c r="E36" t="s">
        <v>250</v>
      </c>
      <c r="I36" s="203">
        <f>I12</f>
        <v>6.3450008354879976</v>
      </c>
      <c r="J36" s="134"/>
      <c r="K36" t="s">
        <v>288</v>
      </c>
      <c r="O36" s="203">
        <f>I12</f>
        <v>6.3450008354879976</v>
      </c>
    </row>
    <row r="37" spans="2:15" x14ac:dyDescent="0.2">
      <c r="B37" s="138" t="s">
        <v>286</v>
      </c>
      <c r="C37" s="203">
        <f>I26*(1+C36)</f>
        <v>1.5385349000526869</v>
      </c>
      <c r="E37" t="s">
        <v>251</v>
      </c>
      <c r="I37" s="204">
        <f>C41/I12</f>
        <v>2.3840450288905881</v>
      </c>
      <c r="K37" t="s">
        <v>289</v>
      </c>
      <c r="O37" s="204">
        <f>'Exhibit 6'!I18</f>
        <v>13.314285714285717</v>
      </c>
    </row>
    <row r="38" spans="2:15" x14ac:dyDescent="0.2">
      <c r="B38" t="s">
        <v>282</v>
      </c>
      <c r="C38" s="203">
        <f>C37/C4-C36</f>
        <v>18.584897904009754</v>
      </c>
      <c r="E38" t="s">
        <v>283</v>
      </c>
      <c r="I38" s="203">
        <f>I36*I37</f>
        <v>15.12676770015179</v>
      </c>
      <c r="J38" s="134"/>
      <c r="K38" t="s">
        <v>283</v>
      </c>
      <c r="O38" s="203">
        <f>O36*O37</f>
        <v>84.479153981068791</v>
      </c>
    </row>
    <row r="39" spans="2:15" x14ac:dyDescent="0.2">
      <c r="B39" t="s">
        <v>252</v>
      </c>
      <c r="C39" s="203">
        <f>C38/(1+C4)^5</f>
        <v>12.491920585962868</v>
      </c>
      <c r="E39" t="s">
        <v>252</v>
      </c>
      <c r="I39" s="203">
        <f>I38/(1+C4)^5</f>
        <v>10.167523212050309</v>
      </c>
      <c r="J39" s="134"/>
      <c r="K39" t="s">
        <v>252</v>
      </c>
      <c r="O39" s="203">
        <f>O38/(1+C4)^5</f>
        <v>56.783033630394826</v>
      </c>
    </row>
    <row r="40" spans="2:15" x14ac:dyDescent="0.2">
      <c r="B40" t="s">
        <v>253</v>
      </c>
      <c r="C40" s="188">
        <f>SUM(E33:I33)</f>
        <v>2.6348471141889211</v>
      </c>
      <c r="E40" t="s">
        <v>253</v>
      </c>
      <c r="I40" s="203">
        <f>C40</f>
        <v>2.6348471141889211</v>
      </c>
      <c r="J40" s="134"/>
      <c r="K40" t="s">
        <v>253</v>
      </c>
      <c r="O40" s="203">
        <f>I40</f>
        <v>2.6348471141889211</v>
      </c>
    </row>
    <row r="41" spans="2:15" x14ac:dyDescent="0.2">
      <c r="B41" s="210" t="s">
        <v>254</v>
      </c>
      <c r="C41" s="211">
        <f>C40+C39</f>
        <v>15.126767700151788</v>
      </c>
      <c r="D41" s="209"/>
      <c r="E41" s="210" t="s">
        <v>255</v>
      </c>
      <c r="F41" s="209"/>
      <c r="G41" s="209"/>
      <c r="H41" s="209"/>
      <c r="I41" s="211">
        <f>SUM(I39:I40)</f>
        <v>12.802370326239231</v>
      </c>
      <c r="J41" s="212"/>
      <c r="K41" s="210" t="s">
        <v>255</v>
      </c>
      <c r="L41" s="209"/>
      <c r="M41" s="209"/>
      <c r="N41" s="209"/>
      <c r="O41" s="211">
        <f>SUM(O39:O40)</f>
        <v>59.417880744583748</v>
      </c>
    </row>
    <row r="43" spans="2:15" x14ac:dyDescent="0.2">
      <c r="B43" s="139" t="s">
        <v>256</v>
      </c>
      <c r="C43" s="140">
        <f>C39/$C$41</f>
        <v>0.82581558952858902</v>
      </c>
      <c r="E43" s="139" t="s">
        <v>256</v>
      </c>
      <c r="I43" s="140">
        <f>+I39/I41</f>
        <v>0.79419068133120285</v>
      </c>
      <c r="J43" s="140"/>
      <c r="K43" s="139" t="s">
        <v>256</v>
      </c>
      <c r="O43" s="140">
        <f>+O39/O41</f>
        <v>0.9556556531271253</v>
      </c>
    </row>
    <row r="44" spans="2:15" x14ac:dyDescent="0.2">
      <c r="B44" s="139" t="s">
        <v>257</v>
      </c>
      <c r="C44" s="140">
        <f>1-C43</f>
        <v>0.17418441047141098</v>
      </c>
      <c r="E44" s="139" t="s">
        <v>258</v>
      </c>
      <c r="G44" s="141"/>
      <c r="I44" s="122">
        <f>1-I43</f>
        <v>0.20580931866879715</v>
      </c>
      <c r="J44" s="122"/>
      <c r="K44" s="139" t="s">
        <v>258</v>
      </c>
      <c r="M44" s="141"/>
      <c r="O44" s="122">
        <f>1-O43</f>
        <v>4.4344346872874696E-2</v>
      </c>
    </row>
    <row r="45" spans="2:15" x14ac:dyDescent="0.2">
      <c r="B45" s="139" t="s">
        <v>259</v>
      </c>
      <c r="C45" s="142">
        <f>(C38/I12)</f>
        <v>2.9290615377169416</v>
      </c>
      <c r="E45" t="s">
        <v>260</v>
      </c>
      <c r="I45" s="205">
        <f>ABS(C4-I26/I38)/(1+I26/I38)</f>
        <v>1.5476709898127392E-2</v>
      </c>
      <c r="J45" s="143"/>
      <c r="K45" t="s">
        <v>260</v>
      </c>
      <c r="O45" s="205">
        <f>ABS(C4-I26/O38)/(1+I26/O38)</f>
        <v>6.3702837505815638E-2</v>
      </c>
    </row>
    <row r="46" spans="2:15" x14ac:dyDescent="0.2">
      <c r="J46" s="144"/>
    </row>
    <row r="47" spans="2:15" x14ac:dyDescent="0.2">
      <c r="B47" s="139" t="s">
        <v>287</v>
      </c>
      <c r="C47" s="156">
        <v>12</v>
      </c>
      <c r="E47" s="139" t="s">
        <v>287</v>
      </c>
      <c r="I47" s="156">
        <v>12</v>
      </c>
      <c r="J47" s="144"/>
      <c r="K47" s="139" t="s">
        <v>287</v>
      </c>
      <c r="O47" s="156">
        <v>12</v>
      </c>
    </row>
    <row r="48" spans="2:15" x14ac:dyDescent="0.2">
      <c r="B48" s="139" t="s">
        <v>44</v>
      </c>
      <c r="C48">
        <f>0.584</f>
        <v>0.58399999999999996</v>
      </c>
      <c r="E48" s="139" t="s">
        <v>44</v>
      </c>
      <c r="I48">
        <f>0.584</f>
        <v>0.58399999999999996</v>
      </c>
      <c r="J48" s="144"/>
      <c r="K48" s="139" t="s">
        <v>44</v>
      </c>
      <c r="O48">
        <f>0.584</f>
        <v>0.58399999999999996</v>
      </c>
    </row>
    <row r="49" spans="2:16" x14ac:dyDescent="0.2">
      <c r="B49" s="207" t="s">
        <v>285</v>
      </c>
      <c r="C49" s="208">
        <f>(C41-C47)/C48</f>
        <v>5.3540542810818295</v>
      </c>
      <c r="D49" s="209"/>
      <c r="E49" s="207" t="s">
        <v>285</v>
      </c>
      <c r="F49" s="209"/>
      <c r="G49" s="209"/>
      <c r="H49" s="209"/>
      <c r="I49" s="208">
        <f>(I41-I47)/I48</f>
        <v>1.3739217915055326</v>
      </c>
      <c r="J49" s="209"/>
      <c r="K49" s="207" t="s">
        <v>285</v>
      </c>
      <c r="L49" s="209"/>
      <c r="M49" s="209"/>
      <c r="N49" s="209"/>
      <c r="O49" s="208">
        <f>(O41-O47)/O48</f>
        <v>81.195001274972171</v>
      </c>
    </row>
    <row r="51" spans="2:16" x14ac:dyDescent="0.2">
      <c r="B51" s="127"/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</row>
  </sheetData>
  <mergeCells count="1">
    <mergeCell ref="E7:I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workbookViewId="0">
      <selection activeCell="H24" sqref="H24"/>
    </sheetView>
  </sheetViews>
  <sheetFormatPr baseColWidth="10" defaultColWidth="8.83203125" defaultRowHeight="15" x14ac:dyDescent="0.2"/>
  <cols>
    <col min="1" max="1" width="21" customWidth="1"/>
    <col min="2" max="2" width="8" customWidth="1"/>
    <col min="4" max="4" width="21" customWidth="1"/>
  </cols>
  <sheetData>
    <row r="1" spans="1:5" ht="39.75" customHeight="1" x14ac:dyDescent="0.2">
      <c r="A1" s="226" t="s">
        <v>45</v>
      </c>
      <c r="B1" s="227"/>
      <c r="C1" s="227"/>
      <c r="D1" s="227"/>
      <c r="E1" s="227"/>
    </row>
    <row r="2" spans="1:5" ht="18" customHeight="1" thickBot="1" x14ac:dyDescent="0.25">
      <c r="A2" s="20" t="s">
        <v>46</v>
      </c>
      <c r="B2" s="48"/>
      <c r="C2" s="48"/>
      <c r="D2" s="48" t="s">
        <v>47</v>
      </c>
      <c r="E2" s="49"/>
    </row>
    <row r="3" spans="1:5" x14ac:dyDescent="0.2">
      <c r="A3" s="25"/>
      <c r="B3" s="87"/>
      <c r="C3" s="87"/>
      <c r="D3" s="87"/>
      <c r="E3" s="24"/>
    </row>
    <row r="4" spans="1:5" x14ac:dyDescent="0.2">
      <c r="A4" s="63" t="s">
        <v>48</v>
      </c>
      <c r="B4" s="26" t="s">
        <v>49</v>
      </c>
      <c r="C4" s="50"/>
      <c r="D4" s="87" t="s">
        <v>50</v>
      </c>
      <c r="E4" s="27" t="s">
        <v>51</v>
      </c>
    </row>
    <row r="5" spans="1:5" x14ac:dyDescent="0.2">
      <c r="A5" s="63" t="s">
        <v>52</v>
      </c>
      <c r="B5" s="87">
        <v>8</v>
      </c>
      <c r="C5" s="87"/>
      <c r="D5" s="87" t="s">
        <v>53</v>
      </c>
      <c r="E5" s="51">
        <v>2</v>
      </c>
    </row>
    <row r="6" spans="1:5" x14ac:dyDescent="0.2">
      <c r="A6" s="63" t="s">
        <v>54</v>
      </c>
      <c r="B6" s="87">
        <v>18</v>
      </c>
      <c r="C6" s="87"/>
      <c r="D6" s="52" t="s">
        <v>55</v>
      </c>
      <c r="E6" s="24">
        <v>4</v>
      </c>
    </row>
    <row r="7" spans="1:5" x14ac:dyDescent="0.2">
      <c r="A7" s="63" t="s">
        <v>53</v>
      </c>
      <c r="B7" s="53">
        <v>1</v>
      </c>
      <c r="C7" s="87"/>
      <c r="D7" s="87" t="s">
        <v>56</v>
      </c>
      <c r="E7" s="24">
        <v>12</v>
      </c>
    </row>
    <row r="8" spans="1:5" x14ac:dyDescent="0.2">
      <c r="A8" s="64" t="s">
        <v>57</v>
      </c>
      <c r="B8" s="87">
        <v>28</v>
      </c>
      <c r="C8" s="87"/>
      <c r="D8" s="87"/>
      <c r="E8" s="24"/>
    </row>
    <row r="9" spans="1:5" x14ac:dyDescent="0.2">
      <c r="A9" s="63" t="s">
        <v>58</v>
      </c>
      <c r="B9" s="53">
        <v>19</v>
      </c>
      <c r="C9" s="87"/>
      <c r="D9" s="87" t="s">
        <v>59</v>
      </c>
      <c r="E9" s="51">
        <v>31</v>
      </c>
    </row>
    <row r="10" spans="1:5" x14ac:dyDescent="0.2">
      <c r="A10" s="63" t="s">
        <v>60</v>
      </c>
      <c r="B10" s="26" t="s">
        <v>61</v>
      </c>
      <c r="C10" s="87"/>
      <c r="D10" s="87" t="s">
        <v>62</v>
      </c>
      <c r="E10" s="27" t="s">
        <v>61</v>
      </c>
    </row>
    <row r="11" spans="1:5" ht="16" thickBot="1" x14ac:dyDescent="0.25">
      <c r="A11" s="65"/>
      <c r="B11" s="7"/>
      <c r="C11" s="7"/>
      <c r="D11" s="7"/>
      <c r="E11" s="54"/>
    </row>
    <row r="12" spans="1:5" x14ac:dyDescent="0.2">
      <c r="A12" s="63"/>
      <c r="B12" s="87"/>
      <c r="C12" s="87"/>
      <c r="D12" s="87"/>
      <c r="E12" s="24"/>
    </row>
    <row r="13" spans="1:5" x14ac:dyDescent="0.2">
      <c r="A13" s="63" t="s">
        <v>63</v>
      </c>
      <c r="B13" s="28">
        <v>53</v>
      </c>
      <c r="C13" s="87"/>
      <c r="D13" s="87" t="s">
        <v>64</v>
      </c>
      <c r="E13" s="38">
        <v>0.28000000000000003</v>
      </c>
    </row>
    <row r="14" spans="1:5" x14ac:dyDescent="0.2">
      <c r="A14" s="63" t="s">
        <v>65</v>
      </c>
      <c r="B14" s="28">
        <v>173</v>
      </c>
      <c r="C14" s="87"/>
      <c r="D14" s="87" t="s">
        <v>66</v>
      </c>
      <c r="E14" s="29">
        <v>1.52</v>
      </c>
    </row>
    <row r="15" spans="1:5" x14ac:dyDescent="0.2">
      <c r="A15" s="66" t="s">
        <v>67</v>
      </c>
      <c r="B15" s="46">
        <v>1.18</v>
      </c>
      <c r="C15" s="55"/>
      <c r="D15" s="55"/>
      <c r="E15" s="47"/>
    </row>
    <row r="16" spans="1:5" x14ac:dyDescent="0.2">
      <c r="A16" s="8"/>
    </row>
  </sheetData>
  <mergeCells count="1">
    <mergeCell ref="A1:E1"/>
  </mergeCells>
  <pageMargins left="0.7" right="0.7" top="0.75" bottom="0.75" header="0.3" footer="0.3"/>
  <pageSetup orientation="portrait" r:id="rId1"/>
  <ignoredErrors>
    <ignoredError sqref="C4:D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2"/>
  <sheetViews>
    <sheetView workbookViewId="0">
      <selection activeCell="F10" sqref="F10"/>
    </sheetView>
  </sheetViews>
  <sheetFormatPr baseColWidth="10" defaultColWidth="8.83203125" defaultRowHeight="15" x14ac:dyDescent="0.2"/>
  <cols>
    <col min="1" max="1" width="22.5" customWidth="1"/>
    <col min="2" max="2" width="11" bestFit="1" customWidth="1"/>
    <col min="3" max="3" width="10" bestFit="1" customWidth="1"/>
  </cols>
  <sheetData>
    <row r="1" spans="1:6" ht="33" customHeight="1" thickBot="1" x14ac:dyDescent="0.25">
      <c r="A1" s="228" t="s">
        <v>68</v>
      </c>
      <c r="B1" s="229"/>
      <c r="C1" s="229"/>
      <c r="D1" s="229"/>
      <c r="E1" s="229"/>
      <c r="F1" s="230"/>
    </row>
    <row r="2" spans="1:6" ht="16" thickBot="1" x14ac:dyDescent="0.25">
      <c r="A2" s="56"/>
      <c r="B2" s="1">
        <v>1998</v>
      </c>
      <c r="C2" s="1">
        <v>1999</v>
      </c>
      <c r="D2" s="1">
        <v>2000</v>
      </c>
      <c r="E2" s="1">
        <v>2001</v>
      </c>
      <c r="F2" s="57">
        <v>2002</v>
      </c>
    </row>
    <row r="3" spans="1:6" x14ac:dyDescent="0.2">
      <c r="A3" s="23" t="s">
        <v>1</v>
      </c>
      <c r="B3" s="87"/>
      <c r="C3" s="87"/>
      <c r="D3" s="87"/>
      <c r="E3" s="87"/>
      <c r="F3" s="24"/>
    </row>
    <row r="4" spans="1:6" x14ac:dyDescent="0.2">
      <c r="A4" s="63" t="s">
        <v>2</v>
      </c>
      <c r="B4" s="26" t="s">
        <v>69</v>
      </c>
      <c r="C4" s="26" t="s">
        <v>70</v>
      </c>
      <c r="D4" s="26" t="s">
        <v>71</v>
      </c>
      <c r="E4" s="26" t="s">
        <v>72</v>
      </c>
      <c r="F4" s="27" t="s">
        <v>73</v>
      </c>
    </row>
    <row r="5" spans="1:6" x14ac:dyDescent="0.2">
      <c r="A5" s="63" t="s">
        <v>19</v>
      </c>
      <c r="B5" s="28">
        <v>1.97</v>
      </c>
      <c r="C5" s="41">
        <v>3.2</v>
      </c>
      <c r="D5" s="41">
        <v>3.2</v>
      </c>
      <c r="E5" s="28">
        <v>1.1299999999999999</v>
      </c>
      <c r="F5" s="29">
        <v>2.98</v>
      </c>
    </row>
    <row r="6" spans="1:6" x14ac:dyDescent="0.2">
      <c r="A6" s="63"/>
      <c r="B6" s="28"/>
      <c r="C6" s="28"/>
      <c r="D6" s="28"/>
      <c r="E6" s="28"/>
      <c r="F6" s="29"/>
    </row>
    <row r="7" spans="1:6" x14ac:dyDescent="0.2">
      <c r="A7" s="23" t="s">
        <v>74</v>
      </c>
      <c r="B7" s="28"/>
      <c r="C7" s="28"/>
      <c r="D7" s="28"/>
      <c r="E7" s="28"/>
      <c r="F7" s="29"/>
    </row>
    <row r="8" spans="1:6" x14ac:dyDescent="0.2">
      <c r="A8" s="63" t="s">
        <v>57</v>
      </c>
      <c r="B8" s="26" t="s">
        <v>75</v>
      </c>
      <c r="C8" s="26" t="s">
        <v>76</v>
      </c>
      <c r="D8" s="26" t="s">
        <v>77</v>
      </c>
      <c r="E8" s="26" t="s">
        <v>78</v>
      </c>
      <c r="F8" s="27" t="s">
        <v>76</v>
      </c>
    </row>
    <row r="9" spans="1:6" x14ac:dyDescent="0.2">
      <c r="A9" s="63" t="s">
        <v>55</v>
      </c>
      <c r="B9" s="28">
        <v>6</v>
      </c>
      <c r="C9" s="28">
        <v>11</v>
      </c>
      <c r="D9" s="28">
        <v>15</v>
      </c>
      <c r="E9" s="28">
        <v>10</v>
      </c>
      <c r="F9" s="29">
        <v>13</v>
      </c>
    </row>
    <row r="10" spans="1:6" x14ac:dyDescent="0.2">
      <c r="A10" s="63" t="s">
        <v>79</v>
      </c>
      <c r="B10" s="28">
        <v>19</v>
      </c>
      <c r="C10" s="28">
        <v>35</v>
      </c>
      <c r="D10" s="28">
        <v>34</v>
      </c>
      <c r="E10" s="28">
        <v>31</v>
      </c>
      <c r="F10" s="29">
        <v>33</v>
      </c>
    </row>
    <row r="11" spans="1:6" x14ac:dyDescent="0.2">
      <c r="A11" s="63" t="s">
        <v>209</v>
      </c>
      <c r="B11" s="89">
        <f>B10/B4</f>
        <v>0.42222222222222222</v>
      </c>
      <c r="C11" s="89">
        <f t="shared" ref="C11:F11" si="0">C10/C4</f>
        <v>0.36082474226804123</v>
      </c>
      <c r="D11" s="89">
        <f t="shared" si="0"/>
        <v>0.34343434343434343</v>
      </c>
      <c r="E11" s="89">
        <f t="shared" si="0"/>
        <v>0.31632653061224492</v>
      </c>
      <c r="F11" s="89">
        <f t="shared" si="0"/>
        <v>0.33</v>
      </c>
    </row>
    <row r="12" spans="1:6" x14ac:dyDescent="0.2">
      <c r="A12" s="63" t="s">
        <v>56</v>
      </c>
      <c r="B12" s="28">
        <v>10</v>
      </c>
      <c r="C12" s="28">
        <v>18</v>
      </c>
      <c r="D12" s="28">
        <v>16</v>
      </c>
      <c r="E12" s="28">
        <v>15</v>
      </c>
      <c r="F12" s="29">
        <v>17</v>
      </c>
    </row>
    <row r="13" spans="1:6" x14ac:dyDescent="0.2">
      <c r="A13" s="63" t="s">
        <v>80</v>
      </c>
      <c r="B13" s="28">
        <v>21</v>
      </c>
      <c r="C13" s="28">
        <v>36</v>
      </c>
      <c r="D13" s="28">
        <v>40</v>
      </c>
      <c r="E13" s="28">
        <v>41</v>
      </c>
      <c r="F13" s="29">
        <v>41</v>
      </c>
    </row>
    <row r="14" spans="1:6" x14ac:dyDescent="0.2">
      <c r="A14" s="63"/>
      <c r="B14" s="28"/>
      <c r="C14" s="28"/>
      <c r="D14" s="28"/>
      <c r="E14" s="28"/>
      <c r="F14" s="29"/>
    </row>
    <row r="15" spans="1:6" ht="14.25" customHeight="1" x14ac:dyDescent="0.2">
      <c r="A15" s="23" t="s">
        <v>81</v>
      </c>
      <c r="B15" s="28"/>
      <c r="C15" s="28"/>
      <c r="D15" s="28"/>
      <c r="E15" s="28"/>
      <c r="F15" s="29"/>
    </row>
    <row r="16" spans="1:6" x14ac:dyDescent="0.2">
      <c r="A16" s="63" t="s">
        <v>24</v>
      </c>
      <c r="B16" s="26" t="s">
        <v>82</v>
      </c>
      <c r="C16" s="26" t="s">
        <v>83</v>
      </c>
      <c r="D16" s="26" t="s">
        <v>84</v>
      </c>
      <c r="E16" s="26" t="s">
        <v>85</v>
      </c>
      <c r="F16" s="27" t="s">
        <v>86</v>
      </c>
    </row>
    <row r="17" spans="1:6" x14ac:dyDescent="0.2">
      <c r="A17" s="63" t="s">
        <v>30</v>
      </c>
      <c r="B17" s="28">
        <v>0</v>
      </c>
      <c r="C17" s="28">
        <v>0</v>
      </c>
      <c r="D17" s="28">
        <v>0</v>
      </c>
      <c r="E17" s="41">
        <v>0.2</v>
      </c>
      <c r="F17" s="29">
        <v>0</v>
      </c>
    </row>
    <row r="18" spans="1:6" x14ac:dyDescent="0.2">
      <c r="A18" s="63" t="s">
        <v>31</v>
      </c>
      <c r="B18" s="28">
        <v>8.31</v>
      </c>
      <c r="C18" s="28">
        <v>6.86</v>
      </c>
      <c r="D18" s="28">
        <v>7.37</v>
      </c>
      <c r="E18" s="28">
        <v>7.38</v>
      </c>
      <c r="F18" s="29">
        <v>7.45</v>
      </c>
    </row>
    <row r="19" spans="1:6" x14ac:dyDescent="0.2">
      <c r="A19" s="63" t="s">
        <v>32</v>
      </c>
      <c r="B19" s="26" t="s">
        <v>87</v>
      </c>
      <c r="C19" s="26" t="s">
        <v>88</v>
      </c>
      <c r="D19" s="26" t="s">
        <v>89</v>
      </c>
      <c r="E19" s="26" t="s">
        <v>90</v>
      </c>
      <c r="F19" s="27" t="s">
        <v>91</v>
      </c>
    </row>
    <row r="20" spans="1:6" x14ac:dyDescent="0.2">
      <c r="A20" s="63" t="s">
        <v>38</v>
      </c>
      <c r="B20" s="26" t="s">
        <v>92</v>
      </c>
      <c r="C20" s="26" t="s">
        <v>93</v>
      </c>
      <c r="D20" s="26" t="s">
        <v>94</v>
      </c>
      <c r="E20" s="26" t="s">
        <v>95</v>
      </c>
      <c r="F20" s="27" t="s">
        <v>96</v>
      </c>
    </row>
    <row r="21" spans="1:6" x14ac:dyDescent="0.2">
      <c r="A21" s="63" t="s">
        <v>44</v>
      </c>
      <c r="B21" s="43">
        <v>2525600</v>
      </c>
      <c r="C21" s="43">
        <v>5245900</v>
      </c>
      <c r="D21" s="43">
        <v>5430100</v>
      </c>
      <c r="E21" s="43">
        <v>5510000</v>
      </c>
      <c r="F21" s="44">
        <v>5501000</v>
      </c>
    </row>
    <row r="22" spans="1:6" x14ac:dyDescent="0.2">
      <c r="A22" s="45"/>
      <c r="B22" s="46"/>
      <c r="C22" s="46"/>
      <c r="D22" s="46"/>
      <c r="E22" s="46"/>
      <c r="F22" s="47"/>
    </row>
  </sheetData>
  <mergeCells count="1">
    <mergeCell ref="A1:F1"/>
  </mergeCells>
  <pageMargins left="0.7" right="0.7" top="0.75" bottom="0.75" header="0.3" footer="0.3"/>
  <pageSetup scale="95" orientation="portrait" r:id="rId1"/>
  <ignoredErrors>
    <ignoredError sqref="B16:F16 B4:F4 B8:F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1"/>
  <sheetViews>
    <sheetView topLeftCell="A6" workbookViewId="0">
      <selection activeCell="J17" sqref="J17"/>
    </sheetView>
  </sheetViews>
  <sheetFormatPr baseColWidth="10" defaultColWidth="8.83203125" defaultRowHeight="15" x14ac:dyDescent="0.2"/>
  <cols>
    <col min="1" max="1" width="22.1640625" customWidth="1"/>
    <col min="7" max="7" width="12" customWidth="1"/>
  </cols>
  <sheetData>
    <row r="1" spans="1:8" ht="28.5" customHeight="1" thickBot="1" x14ac:dyDescent="0.25">
      <c r="A1" s="228" t="s">
        <v>97</v>
      </c>
      <c r="B1" s="229"/>
      <c r="C1" s="229"/>
      <c r="D1" s="229"/>
      <c r="E1" s="229"/>
      <c r="F1" s="229"/>
      <c r="G1" s="229"/>
      <c r="H1" s="58"/>
    </row>
    <row r="2" spans="1:8" x14ac:dyDescent="0.2">
      <c r="A2" s="59"/>
      <c r="B2" s="9" t="s">
        <v>98</v>
      </c>
      <c r="C2" s="19"/>
      <c r="D2" s="19"/>
      <c r="E2" s="19" t="s">
        <v>99</v>
      </c>
      <c r="F2" s="19"/>
      <c r="G2" s="234"/>
      <c r="H2" s="235"/>
    </row>
    <row r="3" spans="1:8" ht="15.75" customHeight="1" thickBot="1" x14ac:dyDescent="0.25">
      <c r="A3" s="60"/>
      <c r="B3" s="11">
        <v>2002</v>
      </c>
      <c r="C3" s="11">
        <v>2003</v>
      </c>
      <c r="D3" s="11">
        <v>2004</v>
      </c>
      <c r="E3" s="11">
        <v>2005</v>
      </c>
      <c r="F3" s="11">
        <v>2006</v>
      </c>
      <c r="G3" s="232" t="s">
        <v>100</v>
      </c>
      <c r="H3" s="233"/>
    </row>
    <row r="4" spans="1:8" x14ac:dyDescent="0.2">
      <c r="A4" s="25"/>
      <c r="B4" s="87"/>
      <c r="C4" s="87"/>
      <c r="D4" s="87"/>
      <c r="E4" s="87"/>
      <c r="F4" s="87"/>
      <c r="G4" s="87"/>
      <c r="H4" s="61"/>
    </row>
    <row r="5" spans="1:8" x14ac:dyDescent="0.2">
      <c r="A5" s="63" t="s">
        <v>2</v>
      </c>
      <c r="B5" s="41" t="s">
        <v>7</v>
      </c>
      <c r="C5" s="41" t="s">
        <v>101</v>
      </c>
      <c r="D5" s="41" t="s">
        <v>102</v>
      </c>
      <c r="E5" s="41" t="s">
        <v>103</v>
      </c>
      <c r="F5" s="41" t="s">
        <v>104</v>
      </c>
      <c r="G5" s="41" t="s">
        <v>104</v>
      </c>
      <c r="H5" s="61"/>
    </row>
    <row r="6" spans="1:8" x14ac:dyDescent="0.2">
      <c r="A6" s="63"/>
      <c r="B6" s="41"/>
      <c r="C6" s="163">
        <f>(C5-B5)/B5</f>
        <v>5.9674502712477477E-2</v>
      </c>
      <c r="D6" s="163">
        <f t="shared" ref="D6:G6" si="0">(D5-C5)/C5</f>
        <v>5.9726962457337884E-2</v>
      </c>
      <c r="E6" s="163">
        <f t="shared" si="0"/>
        <v>6.1191626409017784E-2</v>
      </c>
      <c r="F6" s="163">
        <f t="shared" si="0"/>
        <v>5.9180576631259349E-2</v>
      </c>
      <c r="G6" s="163">
        <f t="shared" si="0"/>
        <v>0</v>
      </c>
      <c r="H6" s="61"/>
    </row>
    <row r="7" spans="1:8" x14ac:dyDescent="0.2">
      <c r="A7" s="63" t="s">
        <v>8</v>
      </c>
      <c r="B7" s="90">
        <v>37.9</v>
      </c>
      <c r="C7" s="90">
        <v>39.799999999999997</v>
      </c>
      <c r="D7" s="90">
        <v>41.6</v>
      </c>
      <c r="E7" s="90">
        <v>43.5</v>
      </c>
      <c r="F7" s="90">
        <v>45.4</v>
      </c>
      <c r="G7" s="90">
        <v>45.4</v>
      </c>
      <c r="H7" s="61"/>
    </row>
    <row r="8" spans="1:8" x14ac:dyDescent="0.2">
      <c r="A8" s="63"/>
      <c r="B8" s="90"/>
      <c r="C8" s="163">
        <f>(C7-B7)/B7</f>
        <v>5.0131926121371996E-2</v>
      </c>
      <c r="D8" s="163">
        <f t="shared" ref="D8" si="1">(D7-C7)/C7</f>
        <v>4.5226130653266444E-2</v>
      </c>
      <c r="E8" s="163">
        <f t="shared" ref="E8" si="2">(E7-D7)/D7</f>
        <v>4.5673076923076886E-2</v>
      </c>
      <c r="F8" s="163">
        <f t="shared" ref="F8" si="3">(F7-E7)/E7</f>
        <v>4.3678160919540195E-2</v>
      </c>
      <c r="G8" s="163">
        <f t="shared" ref="G8" si="4">(G7-F7)/F7</f>
        <v>0</v>
      </c>
      <c r="H8" s="61"/>
    </row>
    <row r="9" spans="1:8" x14ac:dyDescent="0.2">
      <c r="A9" s="63" t="s">
        <v>105</v>
      </c>
      <c r="B9" s="91">
        <v>17.399999999999999</v>
      </c>
      <c r="C9" s="91">
        <v>18.8</v>
      </c>
      <c r="D9" s="91">
        <v>20.5</v>
      </c>
      <c r="E9" s="91">
        <v>22.4</v>
      </c>
      <c r="F9" s="91">
        <v>24.4</v>
      </c>
      <c r="G9" s="91">
        <v>24.4</v>
      </c>
      <c r="H9" s="61"/>
    </row>
    <row r="10" spans="1:8" x14ac:dyDescent="0.2">
      <c r="A10" s="63"/>
      <c r="B10" s="91"/>
      <c r="C10" s="163">
        <f>(C9-B9)/B9</f>
        <v>8.0459770114942653E-2</v>
      </c>
      <c r="D10" s="163">
        <f t="shared" ref="D10" si="5">(D9-C9)/C9</f>
        <v>9.0425531914893581E-2</v>
      </c>
      <c r="E10" s="163">
        <f t="shared" ref="E10" si="6">(E9-D9)/D9</f>
        <v>9.2682926829268222E-2</v>
      </c>
      <c r="F10" s="163">
        <f t="shared" ref="F10" si="7">(F9-E9)/E9</f>
        <v>8.9285714285714288E-2</v>
      </c>
      <c r="G10" s="163">
        <f t="shared" ref="G10" si="8">(G9-F9)/F9</f>
        <v>0</v>
      </c>
      <c r="H10" s="61"/>
    </row>
    <row r="11" spans="1:8" x14ac:dyDescent="0.2">
      <c r="A11" s="63" t="s">
        <v>106</v>
      </c>
      <c r="B11" s="91">
        <v>12.3</v>
      </c>
      <c r="C11" s="91">
        <v>12.3</v>
      </c>
      <c r="D11" s="91">
        <v>12.4</v>
      </c>
      <c r="E11" s="91">
        <v>12.5</v>
      </c>
      <c r="F11" s="91">
        <v>13.3</v>
      </c>
      <c r="G11" s="91">
        <v>13.3</v>
      </c>
      <c r="H11" s="61"/>
    </row>
    <row r="12" spans="1:8" x14ac:dyDescent="0.2">
      <c r="A12" s="63"/>
      <c r="B12" s="91"/>
      <c r="C12" s="163">
        <f>(C11-B11)/B11</f>
        <v>0</v>
      </c>
      <c r="D12" s="163">
        <f t="shared" ref="D12" si="9">(D11-C11)/C11</f>
        <v>8.1300813008129795E-3</v>
      </c>
      <c r="E12" s="163">
        <f t="shared" ref="E12" si="10">(E11-D11)/D11</f>
        <v>8.0645161290322284E-3</v>
      </c>
      <c r="F12" s="163">
        <f t="shared" ref="F12" si="11">(F11-E11)/E11</f>
        <v>6.4000000000000057E-2</v>
      </c>
      <c r="G12" s="163">
        <f t="shared" ref="G12" si="12">(G11-F11)/F11</f>
        <v>0</v>
      </c>
      <c r="H12" s="61"/>
    </row>
    <row r="13" spans="1:8" x14ac:dyDescent="0.2">
      <c r="A13" s="63" t="s">
        <v>107</v>
      </c>
      <c r="B13" s="90">
        <v>2.1</v>
      </c>
      <c r="C13" s="90">
        <v>2.2999999999999998</v>
      </c>
      <c r="D13" s="90">
        <v>2.5</v>
      </c>
      <c r="E13" s="90">
        <v>2.7</v>
      </c>
      <c r="F13" s="90">
        <v>2.9</v>
      </c>
      <c r="G13" s="90">
        <v>2.9</v>
      </c>
      <c r="H13" s="61"/>
    </row>
    <row r="14" spans="1:8" x14ac:dyDescent="0.2">
      <c r="A14" s="63"/>
      <c r="B14" s="90"/>
      <c r="C14" s="163">
        <f>(C13-B13)/B13</f>
        <v>9.5238095238095108E-2</v>
      </c>
      <c r="D14" s="163">
        <f t="shared" ref="D14" si="13">(D13-C13)/C13</f>
        <v>8.6956521739130516E-2</v>
      </c>
      <c r="E14" s="163">
        <f t="shared" ref="E14" si="14">(E13-D13)/D13</f>
        <v>8.0000000000000071E-2</v>
      </c>
      <c r="F14" s="163">
        <f t="shared" ref="F14" si="15">(F13-E13)/E13</f>
        <v>7.4074074074073973E-2</v>
      </c>
      <c r="G14" s="163">
        <f t="shared" ref="G14" si="16">(G13-F13)/F13</f>
        <v>0</v>
      </c>
      <c r="H14" s="61"/>
    </row>
    <row r="15" spans="1:8" x14ac:dyDescent="0.2">
      <c r="A15" s="63" t="s">
        <v>108</v>
      </c>
      <c r="B15" s="91">
        <v>3</v>
      </c>
      <c r="C15" s="91">
        <v>4.2</v>
      </c>
      <c r="D15" s="91">
        <v>5.6</v>
      </c>
      <c r="E15" s="91">
        <v>7.2</v>
      </c>
      <c r="F15" s="91">
        <v>8.1999999999999993</v>
      </c>
      <c r="G15" s="91">
        <v>8.1999999999999993</v>
      </c>
      <c r="H15" s="61"/>
    </row>
    <row r="16" spans="1:8" x14ac:dyDescent="0.2">
      <c r="A16" s="63"/>
      <c r="B16" s="91"/>
      <c r="C16" s="163">
        <f>(C15-B15)/B15</f>
        <v>0.40000000000000008</v>
      </c>
      <c r="D16" s="163">
        <f t="shared" ref="D16" si="17">(D15-C15)/C15</f>
        <v>0.3333333333333332</v>
      </c>
      <c r="E16" s="163">
        <f t="shared" ref="E16" si="18">(E15-D15)/D15</f>
        <v>0.28571428571428581</v>
      </c>
      <c r="F16" s="163">
        <f t="shared" ref="F16" si="19">(F15-E15)/E15</f>
        <v>0.13888888888888876</v>
      </c>
      <c r="G16" s="163">
        <f t="shared" ref="G16" si="20">(G15-F15)/F15</f>
        <v>0</v>
      </c>
      <c r="H16" s="61"/>
    </row>
    <row r="17" spans="1:8" x14ac:dyDescent="0.2">
      <c r="A17" s="88" t="s">
        <v>109</v>
      </c>
      <c r="B17" s="90">
        <v>1.2</v>
      </c>
      <c r="C17" s="90">
        <v>1.7</v>
      </c>
      <c r="D17" s="90">
        <v>2.2000000000000002</v>
      </c>
      <c r="E17" s="90">
        <v>2.9</v>
      </c>
      <c r="F17" s="90">
        <v>3.3</v>
      </c>
      <c r="G17" s="90">
        <v>3.3</v>
      </c>
      <c r="H17" s="61"/>
    </row>
    <row r="18" spans="1:8" x14ac:dyDescent="0.2">
      <c r="A18" s="63" t="s">
        <v>110</v>
      </c>
      <c r="B18" s="41" t="s">
        <v>111</v>
      </c>
      <c r="C18" s="41" t="s">
        <v>112</v>
      </c>
      <c r="D18" s="41" t="s">
        <v>113</v>
      </c>
      <c r="E18" s="41" t="s">
        <v>114</v>
      </c>
      <c r="F18" s="41" t="s">
        <v>115</v>
      </c>
      <c r="G18" s="41" t="s">
        <v>115</v>
      </c>
      <c r="H18" s="61"/>
    </row>
    <row r="19" spans="1:8" x14ac:dyDescent="0.2">
      <c r="A19" s="63"/>
      <c r="B19" s="91"/>
      <c r="C19" s="163">
        <f>(C18-B18)/B18</f>
        <v>0.38888888888888884</v>
      </c>
      <c r="D19" s="163">
        <f t="shared" ref="D19" si="21">(D18-C18)/C18</f>
        <v>0.36</v>
      </c>
      <c r="E19" s="163">
        <f t="shared" ref="E19" si="22">(E18-D18)/D18</f>
        <v>0.26470588235294118</v>
      </c>
      <c r="F19" s="163">
        <f t="shared" ref="F19" si="23">(F18-E18)/E18</f>
        <v>0.13953488372093037</v>
      </c>
      <c r="G19" s="163">
        <f t="shared" ref="G19" si="24">(G18-F18)/F18</f>
        <v>0</v>
      </c>
      <c r="H19" s="61"/>
    </row>
    <row r="20" spans="1:8" x14ac:dyDescent="0.2">
      <c r="A20" s="63"/>
      <c r="B20" s="91"/>
      <c r="C20" s="91"/>
      <c r="D20" s="91"/>
      <c r="E20" s="91"/>
      <c r="F20" s="91"/>
      <c r="G20" s="91"/>
      <c r="H20" s="61"/>
    </row>
    <row r="21" spans="1:8" x14ac:dyDescent="0.2">
      <c r="A21" s="63" t="s">
        <v>116</v>
      </c>
      <c r="B21" s="91">
        <v>0.69</v>
      </c>
      <c r="C21" s="91">
        <v>0.68</v>
      </c>
      <c r="D21" s="91">
        <v>0.67</v>
      </c>
      <c r="E21" s="91">
        <v>0.66</v>
      </c>
      <c r="F21" s="91">
        <v>0.65</v>
      </c>
      <c r="G21" s="91">
        <v>0.65</v>
      </c>
      <c r="H21" s="61"/>
    </row>
    <row r="22" spans="1:8" x14ac:dyDescent="0.2">
      <c r="A22" s="63" t="s">
        <v>117</v>
      </c>
      <c r="B22" s="91">
        <v>0.22</v>
      </c>
      <c r="C22" s="91">
        <v>0.21</v>
      </c>
      <c r="D22" s="91">
        <v>0.2</v>
      </c>
      <c r="E22" s="91">
        <v>0.19</v>
      </c>
      <c r="F22" s="91">
        <v>0.19</v>
      </c>
      <c r="G22" s="91">
        <v>0.19</v>
      </c>
      <c r="H22" s="61"/>
    </row>
    <row r="23" spans="1:8" x14ac:dyDescent="0.2">
      <c r="A23" s="63"/>
      <c r="B23" s="91"/>
      <c r="C23" s="91"/>
      <c r="D23" s="91"/>
      <c r="E23" s="91"/>
      <c r="F23" s="91"/>
      <c r="G23" s="91"/>
      <c r="H23" s="61"/>
    </row>
    <row r="24" spans="1:8" x14ac:dyDescent="0.2">
      <c r="A24" s="63"/>
      <c r="B24" s="91"/>
      <c r="C24" s="91"/>
      <c r="D24" s="91"/>
      <c r="E24" s="91"/>
      <c r="F24" s="91"/>
      <c r="G24" s="91"/>
      <c r="H24" s="61"/>
    </row>
    <row r="25" spans="1:8" ht="15" customHeight="1" x14ac:dyDescent="0.2">
      <c r="A25" s="63" t="s">
        <v>118</v>
      </c>
      <c r="B25" s="231"/>
      <c r="C25" s="91"/>
      <c r="D25" s="91"/>
      <c r="E25" s="91"/>
      <c r="F25" s="91"/>
      <c r="G25" s="91"/>
      <c r="H25" s="61"/>
    </row>
    <row r="26" spans="1:8" x14ac:dyDescent="0.2">
      <c r="A26" s="64" t="s">
        <v>119</v>
      </c>
      <c r="B26" s="231"/>
      <c r="C26" s="41" t="s">
        <v>120</v>
      </c>
      <c r="D26" s="41" t="s">
        <v>121</v>
      </c>
      <c r="E26" s="41" t="s">
        <v>122</v>
      </c>
      <c r="F26" s="41" t="s">
        <v>123</v>
      </c>
      <c r="G26" s="41" t="s">
        <v>124</v>
      </c>
      <c r="H26" s="61"/>
    </row>
    <row r="27" spans="1:8" x14ac:dyDescent="0.2">
      <c r="A27" s="63" t="s">
        <v>125</v>
      </c>
      <c r="B27" s="91"/>
      <c r="C27" s="91">
        <v>-4</v>
      </c>
      <c r="D27" s="91">
        <v>-3.5</v>
      </c>
      <c r="E27" s="91">
        <v>-3.6</v>
      </c>
      <c r="F27" s="91">
        <v>-3.8</v>
      </c>
      <c r="G27" s="91">
        <v>-2.9</v>
      </c>
      <c r="H27" s="61"/>
    </row>
    <row r="28" spans="1:8" x14ac:dyDescent="0.2">
      <c r="A28" s="63" t="s">
        <v>11</v>
      </c>
      <c r="B28" s="91"/>
      <c r="C28" s="90">
        <v>2.2999999999999998</v>
      </c>
      <c r="D28" s="90">
        <v>2.5</v>
      </c>
      <c r="E28" s="90">
        <v>2.7</v>
      </c>
      <c r="F28" s="90">
        <v>2.9</v>
      </c>
      <c r="G28" s="90">
        <v>2.9</v>
      </c>
      <c r="H28" s="61"/>
    </row>
    <row r="29" spans="1:8" x14ac:dyDescent="0.2">
      <c r="A29" s="63" t="s">
        <v>126</v>
      </c>
      <c r="B29" s="231"/>
      <c r="C29" s="91"/>
      <c r="D29" s="91"/>
      <c r="E29" s="91"/>
      <c r="F29" s="91"/>
      <c r="G29" s="91"/>
      <c r="H29" s="61"/>
    </row>
    <row r="30" spans="1:8" x14ac:dyDescent="0.2">
      <c r="A30" s="64" t="s">
        <v>127</v>
      </c>
      <c r="B30" s="231"/>
      <c r="C30" s="41">
        <v>20.7</v>
      </c>
      <c r="D30" s="41" t="s">
        <v>122</v>
      </c>
      <c r="E30" s="41" t="s">
        <v>123</v>
      </c>
      <c r="F30" s="41" t="s">
        <v>124</v>
      </c>
      <c r="G30" s="41" t="s">
        <v>124</v>
      </c>
      <c r="H30" s="61"/>
    </row>
    <row r="31" spans="1:8" x14ac:dyDescent="0.2">
      <c r="A31" s="45"/>
      <c r="B31" s="55"/>
      <c r="C31" s="92"/>
      <c r="D31" s="55"/>
      <c r="E31" s="55"/>
      <c r="F31" s="55"/>
      <c r="G31" s="55"/>
      <c r="H31" s="62"/>
    </row>
  </sheetData>
  <mergeCells count="5">
    <mergeCell ref="B25:B26"/>
    <mergeCell ref="B29:B30"/>
    <mergeCell ref="A1:G1"/>
    <mergeCell ref="G3:H3"/>
    <mergeCell ref="G2:H2"/>
  </mergeCells>
  <pageMargins left="0.7" right="0.7" top="0.75" bottom="0.75" header="0.3" footer="0.3"/>
  <pageSetup orientation="portrait" r:id="rId1"/>
  <ignoredErrors>
    <ignoredError sqref="B5 C5:G5 B18:E18 C26:G26 E30:G30 F18:G18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"/>
  <sheetViews>
    <sheetView workbookViewId="0">
      <selection activeCell="D15" sqref="D15"/>
    </sheetView>
  </sheetViews>
  <sheetFormatPr baseColWidth="10" defaultColWidth="8.83203125" defaultRowHeight="15" x14ac:dyDescent="0.2"/>
  <cols>
    <col min="1" max="1" width="22.33203125" customWidth="1"/>
  </cols>
  <sheetData>
    <row r="1" spans="1:6" ht="32.25" customHeight="1" x14ac:dyDescent="0.2">
      <c r="A1" s="226" t="s">
        <v>128</v>
      </c>
      <c r="B1" s="236"/>
      <c r="C1" s="236"/>
      <c r="D1" s="236"/>
      <c r="E1" s="236"/>
      <c r="F1" s="236"/>
    </row>
    <row r="2" spans="1:6" ht="16" thickBot="1" x14ac:dyDescent="0.25">
      <c r="A2" s="20"/>
      <c r="B2" s="21">
        <v>2003</v>
      </c>
      <c r="C2" s="21">
        <v>2004</v>
      </c>
      <c r="D2" s="21">
        <v>2005</v>
      </c>
      <c r="E2" s="21">
        <v>2006</v>
      </c>
      <c r="F2" s="22">
        <v>2007</v>
      </c>
    </row>
    <row r="3" spans="1:6" x14ac:dyDescent="0.2">
      <c r="A3" s="63"/>
      <c r="B3" s="87"/>
      <c r="C3" s="87"/>
      <c r="D3" s="87"/>
      <c r="E3" s="87"/>
      <c r="F3" s="24"/>
    </row>
    <row r="4" spans="1:6" x14ac:dyDescent="0.2">
      <c r="A4" s="25" t="s">
        <v>19</v>
      </c>
      <c r="B4" s="26" t="s">
        <v>129</v>
      </c>
      <c r="C4" s="26" t="s">
        <v>130</v>
      </c>
      <c r="D4" s="26" t="s">
        <v>131</v>
      </c>
      <c r="E4" s="26" t="s">
        <v>132</v>
      </c>
      <c r="F4" s="27" t="s">
        <v>133</v>
      </c>
    </row>
    <row r="5" spans="1:6" x14ac:dyDescent="0.2">
      <c r="A5" s="25" t="s">
        <v>134</v>
      </c>
      <c r="B5" s="28">
        <v>4.21</v>
      </c>
      <c r="C5" s="28">
        <v>4.21</v>
      </c>
      <c r="D5" s="28">
        <v>4.21</v>
      </c>
      <c r="E5" s="28">
        <v>4.21</v>
      </c>
      <c r="F5" s="29">
        <v>4.21</v>
      </c>
    </row>
    <row r="6" spans="1:6" x14ac:dyDescent="0.2">
      <c r="A6" s="25" t="s">
        <v>24</v>
      </c>
      <c r="B6" s="26" t="s">
        <v>135</v>
      </c>
      <c r="C6" s="26" t="s">
        <v>136</v>
      </c>
      <c r="D6" s="26" t="s">
        <v>137</v>
      </c>
      <c r="E6" s="26" t="s">
        <v>138</v>
      </c>
      <c r="F6" s="27" t="s">
        <v>139</v>
      </c>
    </row>
    <row r="7" spans="1:6" x14ac:dyDescent="0.2">
      <c r="A7" s="45"/>
      <c r="B7" s="46"/>
      <c r="C7" s="46"/>
      <c r="D7" s="46"/>
      <c r="E7" s="46"/>
      <c r="F7" s="47"/>
    </row>
    <row r="8" spans="1:6" x14ac:dyDescent="0.2">
      <c r="A8" s="8"/>
    </row>
  </sheetData>
  <mergeCells count="1">
    <mergeCell ref="A1:F1"/>
  </mergeCells>
  <pageMargins left="0.7" right="0.7" top="0.75" bottom="0.75" header="0.3" footer="0.3"/>
  <pageSetup orientation="portrait" r:id="rId1"/>
  <ignoredErrors>
    <ignoredError sqref="B4:F4 B6:F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P25"/>
  <sheetViews>
    <sheetView workbookViewId="0">
      <selection activeCell="K16" sqref="K16"/>
    </sheetView>
  </sheetViews>
  <sheetFormatPr baseColWidth="10" defaultColWidth="8.83203125" defaultRowHeight="15" x14ac:dyDescent="0.2"/>
  <cols>
    <col min="1" max="1" width="30" customWidth="1"/>
    <col min="2" max="9" width="12.5" customWidth="1"/>
    <col min="10" max="10" width="9.33203125" customWidth="1"/>
    <col min="11" max="16" width="12.83203125" customWidth="1"/>
  </cols>
  <sheetData>
    <row r="1" spans="1:16" ht="24" customHeight="1" thickBot="1" x14ac:dyDescent="0.25">
      <c r="A1" s="237" t="s">
        <v>140</v>
      </c>
      <c r="B1" s="238"/>
      <c r="C1" s="238"/>
      <c r="D1" s="238"/>
      <c r="E1" s="238"/>
      <c r="F1" s="238"/>
      <c r="G1" s="238"/>
      <c r="H1" s="239"/>
    </row>
    <row r="2" spans="1:16" ht="27" thickBot="1" x14ac:dyDescent="0.25">
      <c r="A2" s="56"/>
      <c r="B2" s="159" t="s">
        <v>141</v>
      </c>
      <c r="C2" s="159" t="s">
        <v>142</v>
      </c>
      <c r="D2" s="159" t="s">
        <v>143</v>
      </c>
      <c r="E2" s="10" t="s">
        <v>144</v>
      </c>
      <c r="F2" s="10" t="s">
        <v>145</v>
      </c>
      <c r="G2" s="10" t="s">
        <v>146</v>
      </c>
      <c r="H2" s="67" t="s">
        <v>147</v>
      </c>
      <c r="K2" s="10" t="s">
        <v>141</v>
      </c>
      <c r="L2" s="10" t="s">
        <v>142</v>
      </c>
      <c r="M2" s="10" t="s">
        <v>143</v>
      </c>
      <c r="N2" s="10" t="s">
        <v>144</v>
      </c>
      <c r="O2" s="10" t="s">
        <v>145</v>
      </c>
      <c r="P2" s="10" t="s">
        <v>146</v>
      </c>
    </row>
    <row r="3" spans="1:16" x14ac:dyDescent="0.2">
      <c r="A3" s="25"/>
      <c r="B3" s="87"/>
      <c r="C3" s="87"/>
      <c r="D3" s="87"/>
      <c r="E3" s="87"/>
      <c r="F3" s="87"/>
      <c r="G3" s="87"/>
      <c r="H3" s="24"/>
      <c r="J3" t="s">
        <v>275</v>
      </c>
      <c r="K3" s="154">
        <f>B13/(1-B13)</f>
        <v>0.40845070422535212</v>
      </c>
      <c r="L3" s="154">
        <f t="shared" ref="L3:P3" si="0">C13/(1-C13)</f>
        <v>0.58730158730158732</v>
      </c>
      <c r="M3" s="154">
        <f t="shared" si="0"/>
        <v>0.25</v>
      </c>
      <c r="N3" s="154">
        <f t="shared" si="0"/>
        <v>0.20481927710843376</v>
      </c>
      <c r="O3" s="154">
        <f t="shared" si="0"/>
        <v>0.23456790123456789</v>
      </c>
      <c r="P3" s="154">
        <f t="shared" si="0"/>
        <v>0.31578947368421051</v>
      </c>
    </row>
    <row r="4" spans="1:16" x14ac:dyDescent="0.2">
      <c r="A4" s="25" t="s">
        <v>63</v>
      </c>
      <c r="B4" s="28">
        <v>55</v>
      </c>
      <c r="C4" s="28">
        <v>77</v>
      </c>
      <c r="D4" s="28">
        <v>47</v>
      </c>
      <c r="E4" s="28">
        <v>61</v>
      </c>
      <c r="F4" s="28">
        <v>96</v>
      </c>
      <c r="G4" s="28">
        <v>77</v>
      </c>
      <c r="H4" s="29">
        <v>53</v>
      </c>
      <c r="J4" t="s">
        <v>276</v>
      </c>
      <c r="K4" s="155" t="s">
        <v>180</v>
      </c>
      <c r="L4" s="155" t="str">
        <f t="shared" ref="L4:P4" si="1">C23</f>
        <v>1.00</v>
      </c>
      <c r="M4" s="155" t="str">
        <f t="shared" si="1"/>
        <v>1.00</v>
      </c>
      <c r="N4" s="155" t="str">
        <f t="shared" si="1"/>
        <v>.75</v>
      </c>
      <c r="O4" s="155">
        <f t="shared" si="1"/>
        <v>1.05</v>
      </c>
      <c r="P4" s="155" t="str">
        <f t="shared" si="1"/>
        <v>.95</v>
      </c>
    </row>
    <row r="5" spans="1:16" x14ac:dyDescent="0.2">
      <c r="A5" s="157" t="s">
        <v>148</v>
      </c>
      <c r="B5" s="37">
        <v>0.12</v>
      </c>
      <c r="C5" s="37">
        <v>0.18</v>
      </c>
      <c r="D5" s="37">
        <v>0.13</v>
      </c>
      <c r="E5" s="37">
        <v>0.17</v>
      </c>
      <c r="F5" s="37">
        <v>0.18</v>
      </c>
      <c r="G5" s="37">
        <v>0.16</v>
      </c>
      <c r="H5" s="38">
        <v>0.33</v>
      </c>
      <c r="J5" t="s">
        <v>277</v>
      </c>
      <c r="K5" s="156">
        <f>K4/(1+(1-0.4)*K3)</f>
        <v>0.80316742081447956</v>
      </c>
      <c r="L5" s="156">
        <f t="shared" ref="L5:P5" si="2">L4/(1+(1-0.4)*L3)</f>
        <v>0.73943661971830976</v>
      </c>
      <c r="M5" s="156">
        <f t="shared" si="2"/>
        <v>0.86956521739130443</v>
      </c>
      <c r="N5" s="156">
        <f t="shared" si="2"/>
        <v>0.6679184549356223</v>
      </c>
      <c r="O5" s="156">
        <f t="shared" si="2"/>
        <v>0.92045454545454541</v>
      </c>
      <c r="P5" s="156">
        <f t="shared" si="2"/>
        <v>0.79867256637168138</v>
      </c>
    </row>
    <row r="6" spans="1:16" x14ac:dyDescent="0.2">
      <c r="A6" s="25"/>
      <c r="B6" s="28"/>
      <c r="C6" s="28"/>
      <c r="D6" s="28"/>
      <c r="E6" s="28"/>
      <c r="F6" s="28"/>
      <c r="G6" s="28"/>
      <c r="H6" s="29"/>
      <c r="J6" t="s">
        <v>278</v>
      </c>
      <c r="K6" s="156">
        <f>AVERAGE(K5:P5)</f>
        <v>0.79986913744765731</v>
      </c>
    </row>
    <row r="7" spans="1:16" x14ac:dyDescent="0.2">
      <c r="A7" s="157" t="s">
        <v>149</v>
      </c>
      <c r="B7" s="37">
        <v>0.17</v>
      </c>
      <c r="C7" s="37">
        <v>0.13</v>
      </c>
      <c r="D7" s="37">
        <v>0.2</v>
      </c>
      <c r="E7" s="37">
        <v>0.15</v>
      </c>
      <c r="F7" s="37">
        <v>0.1</v>
      </c>
      <c r="G7" s="37">
        <v>0.15</v>
      </c>
      <c r="H7" s="38">
        <v>0.05</v>
      </c>
    </row>
    <row r="8" spans="1:16" x14ac:dyDescent="0.2">
      <c r="A8" s="25" t="s">
        <v>150</v>
      </c>
      <c r="B8" s="37">
        <v>0.21</v>
      </c>
      <c r="C8" s="37">
        <v>0.09</v>
      </c>
      <c r="D8" s="37">
        <v>0.1</v>
      </c>
      <c r="E8" s="37">
        <v>0.12</v>
      </c>
      <c r="F8" s="37">
        <v>0.11</v>
      </c>
      <c r="G8" s="37">
        <v>0.14000000000000001</v>
      </c>
      <c r="H8" s="38">
        <v>0.04</v>
      </c>
    </row>
    <row r="9" spans="1:16" x14ac:dyDescent="0.2">
      <c r="A9" s="25"/>
      <c r="B9" s="28"/>
      <c r="C9" s="28"/>
      <c r="D9" s="28"/>
      <c r="E9" s="28"/>
      <c r="F9" s="28"/>
      <c r="G9" s="28"/>
      <c r="H9" s="29"/>
    </row>
    <row r="10" spans="1:16" x14ac:dyDescent="0.2">
      <c r="A10" s="25" t="s">
        <v>151</v>
      </c>
      <c r="B10" s="28">
        <v>3.8</v>
      </c>
      <c r="C10" s="28">
        <v>3.2</v>
      </c>
      <c r="D10" s="28">
        <v>7.1</v>
      </c>
      <c r="E10" s="28">
        <v>11.5</v>
      </c>
      <c r="F10" s="28">
        <v>7.8</v>
      </c>
      <c r="G10" s="28">
        <v>9.3000000000000007</v>
      </c>
      <c r="H10" s="29">
        <v>3.5</v>
      </c>
    </row>
    <row r="11" spans="1:16" x14ac:dyDescent="0.2">
      <c r="A11" s="25" t="s">
        <v>152</v>
      </c>
      <c r="B11" s="28"/>
      <c r="C11" s="28"/>
      <c r="D11" s="28"/>
      <c r="E11" s="28"/>
      <c r="F11" s="28"/>
      <c r="G11" s="28"/>
      <c r="H11" s="29"/>
    </row>
    <row r="12" spans="1:16" x14ac:dyDescent="0.2">
      <c r="A12" s="68" t="s">
        <v>153</v>
      </c>
      <c r="B12" s="37">
        <v>0.98</v>
      </c>
      <c r="C12" s="37">
        <v>0.52</v>
      </c>
      <c r="D12" s="37">
        <v>0.3</v>
      </c>
      <c r="E12" s="37">
        <v>0.27</v>
      </c>
      <c r="F12" s="37">
        <v>0.28999999999999998</v>
      </c>
      <c r="G12" s="37">
        <v>0.4</v>
      </c>
      <c r="H12" s="38">
        <v>0.28000000000000003</v>
      </c>
      <c r="I12" s="6">
        <f>H12/(1-H12)</f>
        <v>0.38888888888888895</v>
      </c>
    </row>
    <row r="13" spans="1:16" x14ac:dyDescent="0.2">
      <c r="A13" s="158" t="s">
        <v>154</v>
      </c>
      <c r="B13" s="37">
        <v>0.28999999999999998</v>
      </c>
      <c r="C13" s="37">
        <v>0.37</v>
      </c>
      <c r="D13" s="37">
        <v>0.2</v>
      </c>
      <c r="E13" s="37">
        <v>0.17</v>
      </c>
      <c r="F13" s="37">
        <v>0.19</v>
      </c>
      <c r="G13" s="37">
        <v>0.24</v>
      </c>
      <c r="H13" s="38">
        <v>0.37</v>
      </c>
      <c r="I13" s="6">
        <f>H13/(1-H13)</f>
        <v>0.58730158730158732</v>
      </c>
    </row>
    <row r="14" spans="1:16" x14ac:dyDescent="0.2">
      <c r="A14" s="25" t="s">
        <v>155</v>
      </c>
      <c r="B14" s="28" t="s">
        <v>156</v>
      </c>
      <c r="C14" s="28" t="s">
        <v>157</v>
      </c>
      <c r="D14" s="28" t="s">
        <v>158</v>
      </c>
      <c r="E14" s="28" t="s">
        <v>159</v>
      </c>
      <c r="F14" s="28" t="s">
        <v>160</v>
      </c>
      <c r="G14" s="28" t="s">
        <v>161</v>
      </c>
      <c r="H14" s="29" t="s">
        <v>159</v>
      </c>
    </row>
    <row r="15" spans="1:16" x14ac:dyDescent="0.2">
      <c r="A15" s="25"/>
      <c r="B15" s="28"/>
      <c r="C15" s="28"/>
      <c r="D15" s="28"/>
      <c r="E15" s="28"/>
      <c r="F15" s="28"/>
      <c r="G15" s="28"/>
      <c r="H15" s="29"/>
    </row>
    <row r="16" spans="1:16" x14ac:dyDescent="0.2">
      <c r="A16" s="25" t="s">
        <v>162</v>
      </c>
      <c r="B16" s="26" t="s">
        <v>163</v>
      </c>
      <c r="C16" s="26" t="s">
        <v>164</v>
      </c>
      <c r="D16" s="26" t="s">
        <v>165</v>
      </c>
      <c r="E16" s="26" t="s">
        <v>166</v>
      </c>
      <c r="F16" s="26" t="s">
        <v>167</v>
      </c>
      <c r="G16" s="26" t="s">
        <v>168</v>
      </c>
      <c r="H16" s="27" t="s">
        <v>169</v>
      </c>
    </row>
    <row r="17" spans="1:9" x14ac:dyDescent="0.2">
      <c r="A17" s="25" t="s">
        <v>170</v>
      </c>
      <c r="B17" s="28">
        <v>55</v>
      </c>
      <c r="C17" s="28">
        <v>119</v>
      </c>
      <c r="D17" s="28">
        <v>98</v>
      </c>
      <c r="E17" s="28">
        <v>90</v>
      </c>
      <c r="F17" s="28">
        <v>129</v>
      </c>
      <c r="G17" s="28">
        <v>234</v>
      </c>
      <c r="H17" s="42">
        <v>1.8</v>
      </c>
    </row>
    <row r="18" spans="1:9" x14ac:dyDescent="0.2">
      <c r="A18" s="157" t="s">
        <v>171</v>
      </c>
      <c r="B18" s="28">
        <v>12.8</v>
      </c>
      <c r="C18" s="28">
        <v>12.1</v>
      </c>
      <c r="D18" s="28">
        <v>12.2</v>
      </c>
      <c r="E18" s="28">
        <v>12.7</v>
      </c>
      <c r="F18" s="28">
        <v>14.4</v>
      </c>
      <c r="G18" s="28">
        <v>12.9</v>
      </c>
      <c r="H18" s="29">
        <v>16.100000000000001</v>
      </c>
      <c r="I18" s="156">
        <f>AVERAGE(B18:H18)</f>
        <v>13.314285714285717</v>
      </c>
    </row>
    <row r="19" spans="1:9" x14ac:dyDescent="0.2">
      <c r="A19" s="25"/>
      <c r="B19" s="28"/>
      <c r="C19" s="28"/>
      <c r="D19" s="28"/>
      <c r="E19" s="28"/>
      <c r="F19" s="28"/>
      <c r="G19" s="28"/>
      <c r="H19" s="29"/>
    </row>
    <row r="20" spans="1:9" x14ac:dyDescent="0.2">
      <c r="A20" s="25" t="s">
        <v>172</v>
      </c>
      <c r="B20" s="26" t="s">
        <v>173</v>
      </c>
      <c r="C20" s="26" t="s">
        <v>173</v>
      </c>
      <c r="D20" s="26" t="s">
        <v>169</v>
      </c>
      <c r="E20" s="26" t="s">
        <v>174</v>
      </c>
      <c r="F20" s="26" t="s">
        <v>175</v>
      </c>
      <c r="G20" s="26" t="s">
        <v>176</v>
      </c>
      <c r="H20" s="27" t="s">
        <v>177</v>
      </c>
    </row>
    <row r="21" spans="1:9" x14ac:dyDescent="0.2">
      <c r="A21" s="157" t="s">
        <v>24</v>
      </c>
      <c r="B21" s="41">
        <v>2.8</v>
      </c>
      <c r="C21" s="41">
        <v>3.2</v>
      </c>
      <c r="D21" s="41">
        <v>2</v>
      </c>
      <c r="E21" s="41">
        <v>1.78</v>
      </c>
      <c r="F21" s="41">
        <v>1.8</v>
      </c>
      <c r="G21" s="41">
        <v>2.3199999999999998</v>
      </c>
      <c r="H21" s="42">
        <v>2.3199999999999998</v>
      </c>
    </row>
    <row r="22" spans="1:9" x14ac:dyDescent="0.2">
      <c r="A22" s="157" t="s">
        <v>178</v>
      </c>
      <c r="B22" s="30">
        <v>15</v>
      </c>
      <c r="C22" s="30">
        <v>13.1</v>
      </c>
      <c r="D22" s="30">
        <v>14.5</v>
      </c>
      <c r="E22" s="30">
        <v>12.4</v>
      </c>
      <c r="F22" s="30">
        <v>14.4</v>
      </c>
      <c r="G22" s="30">
        <v>11.6</v>
      </c>
      <c r="H22" s="69">
        <v>13.5</v>
      </c>
    </row>
    <row r="23" spans="1:9" x14ac:dyDescent="0.2">
      <c r="A23" s="25" t="s">
        <v>179</v>
      </c>
      <c r="B23" s="26" t="s">
        <v>180</v>
      </c>
      <c r="C23" s="26" t="s">
        <v>180</v>
      </c>
      <c r="D23" s="26" t="s">
        <v>180</v>
      </c>
      <c r="E23" s="26" t="s">
        <v>181</v>
      </c>
      <c r="F23" s="26">
        <v>1.05</v>
      </c>
      <c r="G23" s="26" t="s">
        <v>182</v>
      </c>
      <c r="H23" s="27"/>
    </row>
    <row r="24" spans="1:9" x14ac:dyDescent="0.2">
      <c r="A24" s="25" t="s">
        <v>183</v>
      </c>
      <c r="B24" s="26" t="s">
        <v>184</v>
      </c>
      <c r="C24" s="26" t="s">
        <v>185</v>
      </c>
      <c r="D24" s="26" t="s">
        <v>186</v>
      </c>
      <c r="E24" s="26" t="s">
        <v>185</v>
      </c>
      <c r="F24" s="26" t="s">
        <v>187</v>
      </c>
      <c r="G24" s="26" t="s">
        <v>188</v>
      </c>
      <c r="H24" s="29"/>
    </row>
    <row r="25" spans="1:9" x14ac:dyDescent="0.2">
      <c r="A25" s="45"/>
      <c r="B25" s="46"/>
      <c r="C25" s="46"/>
      <c r="D25" s="46"/>
      <c r="E25" s="46"/>
      <c r="F25" s="46"/>
      <c r="G25" s="46"/>
      <c r="H25" s="47"/>
    </row>
  </sheetData>
  <mergeCells count="1">
    <mergeCell ref="A1:H1"/>
  </mergeCells>
  <pageMargins left="0.7" right="0.7" top="0.75" bottom="0.75" header="0.3" footer="0.3"/>
  <pageSetup orientation="landscape" r:id="rId1"/>
  <ignoredErrors>
    <ignoredError sqref="B16 B20:H21 H16 C16:G16 B24:D24 E24:H24 B23:H23 B22:G22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36"/>
  <sheetViews>
    <sheetView workbookViewId="0">
      <selection activeCell="K10" sqref="K10"/>
    </sheetView>
  </sheetViews>
  <sheetFormatPr baseColWidth="10" defaultColWidth="8.83203125" defaultRowHeight="15" x14ac:dyDescent="0.2"/>
  <cols>
    <col min="1" max="1" width="30.83203125" customWidth="1"/>
    <col min="2" max="7" width="7.33203125" customWidth="1"/>
    <col min="8" max="9" width="6.5" customWidth="1"/>
  </cols>
  <sheetData>
    <row r="1" spans="1:9" x14ac:dyDescent="0.2">
      <c r="A1" s="243" t="s">
        <v>189</v>
      </c>
      <c r="B1" s="244"/>
      <c r="C1" s="244"/>
      <c r="D1" s="244"/>
      <c r="E1" s="244"/>
      <c r="F1" s="244"/>
      <c r="G1" s="244"/>
      <c r="H1" s="244"/>
      <c r="I1" s="244"/>
    </row>
    <row r="2" spans="1:9" ht="16" thickBot="1" x14ac:dyDescent="0.25">
      <c r="A2" s="8" t="s">
        <v>190</v>
      </c>
    </row>
    <row r="3" spans="1:9" x14ac:dyDescent="0.2">
      <c r="A3" s="12" t="s">
        <v>191</v>
      </c>
      <c r="B3" s="13"/>
      <c r="C3" s="240" t="s">
        <v>192</v>
      </c>
      <c r="D3" s="240"/>
      <c r="E3" s="240"/>
      <c r="F3" s="240"/>
      <c r="G3" s="240"/>
      <c r="H3" s="240"/>
      <c r="I3" s="240"/>
    </row>
    <row r="4" spans="1:9" ht="16" thickBot="1" x14ac:dyDescent="0.25">
      <c r="A4" s="15" t="s">
        <v>193</v>
      </c>
      <c r="B4" s="16"/>
      <c r="C4" s="17" t="s">
        <v>194</v>
      </c>
      <c r="D4" s="14"/>
      <c r="E4" s="17" t="s">
        <v>161</v>
      </c>
      <c r="F4" s="14"/>
      <c r="G4" s="17" t="s">
        <v>158</v>
      </c>
      <c r="H4" s="14"/>
      <c r="I4" s="17" t="s">
        <v>195</v>
      </c>
    </row>
    <row r="5" spans="1:9" x14ac:dyDescent="0.2">
      <c r="A5" s="18">
        <v>4.1000000000000002E-2</v>
      </c>
      <c r="B5" s="14"/>
      <c r="C5" s="18">
        <v>4.5199999999999997E-2</v>
      </c>
      <c r="D5" s="14"/>
      <c r="E5" s="18">
        <v>5.0700000000000002E-2</v>
      </c>
      <c r="F5" s="14"/>
      <c r="G5" s="18">
        <v>6.0699999999999997E-2</v>
      </c>
      <c r="H5" s="14"/>
      <c r="I5" s="18">
        <v>7.9600000000000004E-2</v>
      </c>
    </row>
    <row r="6" spans="1:9" x14ac:dyDescent="0.2">
      <c r="A6" s="8"/>
    </row>
    <row r="7" spans="1:9" x14ac:dyDescent="0.2">
      <c r="A7" s="8"/>
    </row>
    <row r="8" spans="1:9" x14ac:dyDescent="0.2">
      <c r="A8" s="8"/>
    </row>
    <row r="9" spans="1:9" x14ac:dyDescent="0.2">
      <c r="A9" s="241" t="s">
        <v>196</v>
      </c>
      <c r="B9" s="242"/>
      <c r="C9" s="242"/>
      <c r="D9" s="242"/>
      <c r="E9" s="242"/>
      <c r="F9" s="242"/>
      <c r="G9" s="242"/>
      <c r="H9" s="242"/>
      <c r="I9" s="242"/>
    </row>
    <row r="10" spans="1:9" x14ac:dyDescent="0.2">
      <c r="A10" s="8"/>
    </row>
    <row r="11" spans="1:9" x14ac:dyDescent="0.2">
      <c r="A11" s="8"/>
    </row>
    <row r="12" spans="1:9" ht="20.25" customHeight="1" x14ac:dyDescent="0.2">
      <c r="A12" s="246" t="s">
        <v>197</v>
      </c>
      <c r="B12" s="246"/>
      <c r="C12" s="246"/>
      <c r="D12" s="246"/>
      <c r="E12" s="246"/>
      <c r="F12" s="246"/>
      <c r="G12" s="246"/>
      <c r="H12" s="244"/>
      <c r="I12" s="244"/>
    </row>
    <row r="13" spans="1:9" x14ac:dyDescent="0.2">
      <c r="A13" s="70"/>
      <c r="B13" s="71" t="s">
        <v>198</v>
      </c>
      <c r="C13" s="71" t="s">
        <v>194</v>
      </c>
      <c r="D13" s="71" t="s">
        <v>161</v>
      </c>
      <c r="E13" s="71" t="s">
        <v>158</v>
      </c>
      <c r="F13" s="71" t="s">
        <v>195</v>
      </c>
      <c r="G13" s="72" t="s">
        <v>199</v>
      </c>
    </row>
    <row r="14" spans="1:9" x14ac:dyDescent="0.2">
      <c r="A14" s="73"/>
      <c r="B14" s="74"/>
      <c r="C14" s="74"/>
      <c r="D14" s="74"/>
      <c r="E14" s="74"/>
      <c r="F14" s="74"/>
      <c r="G14" s="75"/>
    </row>
    <row r="15" spans="1:9" x14ac:dyDescent="0.2">
      <c r="A15" s="73" t="s">
        <v>200</v>
      </c>
      <c r="B15" s="74">
        <v>27.3</v>
      </c>
      <c r="C15" s="76">
        <v>18</v>
      </c>
      <c r="D15" s="74">
        <v>10.4</v>
      </c>
      <c r="E15" s="74">
        <v>5.9</v>
      </c>
      <c r="F15" s="74">
        <v>3.4</v>
      </c>
      <c r="G15" s="75">
        <v>1.5</v>
      </c>
    </row>
    <row r="16" spans="1:9" x14ac:dyDescent="0.2">
      <c r="A16" s="73" t="s">
        <v>201</v>
      </c>
      <c r="B16" s="76">
        <v>31</v>
      </c>
      <c r="C16" s="74">
        <v>21.4</v>
      </c>
      <c r="D16" s="74">
        <v>12.8</v>
      </c>
      <c r="E16" s="74">
        <v>7.6</v>
      </c>
      <c r="F16" s="74">
        <v>4.5999999999999996</v>
      </c>
      <c r="G16" s="75">
        <v>2.2999999999999998</v>
      </c>
    </row>
    <row r="17" spans="1:7" x14ac:dyDescent="0.2">
      <c r="A17" s="73" t="s">
        <v>202</v>
      </c>
      <c r="B17" s="74">
        <v>25.2</v>
      </c>
      <c r="C17" s="74">
        <v>25.4</v>
      </c>
      <c r="D17" s="74">
        <v>19.7</v>
      </c>
      <c r="E17" s="74">
        <v>15.1</v>
      </c>
      <c r="F17" s="74">
        <v>12.5</v>
      </c>
      <c r="G17" s="75">
        <v>8.8000000000000007</v>
      </c>
    </row>
    <row r="18" spans="1:7" x14ac:dyDescent="0.2">
      <c r="A18" s="73" t="s">
        <v>203</v>
      </c>
      <c r="B18" s="74">
        <v>12.6</v>
      </c>
      <c r="C18" s="74">
        <v>36.1</v>
      </c>
      <c r="D18" s="74">
        <v>38.4</v>
      </c>
      <c r="E18" s="74">
        <v>43.7</v>
      </c>
      <c r="F18" s="74">
        <v>51.9</v>
      </c>
      <c r="G18" s="75">
        <v>74.900000000000006</v>
      </c>
    </row>
    <row r="19" spans="1:7" x14ac:dyDescent="0.2">
      <c r="A19" s="73" t="s">
        <v>204</v>
      </c>
      <c r="B19" s="74">
        <v>6</v>
      </c>
      <c r="C19" s="74">
        <v>15</v>
      </c>
      <c r="D19" s="74">
        <v>118</v>
      </c>
      <c r="E19" s="74">
        <v>213</v>
      </c>
      <c r="F19" s="74">
        <v>297</v>
      </c>
      <c r="G19" s="75">
        <v>345</v>
      </c>
    </row>
    <row r="20" spans="1:7" x14ac:dyDescent="0.2">
      <c r="A20" s="77"/>
      <c r="B20" s="78"/>
      <c r="C20" s="78"/>
      <c r="D20" s="78"/>
      <c r="E20" s="78"/>
      <c r="F20" s="78"/>
      <c r="G20" s="79"/>
    </row>
    <row r="21" spans="1:7" x14ac:dyDescent="0.2">
      <c r="A21" s="8"/>
    </row>
    <row r="22" spans="1:7" x14ac:dyDescent="0.2">
      <c r="A22" s="8"/>
    </row>
    <row r="23" spans="1:7" x14ac:dyDescent="0.2">
      <c r="A23" s="8"/>
    </row>
    <row r="24" spans="1:7" x14ac:dyDescent="0.2">
      <c r="A24" s="245" t="s">
        <v>205</v>
      </c>
      <c r="B24" s="244"/>
      <c r="C24" s="244"/>
      <c r="D24" s="244"/>
      <c r="E24" s="244"/>
      <c r="F24" s="244"/>
      <c r="G24" s="244"/>
    </row>
    <row r="25" spans="1:7" x14ac:dyDescent="0.2">
      <c r="A25" s="80"/>
      <c r="B25" s="81" t="s">
        <v>198</v>
      </c>
      <c r="C25" s="81" t="s">
        <v>194</v>
      </c>
      <c r="D25" s="81" t="s">
        <v>161</v>
      </c>
      <c r="E25" s="81" t="s">
        <v>158</v>
      </c>
      <c r="F25" s="82" t="s">
        <v>195</v>
      </c>
    </row>
    <row r="26" spans="1:7" x14ac:dyDescent="0.2">
      <c r="A26" s="73"/>
      <c r="B26" s="74"/>
      <c r="C26" s="74"/>
      <c r="D26" s="74"/>
      <c r="E26" s="74"/>
      <c r="F26" s="75"/>
    </row>
    <row r="27" spans="1:7" x14ac:dyDescent="0.2">
      <c r="A27" s="73" t="s">
        <v>206</v>
      </c>
      <c r="B27" s="74"/>
      <c r="C27" s="74"/>
      <c r="D27" s="74"/>
      <c r="E27" s="74"/>
      <c r="F27" s="75"/>
    </row>
    <row r="28" spans="1:7" x14ac:dyDescent="0.2">
      <c r="A28" s="83" t="s">
        <v>152</v>
      </c>
      <c r="B28" s="84">
        <v>0.44</v>
      </c>
      <c r="C28" s="74" t="s">
        <v>159</v>
      </c>
      <c r="D28" s="84">
        <v>0.51</v>
      </c>
      <c r="E28" s="84">
        <v>0.54</v>
      </c>
      <c r="F28" s="85">
        <v>0.53</v>
      </c>
    </row>
    <row r="29" spans="1:7" x14ac:dyDescent="0.2">
      <c r="A29" s="83" t="s">
        <v>151</v>
      </c>
      <c r="B29" s="74">
        <v>7.9</v>
      </c>
      <c r="C29" s="74" t="s">
        <v>159</v>
      </c>
      <c r="D29" s="74">
        <v>6.7</v>
      </c>
      <c r="E29" s="74">
        <v>4.3</v>
      </c>
      <c r="F29" s="75">
        <v>2.9</v>
      </c>
    </row>
    <row r="30" spans="1:7" x14ac:dyDescent="0.2">
      <c r="A30" s="73" t="s">
        <v>207</v>
      </c>
      <c r="B30" s="74"/>
      <c r="C30" s="74"/>
      <c r="D30" s="74"/>
      <c r="E30" s="74"/>
      <c r="F30" s="75"/>
    </row>
    <row r="31" spans="1:7" x14ac:dyDescent="0.2">
      <c r="A31" s="83" t="s">
        <v>152</v>
      </c>
      <c r="B31" s="74" t="s">
        <v>159</v>
      </c>
      <c r="C31" s="74" t="s">
        <v>159</v>
      </c>
      <c r="D31" s="84">
        <v>0.36</v>
      </c>
      <c r="E31" s="84">
        <v>0.48</v>
      </c>
      <c r="F31" s="85">
        <v>0.72</v>
      </c>
    </row>
    <row r="32" spans="1:7" x14ac:dyDescent="0.2">
      <c r="A32" s="83" t="s">
        <v>151</v>
      </c>
      <c r="B32" s="74" t="s">
        <v>159</v>
      </c>
      <c r="C32" s="74" t="s">
        <v>159</v>
      </c>
      <c r="D32" s="74">
        <v>7.3</v>
      </c>
      <c r="E32" s="74">
        <v>3.2</v>
      </c>
      <c r="F32" s="75">
        <v>1.6</v>
      </c>
    </row>
    <row r="33" spans="1:6" x14ac:dyDescent="0.2">
      <c r="A33" s="73" t="s">
        <v>208</v>
      </c>
      <c r="B33" s="74"/>
      <c r="C33" s="74"/>
      <c r="D33" s="74"/>
      <c r="E33" s="74"/>
      <c r="F33" s="75"/>
    </row>
    <row r="34" spans="1:6" x14ac:dyDescent="0.2">
      <c r="A34" s="83" t="s">
        <v>152</v>
      </c>
      <c r="B34" s="74" t="s">
        <v>159</v>
      </c>
      <c r="C34" s="84">
        <v>0.46</v>
      </c>
      <c r="D34" s="84">
        <v>0.54</v>
      </c>
      <c r="E34" s="84">
        <v>0.56999999999999995</v>
      </c>
      <c r="F34" s="85">
        <v>0.73</v>
      </c>
    </row>
    <row r="35" spans="1:6" x14ac:dyDescent="0.2">
      <c r="A35" s="83" t="s">
        <v>151</v>
      </c>
      <c r="B35" s="74" t="s">
        <v>159</v>
      </c>
      <c r="C35" s="76">
        <v>4</v>
      </c>
      <c r="D35" s="76">
        <v>3.4</v>
      </c>
      <c r="E35" s="76">
        <v>2.7</v>
      </c>
      <c r="F35" s="86">
        <v>2</v>
      </c>
    </row>
    <row r="36" spans="1:6" x14ac:dyDescent="0.2">
      <c r="A36" s="77"/>
      <c r="B36" s="78"/>
      <c r="C36" s="78"/>
      <c r="D36" s="78"/>
      <c r="E36" s="78"/>
      <c r="F36" s="79"/>
    </row>
  </sheetData>
  <mergeCells count="5">
    <mergeCell ref="C3:I3"/>
    <mergeCell ref="A9:I9"/>
    <mergeCell ref="A1:I1"/>
    <mergeCell ref="A24:G24"/>
    <mergeCell ref="A12:I1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E4846-8B32-0F4B-89CB-CF03090041DD}">
  <sheetPr>
    <tabColor rgb="FFFFFF00"/>
  </sheetPr>
  <dimension ref="A1:B14"/>
  <sheetViews>
    <sheetView workbookViewId="0">
      <selection activeCell="E15" sqref="E15"/>
    </sheetView>
  </sheetViews>
  <sheetFormatPr baseColWidth="10" defaultRowHeight="15" x14ac:dyDescent="0.2"/>
  <cols>
    <col min="1" max="1" width="17.5" customWidth="1"/>
  </cols>
  <sheetData>
    <row r="1" spans="1:2" x14ac:dyDescent="0.2">
      <c r="A1" s="247" t="s">
        <v>147</v>
      </c>
      <c r="B1" s="247"/>
    </row>
    <row r="2" spans="1:2" x14ac:dyDescent="0.2">
      <c r="A2" s="149" t="s">
        <v>263</v>
      </c>
      <c r="B2" s="150">
        <v>0.4</v>
      </c>
    </row>
    <row r="3" spans="1:2" x14ac:dyDescent="0.2">
      <c r="A3" s="149" t="s">
        <v>275</v>
      </c>
      <c r="B3" s="151">
        <f>'Exhibit 6'!I13</f>
        <v>0.58730158730158732</v>
      </c>
    </row>
    <row r="4" spans="1:2" x14ac:dyDescent="0.2">
      <c r="A4" s="149" t="s">
        <v>265</v>
      </c>
      <c r="B4" s="160">
        <f>'Exhibit 6'!K6</f>
        <v>0.79986913744765731</v>
      </c>
    </row>
    <row r="5" spans="1:2" x14ac:dyDescent="0.2">
      <c r="A5" s="149" t="s">
        <v>264</v>
      </c>
      <c r="B5" s="152">
        <f>B4*(1+(1-B2)*(B3))</f>
        <v>1.0817277858815937</v>
      </c>
    </row>
    <row r="6" spans="1:2" x14ac:dyDescent="0.2">
      <c r="A6" s="149" t="s">
        <v>266</v>
      </c>
      <c r="B6" s="151">
        <f>'Exhibit 7'!A5</f>
        <v>4.1000000000000002E-2</v>
      </c>
    </row>
    <row r="7" spans="1:2" x14ac:dyDescent="0.2">
      <c r="A7" s="149" t="s">
        <v>274</v>
      </c>
      <c r="B7" s="151">
        <f>5.5%</f>
        <v>5.5E-2</v>
      </c>
    </row>
    <row r="8" spans="1:2" x14ac:dyDescent="0.2">
      <c r="A8" s="149" t="s">
        <v>267</v>
      </c>
      <c r="B8" s="151">
        <f>'Exhibit 7'!I5</f>
        <v>7.9600000000000004E-2</v>
      </c>
    </row>
    <row r="9" spans="1:2" x14ac:dyDescent="0.2">
      <c r="A9" s="124"/>
      <c r="B9" s="124"/>
    </row>
    <row r="10" spans="1:2" x14ac:dyDescent="0.2">
      <c r="A10" s="153" t="s">
        <v>268</v>
      </c>
      <c r="B10" s="154">
        <f>B6+(B5*B7)</f>
        <v>0.10049502822348766</v>
      </c>
    </row>
    <row r="11" spans="1:2" x14ac:dyDescent="0.2">
      <c r="A11" s="124"/>
      <c r="B11" s="124"/>
    </row>
    <row r="12" spans="1:2" x14ac:dyDescent="0.2">
      <c r="A12" s="153" t="s">
        <v>269</v>
      </c>
      <c r="B12" s="154">
        <f>B6+B8</f>
        <v>0.12060000000000001</v>
      </c>
    </row>
    <row r="13" spans="1:2" x14ac:dyDescent="0.2">
      <c r="A13" s="124"/>
      <c r="B13" s="124"/>
    </row>
    <row r="14" spans="1:2" x14ac:dyDescent="0.2">
      <c r="A14" s="153" t="s">
        <v>270</v>
      </c>
      <c r="B14" s="154">
        <f>(0.4*B10)+((B3*B12)*(1-B2))</f>
        <v>8.2695154146537928E-2</v>
      </c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9082E-6121-B346-816E-B72A4054D89B}">
  <sheetPr>
    <tabColor rgb="FF00B050"/>
  </sheetPr>
  <dimension ref="B1:K72"/>
  <sheetViews>
    <sheetView showGridLines="0" topLeftCell="A6" workbookViewId="0">
      <selection activeCell="J1" sqref="J1"/>
    </sheetView>
  </sheetViews>
  <sheetFormatPr baseColWidth="10" defaultRowHeight="15" x14ac:dyDescent="0.2"/>
  <cols>
    <col min="2" max="2" width="40" customWidth="1"/>
    <col min="3" max="3" width="16.1640625" customWidth="1"/>
  </cols>
  <sheetData>
    <row r="1" spans="2:11" ht="16" thickBot="1" x14ac:dyDescent="0.25"/>
    <row r="2" spans="2:11" ht="16" thickBot="1" x14ac:dyDescent="0.25">
      <c r="B2" s="93" t="str">
        <f>"Financial Statement Model for "&amp;C5</f>
        <v>Financial Statement Model for Robertson Tool Co.</v>
      </c>
      <c r="C2" s="94"/>
      <c r="D2" s="94"/>
      <c r="E2" s="94"/>
      <c r="F2" s="94"/>
      <c r="G2" s="94"/>
      <c r="H2" s="94"/>
      <c r="I2" s="147"/>
      <c r="J2" s="147"/>
      <c r="K2" s="147"/>
    </row>
    <row r="3" spans="2:11" x14ac:dyDescent="0.2">
      <c r="B3" s="95" t="s">
        <v>271</v>
      </c>
      <c r="C3" s="96"/>
      <c r="D3" s="96"/>
      <c r="E3" s="96"/>
      <c r="F3" s="96"/>
      <c r="G3" s="96"/>
    </row>
    <row r="5" spans="2:11" x14ac:dyDescent="0.2">
      <c r="B5" s="97" t="str">
        <f>C5</f>
        <v>Robertson Tool Co.</v>
      </c>
      <c r="C5" s="98" t="s">
        <v>147</v>
      </c>
      <c r="H5" s="249"/>
    </row>
    <row r="7" spans="2:11" x14ac:dyDescent="0.2">
      <c r="B7" s="99" t="s">
        <v>210</v>
      </c>
      <c r="C7" s="100"/>
      <c r="D7" s="100"/>
      <c r="E7" s="100"/>
      <c r="F7" s="100"/>
      <c r="G7" s="100"/>
      <c r="H7" s="100"/>
      <c r="I7" s="147"/>
      <c r="J7" s="147"/>
      <c r="K7" s="147"/>
    </row>
    <row r="8" spans="2:11" x14ac:dyDescent="0.2">
      <c r="B8" t="s">
        <v>261</v>
      </c>
      <c r="C8" s="101">
        <v>2002</v>
      </c>
      <c r="D8" s="102">
        <f>C8+1</f>
        <v>2003</v>
      </c>
      <c r="E8" s="102">
        <f>D8+1</f>
        <v>2004</v>
      </c>
      <c r="F8" s="102">
        <f>E8+1</f>
        <v>2005</v>
      </c>
      <c r="G8" s="102">
        <f>F8+1</f>
        <v>2006</v>
      </c>
      <c r="H8" s="102">
        <f>G8+1</f>
        <v>2007</v>
      </c>
      <c r="I8" s="147"/>
      <c r="J8" s="147"/>
      <c r="K8" s="147"/>
    </row>
    <row r="9" spans="2:11" x14ac:dyDescent="0.2">
      <c r="B9" s="103"/>
      <c r="C9" s="104"/>
      <c r="D9" s="105"/>
      <c r="E9" s="106"/>
      <c r="F9" s="106"/>
      <c r="G9" s="104"/>
      <c r="H9" s="104"/>
    </row>
    <row r="10" spans="2:11" x14ac:dyDescent="0.2">
      <c r="B10" t="s">
        <v>211</v>
      </c>
      <c r="C10" s="165">
        <v>55.3</v>
      </c>
      <c r="D10" s="166">
        <v>58.6</v>
      </c>
      <c r="E10" s="166">
        <v>62.1</v>
      </c>
      <c r="F10" s="166">
        <v>65.900000000000006</v>
      </c>
      <c r="G10" s="166">
        <v>69.8</v>
      </c>
      <c r="H10" s="166">
        <v>69.8</v>
      </c>
    </row>
    <row r="11" spans="2:11" x14ac:dyDescent="0.2">
      <c r="B11" t="s">
        <v>273</v>
      </c>
      <c r="C11" s="165">
        <v>-37.9</v>
      </c>
      <c r="D11" s="167">
        <v>-39.799999999999997</v>
      </c>
      <c r="E11" s="167">
        <v>-41.6</v>
      </c>
      <c r="F11" s="167">
        <v>-43.5</v>
      </c>
      <c r="G11" s="167">
        <v>-45.4</v>
      </c>
      <c r="H11" s="167">
        <v>-45.4</v>
      </c>
    </row>
    <row r="12" spans="2:11" x14ac:dyDescent="0.2">
      <c r="B12" s="108" t="s">
        <v>105</v>
      </c>
      <c r="C12" s="146">
        <f>SUM(C10:C11)</f>
        <v>17.399999999999999</v>
      </c>
      <c r="D12" s="164">
        <f>SUM(D10:D11)</f>
        <v>18.800000000000004</v>
      </c>
      <c r="E12" s="164">
        <f>SUM(E10:E11)</f>
        <v>20.5</v>
      </c>
      <c r="F12" s="164">
        <f t="shared" ref="F12:H12" si="0">SUM(F10:F11)</f>
        <v>22.400000000000006</v>
      </c>
      <c r="G12" s="164">
        <f t="shared" si="0"/>
        <v>24.4</v>
      </c>
      <c r="H12" s="164">
        <f t="shared" si="0"/>
        <v>24.4</v>
      </c>
    </row>
    <row r="13" spans="2:11" x14ac:dyDescent="0.2">
      <c r="B13" t="s">
        <v>272</v>
      </c>
      <c r="C13" s="165">
        <v>-12.3</v>
      </c>
      <c r="D13" s="168">
        <v>-12.3</v>
      </c>
      <c r="E13" s="168">
        <v>-12.4</v>
      </c>
      <c r="F13" s="168">
        <v>-12.5</v>
      </c>
      <c r="G13" s="168">
        <v>-13.3</v>
      </c>
      <c r="H13" s="168">
        <v>-13.3</v>
      </c>
    </row>
    <row r="14" spans="2:11" x14ac:dyDescent="0.2">
      <c r="B14" t="s">
        <v>107</v>
      </c>
      <c r="C14" s="165">
        <v>-2.1</v>
      </c>
      <c r="D14" s="168">
        <v>-2.2999999999999998</v>
      </c>
      <c r="E14" s="168">
        <v>-2.5</v>
      </c>
      <c r="F14" s="168">
        <v>-2.7</v>
      </c>
      <c r="G14" s="168">
        <v>-2.9</v>
      </c>
      <c r="H14" s="168">
        <v>-2.9</v>
      </c>
    </row>
    <row r="15" spans="2:11" x14ac:dyDescent="0.2">
      <c r="B15" s="108" t="s">
        <v>212</v>
      </c>
      <c r="C15" s="146">
        <f>C12+C13+C14</f>
        <v>2.9999999999999978</v>
      </c>
      <c r="D15" s="164">
        <f t="shared" ref="D15:H15" si="1">D12+D13+D14</f>
        <v>4.2000000000000037</v>
      </c>
      <c r="E15" s="164">
        <f t="shared" si="1"/>
        <v>5.6</v>
      </c>
      <c r="F15" s="164">
        <f t="shared" si="1"/>
        <v>7.2000000000000055</v>
      </c>
      <c r="G15" s="164">
        <f t="shared" si="1"/>
        <v>8.1999999999999975</v>
      </c>
      <c r="H15" s="164">
        <f t="shared" si="1"/>
        <v>8.1999999999999975</v>
      </c>
    </row>
    <row r="16" spans="2:11" x14ac:dyDescent="0.2">
      <c r="B16" s="108" t="s">
        <v>213</v>
      </c>
      <c r="C16" s="146">
        <f>SUM(C15:C15)</f>
        <v>2.9999999999999978</v>
      </c>
      <c r="D16" s="164">
        <f t="shared" ref="D16:H16" si="2">SUM(D15:D15)</f>
        <v>4.2000000000000037</v>
      </c>
      <c r="E16" s="164">
        <f t="shared" si="2"/>
        <v>5.6</v>
      </c>
      <c r="F16" s="164">
        <f t="shared" si="2"/>
        <v>7.2000000000000055</v>
      </c>
      <c r="G16" s="164">
        <f t="shared" si="2"/>
        <v>8.1999999999999975</v>
      </c>
      <c r="H16" s="164">
        <f t="shared" si="2"/>
        <v>8.1999999999999975</v>
      </c>
    </row>
    <row r="17" spans="2:11" x14ac:dyDescent="0.2">
      <c r="B17" t="s">
        <v>17</v>
      </c>
      <c r="C17" s="169">
        <f>-C16*40%</f>
        <v>-1.1999999999999991</v>
      </c>
      <c r="D17" s="169">
        <f t="shared" ref="D17:H17" si="3">-D16*40%</f>
        <v>-1.6800000000000015</v>
      </c>
      <c r="E17" s="169">
        <f t="shared" si="3"/>
        <v>-2.2399999999999998</v>
      </c>
      <c r="F17" s="169">
        <f t="shared" si="3"/>
        <v>-2.8800000000000026</v>
      </c>
      <c r="G17" s="169">
        <f t="shared" si="3"/>
        <v>-3.2799999999999994</v>
      </c>
      <c r="H17" s="169">
        <f t="shared" si="3"/>
        <v>-3.2799999999999994</v>
      </c>
    </row>
    <row r="18" spans="2:11" x14ac:dyDescent="0.2">
      <c r="B18" s="108" t="s">
        <v>214</v>
      </c>
      <c r="C18" s="146">
        <f t="shared" ref="C18:G18" si="4">SUM(C16:C17)</f>
        <v>1.7999999999999987</v>
      </c>
      <c r="D18" s="164">
        <f t="shared" si="4"/>
        <v>2.5200000000000022</v>
      </c>
      <c r="E18" s="164">
        <f t="shared" si="4"/>
        <v>3.36</v>
      </c>
      <c r="F18" s="164">
        <f t="shared" si="4"/>
        <v>4.3200000000000029</v>
      </c>
      <c r="G18" s="164">
        <f t="shared" si="4"/>
        <v>4.9199999999999982</v>
      </c>
      <c r="H18" s="164">
        <f>SUM(H16:H17)</f>
        <v>4.9199999999999982</v>
      </c>
    </row>
    <row r="19" spans="2:11" x14ac:dyDescent="0.2">
      <c r="B19" s="110"/>
      <c r="C19" s="148"/>
      <c r="D19" s="109"/>
      <c r="E19" s="109"/>
      <c r="F19" s="109"/>
      <c r="G19" s="109"/>
      <c r="H19" s="109"/>
    </row>
    <row r="20" spans="2:11" x14ac:dyDescent="0.2">
      <c r="B20" s="111" t="s">
        <v>107</v>
      </c>
      <c r="C20" s="165">
        <f>-C14</f>
        <v>2.1</v>
      </c>
      <c r="D20" s="165">
        <f t="shared" ref="D20:H20" si="5">-D14</f>
        <v>2.2999999999999998</v>
      </c>
      <c r="E20" s="165">
        <f t="shared" si="5"/>
        <v>2.5</v>
      </c>
      <c r="F20" s="165">
        <f t="shared" si="5"/>
        <v>2.7</v>
      </c>
      <c r="G20" s="165">
        <f t="shared" si="5"/>
        <v>2.9</v>
      </c>
      <c r="H20" s="165">
        <f t="shared" si="5"/>
        <v>2.9</v>
      </c>
    </row>
    <row r="21" spans="2:11" x14ac:dyDescent="0.2">
      <c r="B21" s="112" t="s">
        <v>215</v>
      </c>
      <c r="C21" s="146">
        <f t="shared" ref="C21:H21" si="6">C15+C20</f>
        <v>5.0999999999999979</v>
      </c>
      <c r="D21" s="146">
        <f t="shared" si="6"/>
        <v>6.5000000000000036</v>
      </c>
      <c r="E21" s="146">
        <f t="shared" si="6"/>
        <v>8.1</v>
      </c>
      <c r="F21" s="146">
        <f t="shared" si="6"/>
        <v>9.9000000000000057</v>
      </c>
      <c r="G21" s="146">
        <f t="shared" si="6"/>
        <v>11.099999999999998</v>
      </c>
      <c r="H21" s="146">
        <f t="shared" si="6"/>
        <v>11.099999999999998</v>
      </c>
    </row>
    <row r="22" spans="2:11" x14ac:dyDescent="0.2">
      <c r="B22" s="110"/>
      <c r="E22" s="113"/>
    </row>
    <row r="23" spans="2:11" x14ac:dyDescent="0.2">
      <c r="B23" s="114" t="s">
        <v>216</v>
      </c>
    </row>
    <row r="24" spans="2:11" x14ac:dyDescent="0.2">
      <c r="B24" s="110" t="s">
        <v>217</v>
      </c>
      <c r="C24" s="115"/>
      <c r="D24" s="115">
        <f>(D10-C10)/C10</f>
        <v>5.9674502712477477E-2</v>
      </c>
      <c r="E24" s="115">
        <f t="shared" ref="E24:H24" si="7">(E10-D10)/D10</f>
        <v>5.9726962457337884E-2</v>
      </c>
      <c r="F24" s="115">
        <f t="shared" si="7"/>
        <v>6.1191626409017784E-2</v>
      </c>
      <c r="G24" s="115">
        <f t="shared" si="7"/>
        <v>5.9180576631259349E-2</v>
      </c>
      <c r="H24" s="115">
        <f t="shared" si="7"/>
        <v>0</v>
      </c>
      <c r="I24" s="115"/>
    </row>
    <row r="25" spans="2:11" x14ac:dyDescent="0.2">
      <c r="B25" s="110" t="s">
        <v>218</v>
      </c>
      <c r="C25" s="115">
        <f>C12/C10</f>
        <v>0.31464737793851716</v>
      </c>
      <c r="D25" s="115">
        <f>(D11-C11)/C11</f>
        <v>5.0131926121371996E-2</v>
      </c>
      <c r="E25" s="115">
        <f t="shared" ref="E25:H25" si="8">(E11-D11)/D11</f>
        <v>4.5226130653266444E-2</v>
      </c>
      <c r="F25" s="115">
        <f t="shared" si="8"/>
        <v>4.5673076923076886E-2</v>
      </c>
      <c r="G25" s="115">
        <f t="shared" si="8"/>
        <v>4.3678160919540195E-2</v>
      </c>
      <c r="H25" s="115">
        <f t="shared" si="8"/>
        <v>0</v>
      </c>
      <c r="I25" s="115"/>
    </row>
    <row r="26" spans="2:11" x14ac:dyDescent="0.2">
      <c r="B26" s="110" t="s">
        <v>262</v>
      </c>
      <c r="C26" s="115">
        <f>-C11/C10</f>
        <v>0.68535262206148284</v>
      </c>
      <c r="D26" s="115">
        <f>-D11/D10</f>
        <v>0.67918088737201354</v>
      </c>
      <c r="E26" s="115">
        <f t="shared" ref="E26:H26" si="9">-E11/E10</f>
        <v>0.66988727858293073</v>
      </c>
      <c r="F26" s="115">
        <f t="shared" si="9"/>
        <v>0.6600910470409711</v>
      </c>
      <c r="G26" s="115">
        <f t="shared" si="9"/>
        <v>0.65042979942693413</v>
      </c>
      <c r="H26" s="115">
        <f t="shared" si="9"/>
        <v>0.65042979942693413</v>
      </c>
      <c r="I26" s="115"/>
    </row>
    <row r="27" spans="2:11" x14ac:dyDescent="0.2">
      <c r="B27" s="110" t="s">
        <v>219</v>
      </c>
      <c r="C27" s="115">
        <f>-C13/C10</f>
        <v>0.22242314647377942</v>
      </c>
      <c r="D27" s="115">
        <f t="shared" ref="D27:H27" si="10">-D13/D10</f>
        <v>0.20989761092150172</v>
      </c>
      <c r="E27" s="115">
        <f t="shared" si="10"/>
        <v>0.19967793880837359</v>
      </c>
      <c r="F27" s="115">
        <f t="shared" si="10"/>
        <v>0.18968133535660089</v>
      </c>
      <c r="G27" s="115">
        <f>-G13/G10</f>
        <v>0.19054441260744986</v>
      </c>
      <c r="H27" s="115">
        <f t="shared" si="10"/>
        <v>0.19054441260744986</v>
      </c>
      <c r="I27" s="115"/>
    </row>
    <row r="28" spans="2:11" x14ac:dyDescent="0.2">
      <c r="B28" s="110" t="s">
        <v>220</v>
      </c>
      <c r="C28" s="170">
        <v>0.4</v>
      </c>
      <c r="D28" s="170">
        <v>0.4</v>
      </c>
      <c r="E28" s="170">
        <f>D28</f>
        <v>0.4</v>
      </c>
      <c r="F28" s="170">
        <f>E28</f>
        <v>0.4</v>
      </c>
      <c r="G28" s="170">
        <f t="shared" ref="G28:H28" si="11">F28</f>
        <v>0.4</v>
      </c>
      <c r="H28" s="170">
        <f t="shared" si="11"/>
        <v>0.4</v>
      </c>
      <c r="I28" s="116"/>
    </row>
    <row r="29" spans="2:11" x14ac:dyDescent="0.2">
      <c r="B29" s="110"/>
      <c r="C29" s="110"/>
      <c r="E29" s="113"/>
    </row>
    <row r="30" spans="2:11" x14ac:dyDescent="0.2">
      <c r="B30" s="99" t="s">
        <v>221</v>
      </c>
      <c r="C30" s="99"/>
      <c r="D30" s="117"/>
      <c r="E30" s="100"/>
      <c r="F30" s="100"/>
      <c r="G30" s="100"/>
      <c r="H30" s="100"/>
      <c r="I30" s="100"/>
    </row>
    <row r="31" spans="2:11" x14ac:dyDescent="0.2">
      <c r="B31" s="118" t="str">
        <f>B8</f>
        <v xml:space="preserve">Year  </v>
      </c>
      <c r="C31" s="118" t="s">
        <v>279</v>
      </c>
      <c r="D31" s="119">
        <f t="shared" ref="D31:I31" si="12">C8</f>
        <v>2002</v>
      </c>
      <c r="E31" s="120">
        <f t="shared" si="12"/>
        <v>2003</v>
      </c>
      <c r="F31" s="120">
        <f t="shared" si="12"/>
        <v>2004</v>
      </c>
      <c r="G31" s="120">
        <f t="shared" si="12"/>
        <v>2005</v>
      </c>
      <c r="H31" s="120">
        <f t="shared" si="12"/>
        <v>2006</v>
      </c>
      <c r="I31" s="120">
        <f t="shared" si="12"/>
        <v>2007</v>
      </c>
    </row>
    <row r="32" spans="2:11" x14ac:dyDescent="0.2">
      <c r="B32" t="s">
        <v>222</v>
      </c>
      <c r="C32" s="184">
        <f>D32/$C$10</f>
        <v>1.8083182640144666E-2</v>
      </c>
      <c r="D32" s="145">
        <v>1</v>
      </c>
      <c r="E32" s="148">
        <f>D10*$C$32</f>
        <v>1.0596745027124774</v>
      </c>
      <c r="F32" s="148">
        <f t="shared" ref="F32:I32" si="13">E10*$C$32</f>
        <v>1.1229656419529839</v>
      </c>
      <c r="G32" s="148">
        <f t="shared" si="13"/>
        <v>1.1916817359855336</v>
      </c>
      <c r="H32" s="148">
        <f t="shared" si="13"/>
        <v>1.2622061482820977</v>
      </c>
      <c r="I32" s="148">
        <f t="shared" si="13"/>
        <v>1.2622061482820977</v>
      </c>
      <c r="K32" s="184"/>
    </row>
    <row r="33" spans="2:11" x14ac:dyDescent="0.2">
      <c r="B33" t="s">
        <v>223</v>
      </c>
      <c r="C33" s="184">
        <f>D33/$C$10</f>
        <v>0.14466546112115733</v>
      </c>
      <c r="D33" s="145">
        <v>8</v>
      </c>
      <c r="E33" s="148">
        <f>D10*$C$33</f>
        <v>8.4773960216998194</v>
      </c>
      <c r="F33" s="148">
        <f>E10*$C$33</f>
        <v>8.983725135623871</v>
      </c>
      <c r="G33" s="148">
        <f>F10*$C$33</f>
        <v>9.533453887884269</v>
      </c>
      <c r="H33" s="148">
        <f>G10*$C$33</f>
        <v>10.097649186256781</v>
      </c>
      <c r="I33" s="148">
        <f>H10*$C$33</f>
        <v>10.097649186256781</v>
      </c>
    </row>
    <row r="34" spans="2:11" x14ac:dyDescent="0.2">
      <c r="B34" t="s">
        <v>54</v>
      </c>
      <c r="C34" s="184">
        <f t="shared" ref="C34:C35" si="14">D34/$C$10</f>
        <v>0.32549728752260398</v>
      </c>
      <c r="D34" s="145">
        <v>18</v>
      </c>
      <c r="E34" s="148">
        <f>D10*$C$34</f>
        <v>19.074141048824593</v>
      </c>
      <c r="F34" s="148">
        <f>E34*E11/D11</f>
        <v>19.936790643997565</v>
      </c>
      <c r="G34" s="148">
        <f>F34*F11/E11</f>
        <v>20.847365216680146</v>
      </c>
      <c r="H34" s="148">
        <f>G34*G11/F11</f>
        <v>21.757939789362727</v>
      </c>
      <c r="I34" s="148">
        <f>H34*H11/G11</f>
        <v>21.757939789362727</v>
      </c>
    </row>
    <row r="35" spans="2:11" x14ac:dyDescent="0.2">
      <c r="B35" t="s">
        <v>224</v>
      </c>
      <c r="C35" s="184">
        <f t="shared" si="14"/>
        <v>1.8083182640144666E-2</v>
      </c>
      <c r="D35" s="145">
        <v>1</v>
      </c>
      <c r="E35" s="148">
        <f>D10*$C$35</f>
        <v>1.0596745027124774</v>
      </c>
      <c r="F35" s="148">
        <f t="shared" ref="F35:I35" si="15">E10*$C$35</f>
        <v>1.1229656419529839</v>
      </c>
      <c r="G35" s="148">
        <f t="shared" si="15"/>
        <v>1.1916817359855336</v>
      </c>
      <c r="H35" s="148">
        <f t="shared" si="15"/>
        <v>1.2622061482820977</v>
      </c>
      <c r="I35" s="148">
        <f t="shared" si="15"/>
        <v>1.2622061482820977</v>
      </c>
    </row>
    <row r="36" spans="2:11" x14ac:dyDescent="0.2">
      <c r="B36" t="s">
        <v>225</v>
      </c>
      <c r="D36" s="145">
        <v>19</v>
      </c>
      <c r="E36" s="145">
        <v>20.7</v>
      </c>
      <c r="F36" s="145">
        <v>21.7</v>
      </c>
      <c r="G36" s="145">
        <v>22.6</v>
      </c>
      <c r="H36" s="145">
        <v>23.5</v>
      </c>
      <c r="I36" s="145">
        <v>23.5</v>
      </c>
    </row>
    <row r="37" spans="2:11" x14ac:dyDescent="0.2">
      <c r="B37" s="112" t="s">
        <v>226</v>
      </c>
      <c r="C37" s="112"/>
      <c r="D37" s="146">
        <f t="shared" ref="D37:I37" si="16">SUM(D32:D36)</f>
        <v>47</v>
      </c>
      <c r="E37" s="161">
        <f t="shared" si="16"/>
        <v>50.370886075949372</v>
      </c>
      <c r="F37" s="161">
        <f t="shared" si="16"/>
        <v>52.866447063527403</v>
      </c>
      <c r="G37" s="161">
        <f t="shared" si="16"/>
        <v>55.364182576535484</v>
      </c>
      <c r="H37" s="161">
        <f t="shared" si="16"/>
        <v>57.880001272183698</v>
      </c>
      <c r="I37" s="161">
        <f t="shared" si="16"/>
        <v>57.880001272183698</v>
      </c>
    </row>
    <row r="38" spans="2:11" x14ac:dyDescent="0.2">
      <c r="B38" s="111"/>
      <c r="C38" s="111"/>
      <c r="D38" s="109"/>
      <c r="E38" s="109"/>
      <c r="F38" s="109"/>
      <c r="G38" s="109"/>
      <c r="H38" s="109"/>
      <c r="I38" s="109"/>
    </row>
    <row r="39" spans="2:11" x14ac:dyDescent="0.2">
      <c r="B39" s="111" t="s">
        <v>227</v>
      </c>
      <c r="C39" s="185">
        <f>D39/$C$10</f>
        <v>3.6166365280289332E-2</v>
      </c>
      <c r="D39" s="145">
        <v>2</v>
      </c>
      <c r="E39" s="148">
        <f>D10*$C$39</f>
        <v>2.1193490054249549</v>
      </c>
      <c r="F39" s="148">
        <f t="shared" ref="F39:I39" si="17">E10*$C$39</f>
        <v>2.2459312839059677</v>
      </c>
      <c r="G39" s="148">
        <f t="shared" si="17"/>
        <v>2.3833634719710672</v>
      </c>
      <c r="H39" s="148">
        <f t="shared" si="17"/>
        <v>2.5244122965641953</v>
      </c>
      <c r="I39" s="148">
        <f t="shared" si="17"/>
        <v>2.5244122965641953</v>
      </c>
    </row>
    <row r="40" spans="2:11" x14ac:dyDescent="0.2">
      <c r="B40" s="111" t="s">
        <v>228</v>
      </c>
      <c r="C40" s="185">
        <f t="shared" ref="C40:C41" si="18">D40/$C$10</f>
        <v>3.6166365280289332E-2</v>
      </c>
      <c r="D40" s="145">
        <v>2</v>
      </c>
      <c r="E40" s="148">
        <f>D10*$C$40</f>
        <v>2.1193490054249549</v>
      </c>
      <c r="F40" s="148">
        <f t="shared" ref="F40:I40" si="19">E10*$C$40</f>
        <v>2.2459312839059677</v>
      </c>
      <c r="G40" s="148">
        <f t="shared" si="19"/>
        <v>2.3833634719710672</v>
      </c>
      <c r="H40" s="148">
        <f t="shared" si="19"/>
        <v>2.5244122965641953</v>
      </c>
      <c r="I40" s="148">
        <f t="shared" si="19"/>
        <v>2.5244122965641953</v>
      </c>
    </row>
    <row r="41" spans="2:11" x14ac:dyDescent="0.2">
      <c r="B41" s="111" t="s">
        <v>234</v>
      </c>
      <c r="C41" s="185">
        <f t="shared" si="18"/>
        <v>0.21699819168173601</v>
      </c>
      <c r="D41" s="145">
        <v>12</v>
      </c>
      <c r="E41" s="148">
        <f>E37-E39-E40-E44</f>
        <v>12.612188065099453</v>
      </c>
      <c r="F41" s="148">
        <f>F37-F39-F40-F44</f>
        <v>11.494584495715465</v>
      </c>
      <c r="G41" s="148">
        <f t="shared" ref="G41:H41" si="20">G37-G39-G40-G44</f>
        <v>9.3974556325933492</v>
      </c>
      <c r="H41" s="148">
        <f t="shared" si="20"/>
        <v>6.7111766790553062</v>
      </c>
      <c r="I41" s="148">
        <f>I37-I39-I40-I44</f>
        <v>1.7911766790553045</v>
      </c>
    </row>
    <row r="42" spans="2:11" x14ac:dyDescent="0.2">
      <c r="B42" s="112" t="s">
        <v>229</v>
      </c>
      <c r="C42" s="112"/>
      <c r="D42" s="146">
        <f t="shared" ref="D42:I42" si="21">SUM(D39:D41)</f>
        <v>16</v>
      </c>
      <c r="E42" s="161">
        <f t="shared" si="21"/>
        <v>16.850886075949361</v>
      </c>
      <c r="F42" s="161">
        <f t="shared" si="21"/>
        <v>15.9864470635274</v>
      </c>
      <c r="G42" s="161">
        <f t="shared" si="21"/>
        <v>14.164182576535485</v>
      </c>
      <c r="H42" s="161">
        <f t="shared" si="21"/>
        <v>11.760001272183697</v>
      </c>
      <c r="I42" s="161">
        <f t="shared" si="21"/>
        <v>6.8400012721836951</v>
      </c>
    </row>
    <row r="43" spans="2:11" x14ac:dyDescent="0.2">
      <c r="B43" s="112"/>
      <c r="C43" s="112"/>
      <c r="D43" s="206"/>
      <c r="E43" s="206"/>
      <c r="F43" s="206"/>
      <c r="G43" s="206"/>
      <c r="H43" s="206"/>
      <c r="I43" s="206"/>
    </row>
    <row r="44" spans="2:11" x14ac:dyDescent="0.2">
      <c r="B44" s="111" t="s">
        <v>230</v>
      </c>
      <c r="C44" s="111"/>
      <c r="D44" s="145">
        <v>31</v>
      </c>
      <c r="E44" s="148">
        <f>D44+D18</f>
        <v>33.520000000000003</v>
      </c>
      <c r="F44" s="148">
        <f>E44+E18</f>
        <v>36.880000000000003</v>
      </c>
      <c r="G44" s="148">
        <f>F44+F18</f>
        <v>41.2</v>
      </c>
      <c r="H44" s="148">
        <f t="shared" ref="H44:I44" si="22">G44+G18</f>
        <v>46.120000000000005</v>
      </c>
      <c r="I44" s="148">
        <f t="shared" si="22"/>
        <v>51.040000000000006</v>
      </c>
    </row>
    <row r="45" spans="2:11" x14ac:dyDescent="0.2">
      <c r="B45" s="112" t="s">
        <v>231</v>
      </c>
      <c r="C45" s="112"/>
      <c r="D45" s="161">
        <f t="shared" ref="D45:I45" si="23">SUM(D44:D44)</f>
        <v>31</v>
      </c>
      <c r="E45" s="161">
        <f t="shared" si="23"/>
        <v>33.520000000000003</v>
      </c>
      <c r="F45" s="161">
        <f t="shared" si="23"/>
        <v>36.880000000000003</v>
      </c>
      <c r="G45" s="161">
        <f t="shared" si="23"/>
        <v>41.2</v>
      </c>
      <c r="H45" s="161">
        <f t="shared" si="23"/>
        <v>46.120000000000005</v>
      </c>
      <c r="I45" s="161">
        <f t="shared" si="23"/>
        <v>51.040000000000006</v>
      </c>
    </row>
    <row r="46" spans="2:11" x14ac:dyDescent="0.2">
      <c r="D46" s="109"/>
    </row>
    <row r="47" spans="2:11" x14ac:dyDescent="0.2">
      <c r="B47" s="103" t="s">
        <v>232</v>
      </c>
      <c r="C47" s="103"/>
      <c r="D47" s="121">
        <f t="shared" ref="D47:I47" si="24">ROUND(D37-D42-D45,3)</f>
        <v>0</v>
      </c>
      <c r="E47" s="121">
        <f t="shared" si="24"/>
        <v>0</v>
      </c>
      <c r="F47" s="121">
        <f t="shared" si="24"/>
        <v>0</v>
      </c>
      <c r="G47" s="121">
        <f t="shared" si="24"/>
        <v>0</v>
      </c>
      <c r="H47" s="121">
        <f t="shared" si="24"/>
        <v>0</v>
      </c>
      <c r="I47" s="121">
        <f t="shared" si="24"/>
        <v>0</v>
      </c>
    </row>
    <row r="48" spans="2:11" x14ac:dyDescent="0.2">
      <c r="E48" s="109"/>
      <c r="F48" s="109"/>
      <c r="H48" s="109"/>
      <c r="I48" s="109"/>
      <c r="J48" s="109"/>
      <c r="K48" s="109"/>
    </row>
    <row r="49" spans="2:11" x14ac:dyDescent="0.2">
      <c r="B49" s="147"/>
      <c r="C49" s="147"/>
      <c r="D49" s="147"/>
      <c r="E49" s="147"/>
      <c r="F49" s="147"/>
      <c r="G49" s="147"/>
      <c r="H49" s="147"/>
      <c r="I49" s="147"/>
      <c r="J49" s="147"/>
      <c r="K49" s="147"/>
    </row>
    <row r="50" spans="2:11" x14ac:dyDescent="0.2">
      <c r="B50" s="162"/>
      <c r="C50" s="162"/>
      <c r="D50" s="162"/>
      <c r="E50" s="162"/>
      <c r="F50" s="162"/>
      <c r="G50" s="162"/>
      <c r="H50" s="162"/>
      <c r="I50" s="162"/>
      <c r="J50" s="162"/>
      <c r="K50" s="162"/>
    </row>
    <row r="51" spans="2:11" x14ac:dyDescent="0.2">
      <c r="B51" s="147"/>
      <c r="C51" s="147"/>
      <c r="D51" s="147"/>
      <c r="E51" s="147"/>
      <c r="F51" s="147"/>
      <c r="G51" s="147"/>
      <c r="H51" s="147"/>
      <c r="I51" s="147"/>
      <c r="J51" s="147"/>
      <c r="K51" s="147"/>
    </row>
    <row r="52" spans="2:11" x14ac:dyDescent="0.2">
      <c r="B52" s="147"/>
      <c r="C52" s="171"/>
      <c r="D52" s="147"/>
      <c r="E52" s="172"/>
      <c r="F52" s="173"/>
      <c r="G52" s="173"/>
      <c r="H52" s="173"/>
      <c r="I52" s="173"/>
      <c r="J52" s="173"/>
      <c r="K52" s="147"/>
    </row>
    <row r="53" spans="2:11" x14ac:dyDescent="0.2">
      <c r="B53" s="147"/>
      <c r="C53" s="147"/>
      <c r="D53" s="147"/>
      <c r="E53" s="172"/>
      <c r="F53" s="174"/>
      <c r="G53" s="174"/>
      <c r="H53" s="174"/>
      <c r="I53" s="174"/>
      <c r="J53" s="174"/>
      <c r="K53" s="147"/>
    </row>
    <row r="54" spans="2:11" x14ac:dyDescent="0.2">
      <c r="B54" s="175"/>
      <c r="C54" s="147"/>
      <c r="D54" s="147"/>
      <c r="E54" s="176"/>
      <c r="F54" s="176"/>
      <c r="G54" s="176"/>
      <c r="H54" s="176"/>
      <c r="I54" s="176"/>
      <c r="J54" s="176"/>
      <c r="K54" s="147"/>
    </row>
    <row r="55" spans="2:11" x14ac:dyDescent="0.2">
      <c r="B55" s="175"/>
      <c r="C55" s="147"/>
      <c r="D55" s="147"/>
      <c r="E55" s="176"/>
      <c r="F55" s="176"/>
      <c r="G55" s="176"/>
      <c r="H55" s="176"/>
      <c r="I55" s="176"/>
      <c r="J55" s="176"/>
      <c r="K55" s="147"/>
    </row>
    <row r="56" spans="2:11" x14ac:dyDescent="0.2">
      <c r="B56" s="175"/>
      <c r="C56" s="147"/>
      <c r="D56" s="147"/>
      <c r="E56" s="176"/>
      <c r="F56" s="176"/>
      <c r="G56" s="176"/>
      <c r="H56" s="176"/>
      <c r="I56" s="176"/>
      <c r="J56" s="176"/>
      <c r="K56" s="147"/>
    </row>
    <row r="57" spans="2:11" x14ac:dyDescent="0.2">
      <c r="B57" s="175"/>
      <c r="C57" s="147"/>
      <c r="D57" s="147"/>
      <c r="E57" s="176"/>
      <c r="F57" s="176"/>
      <c r="G57" s="176"/>
      <c r="H57" s="176"/>
      <c r="I57" s="176"/>
      <c r="J57" s="176"/>
      <c r="K57" s="147"/>
    </row>
    <row r="58" spans="2:11" x14ac:dyDescent="0.2">
      <c r="B58" s="147"/>
      <c r="C58" s="147"/>
      <c r="D58" s="147"/>
      <c r="E58" s="147"/>
      <c r="F58" s="147"/>
      <c r="G58" s="147"/>
      <c r="H58" s="147"/>
      <c r="I58" s="147"/>
      <c r="J58" s="147"/>
      <c r="K58" s="147"/>
    </row>
    <row r="59" spans="2:11" x14ac:dyDescent="0.2">
      <c r="B59" s="177"/>
      <c r="C59" s="147"/>
      <c r="D59" s="147"/>
      <c r="E59" s="147"/>
      <c r="F59" s="147"/>
      <c r="G59" s="147"/>
      <c r="H59" s="147"/>
      <c r="I59" s="147"/>
      <c r="J59" s="147"/>
      <c r="K59" s="147"/>
    </row>
    <row r="60" spans="2:11" x14ac:dyDescent="0.2">
      <c r="B60" s="178"/>
      <c r="C60" s="147"/>
      <c r="D60" s="147"/>
      <c r="E60" s="179"/>
      <c r="F60" s="180"/>
      <c r="G60" s="180"/>
      <c r="H60" s="180"/>
      <c r="I60" s="180"/>
      <c r="J60" s="180"/>
      <c r="K60" s="147"/>
    </row>
    <row r="61" spans="2:11" x14ac:dyDescent="0.2">
      <c r="B61" s="178"/>
      <c r="C61" s="147"/>
      <c r="D61" s="147"/>
      <c r="E61" s="179"/>
      <c r="F61" s="180"/>
      <c r="G61" s="180"/>
      <c r="H61" s="180"/>
      <c r="I61" s="180"/>
      <c r="J61" s="180"/>
      <c r="K61" s="147"/>
    </row>
    <row r="62" spans="2:11" x14ac:dyDescent="0.2">
      <c r="B62" s="177"/>
      <c r="C62" s="147"/>
      <c r="D62" s="147"/>
      <c r="E62" s="181"/>
      <c r="F62" s="182"/>
      <c r="G62" s="182"/>
      <c r="H62" s="182"/>
      <c r="I62" s="182"/>
      <c r="J62" s="182"/>
      <c r="K62" s="147"/>
    </row>
    <row r="63" spans="2:11" x14ac:dyDescent="0.2">
      <c r="B63" s="178"/>
      <c r="C63" s="147"/>
      <c r="D63" s="147"/>
      <c r="E63" s="179"/>
      <c r="F63" s="180"/>
      <c r="G63" s="180"/>
      <c r="H63" s="180"/>
      <c r="I63" s="180"/>
      <c r="J63" s="180"/>
      <c r="K63" s="147"/>
    </row>
    <row r="64" spans="2:11" x14ac:dyDescent="0.2">
      <c r="B64" s="178"/>
      <c r="C64" s="147"/>
      <c r="D64" s="147"/>
      <c r="E64" s="179"/>
      <c r="F64" s="180"/>
      <c r="G64" s="180"/>
      <c r="H64" s="180"/>
      <c r="I64" s="180"/>
      <c r="J64" s="180"/>
      <c r="K64" s="147"/>
    </row>
    <row r="65" spans="2:11" x14ac:dyDescent="0.2">
      <c r="B65" s="177"/>
      <c r="C65" s="147"/>
      <c r="D65" s="147"/>
      <c r="E65" s="181"/>
      <c r="F65" s="183"/>
      <c r="G65" s="183"/>
      <c r="H65" s="183"/>
      <c r="I65" s="183"/>
      <c r="J65" s="183"/>
      <c r="K65" s="147"/>
    </row>
    <row r="66" spans="2:11" x14ac:dyDescent="0.2">
      <c r="B66" s="178"/>
      <c r="C66" s="147"/>
      <c r="D66" s="147"/>
      <c r="E66" s="179"/>
      <c r="F66" s="180"/>
      <c r="G66" s="180"/>
      <c r="H66" s="180"/>
      <c r="I66" s="180"/>
      <c r="J66" s="180"/>
      <c r="K66" s="147"/>
    </row>
    <row r="67" spans="2:11" x14ac:dyDescent="0.2">
      <c r="B67" s="178"/>
      <c r="C67" s="147"/>
      <c r="D67" s="147"/>
      <c r="E67" s="179"/>
      <c r="F67" s="180"/>
      <c r="G67" s="180"/>
      <c r="H67" s="180"/>
      <c r="I67" s="180"/>
      <c r="J67" s="180"/>
      <c r="K67" s="147"/>
    </row>
    <row r="68" spans="2:11" x14ac:dyDescent="0.2">
      <c r="B68" s="177"/>
      <c r="C68" s="147"/>
      <c r="D68" s="147"/>
      <c r="E68" s="181"/>
      <c r="F68" s="183"/>
      <c r="G68" s="183"/>
      <c r="H68" s="183"/>
      <c r="I68" s="183"/>
      <c r="J68" s="183"/>
      <c r="K68" s="147"/>
    </row>
    <row r="69" spans="2:11" x14ac:dyDescent="0.2">
      <c r="B69" s="178"/>
      <c r="C69" s="147"/>
      <c r="D69" s="147"/>
      <c r="E69" s="179"/>
      <c r="F69" s="180"/>
      <c r="G69" s="180"/>
      <c r="H69" s="180"/>
      <c r="I69" s="180"/>
      <c r="J69" s="180"/>
      <c r="K69" s="147"/>
    </row>
    <row r="70" spans="2:11" x14ac:dyDescent="0.2">
      <c r="B70" s="178"/>
      <c r="C70" s="147"/>
      <c r="D70" s="147"/>
      <c r="E70" s="179"/>
      <c r="F70" s="180"/>
      <c r="G70" s="180"/>
      <c r="H70" s="180"/>
      <c r="I70" s="180"/>
      <c r="J70" s="180"/>
      <c r="K70" s="147"/>
    </row>
    <row r="71" spans="2:11" x14ac:dyDescent="0.2">
      <c r="B71" s="147"/>
      <c r="C71" s="147"/>
      <c r="D71" s="147"/>
      <c r="E71" s="147"/>
      <c r="F71" s="147"/>
      <c r="G71" s="147"/>
      <c r="H71" s="147"/>
      <c r="I71" s="147"/>
      <c r="J71" s="147"/>
      <c r="K71" s="147"/>
    </row>
    <row r="72" spans="2:11" x14ac:dyDescent="0.2">
      <c r="B72" s="147"/>
      <c r="C72" s="147"/>
      <c r="D72" s="147"/>
      <c r="E72" s="147"/>
      <c r="F72" s="147"/>
      <c r="G72" s="147"/>
      <c r="H72" s="147"/>
      <c r="I72" s="147"/>
      <c r="J72" s="147"/>
      <c r="K72" s="147"/>
    </row>
  </sheetData>
  <conditionalFormatting sqref="B68">
    <cfRule type="expression" dxfId="5" priority="2">
      <formula>#REF!=$D68</formula>
    </cfRule>
  </conditionalFormatting>
  <conditionalFormatting sqref="B57">
    <cfRule type="expression" dxfId="4" priority="1">
      <formula>#REF!=$D57</formula>
    </cfRule>
  </conditionalFormatting>
  <conditionalFormatting sqref="B27:H27">
    <cfRule type="expression" dxfId="3" priority="4">
      <formula>#REF!=#REF!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Exhibit 1</vt:lpstr>
      <vt:lpstr>Exhibit 2</vt:lpstr>
      <vt:lpstr>Exhibit 3</vt:lpstr>
      <vt:lpstr>Exhibit 4</vt:lpstr>
      <vt:lpstr>Exhibit 5</vt:lpstr>
      <vt:lpstr>Exhibit 6</vt:lpstr>
      <vt:lpstr>Exhibit 7</vt:lpstr>
      <vt:lpstr>WACC</vt:lpstr>
      <vt:lpstr>Best Case Forecast</vt:lpstr>
      <vt:lpstr>Best Case FCF</vt:lpstr>
      <vt:lpstr>Worst Case Forecast</vt:lpstr>
      <vt:lpstr>Worst Case FCF</vt:lpstr>
      <vt:lpstr>'Exhibit 7'!ReturnHere</vt:lpstr>
    </vt:vector>
  </TitlesOfParts>
  <Manager/>
  <Company>Harvard Business School Publishing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Heide Abelli </dc:creator>
  <cp:keywords/>
  <dc:description/>
  <cp:lastModifiedBy>Microsoft Office User</cp:lastModifiedBy>
  <cp:revision/>
  <dcterms:created xsi:type="dcterms:W3CDTF">2010-06-04T13:18:30Z</dcterms:created>
  <dcterms:modified xsi:type="dcterms:W3CDTF">2021-09-14T16:38:35Z</dcterms:modified>
  <cp:category/>
  <cp:contentStatus/>
</cp:coreProperties>
</file>