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0" windowWidth="19420" windowHeight="11020"/>
  </bookViews>
  <sheets>
    <sheet name="marg_costs" sheetId="1" r:id="rId1"/>
    <sheet name="FCs" sheetId="2" r:id="rId2"/>
  </sheets>
  <calcPr calcId="144525"/>
</workbook>
</file>

<file path=xl/calcChain.xml><?xml version="1.0" encoding="utf-8"?>
<calcChain xmlns="http://schemas.openxmlformats.org/spreadsheetml/2006/main">
  <c r="F68" i="1" l="1"/>
  <c r="C68" i="1" s="1"/>
  <c r="F79" i="1"/>
  <c r="E79" i="1"/>
  <c r="C79" i="1"/>
  <c r="C78" i="1"/>
  <c r="C77" i="1"/>
  <c r="F76" i="1"/>
  <c r="C76" i="1" s="1"/>
  <c r="F75" i="1"/>
  <c r="C75" i="1"/>
  <c r="F74" i="1"/>
  <c r="C74" i="1"/>
  <c r="F73" i="1"/>
  <c r="C73" i="1" s="1"/>
  <c r="F72" i="1"/>
  <c r="C72" i="1"/>
  <c r="F71" i="1"/>
  <c r="C71" i="1"/>
  <c r="F70" i="1"/>
  <c r="C70" i="1" s="1"/>
  <c r="F67" i="1"/>
  <c r="E67" i="1"/>
  <c r="C67" i="1" s="1"/>
  <c r="F66" i="1"/>
  <c r="E66" i="1"/>
  <c r="C66" i="1"/>
  <c r="F65" i="1"/>
  <c r="E65" i="1"/>
  <c r="C65" i="1" s="1"/>
  <c r="F64" i="1"/>
  <c r="E64" i="1"/>
  <c r="C64" i="1"/>
  <c r="F63" i="1"/>
  <c r="E63" i="1"/>
  <c r="F62" i="1"/>
  <c r="E62" i="1"/>
  <c r="C62" i="1"/>
  <c r="F61" i="1"/>
  <c r="E61" i="1"/>
  <c r="C61" i="1" s="1"/>
  <c r="F60" i="1"/>
  <c r="E60" i="1"/>
  <c r="C60" i="1"/>
  <c r="F59" i="1"/>
  <c r="E59" i="1"/>
  <c r="C59" i="1" s="1"/>
  <c r="F58" i="1"/>
  <c r="C58" i="1" s="1"/>
  <c r="E58" i="1"/>
  <c r="F57" i="1"/>
  <c r="E57" i="1"/>
  <c r="C57" i="1" s="1"/>
  <c r="F56" i="1"/>
  <c r="E56" i="1"/>
  <c r="C56" i="1" s="1"/>
  <c r="C63" i="1" l="1"/>
  <c r="E54" i="1"/>
  <c r="F39" i="1"/>
  <c r="F13" i="1"/>
  <c r="F12" i="1"/>
  <c r="F11" i="1"/>
  <c r="F10" i="1"/>
  <c r="F9" i="1"/>
  <c r="F8" i="1"/>
  <c r="F7" i="1"/>
  <c r="F6" i="1"/>
  <c r="F5" i="1"/>
  <c r="F4" i="1"/>
  <c r="F3" i="1"/>
  <c r="F2" i="1"/>
  <c r="F54" i="1"/>
  <c r="F41" i="1"/>
  <c r="F38" i="1"/>
  <c r="F25" i="1"/>
  <c r="F24" i="1"/>
  <c r="F23" i="1"/>
  <c r="F22" i="1"/>
  <c r="F21" i="1"/>
  <c r="F2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8" i="1"/>
  <c r="E7" i="1"/>
  <c r="E3" i="1"/>
  <c r="E4" i="1"/>
  <c r="E5" i="1"/>
  <c r="E6" i="1"/>
  <c r="E2" i="1"/>
  <c r="E16" i="2"/>
  <c r="E13" i="2"/>
  <c r="E14" i="2"/>
  <c r="E12" i="2"/>
  <c r="E7" i="2"/>
  <c r="E4" i="2"/>
  <c r="E3" i="2"/>
  <c r="C13" i="2"/>
  <c r="C14" i="2"/>
  <c r="C15" i="2"/>
  <c r="C16" i="2"/>
  <c r="C12" i="2"/>
  <c r="B13" i="2"/>
  <c r="C4" i="2"/>
  <c r="C5" i="2"/>
  <c r="C6" i="2"/>
  <c r="C7" i="2"/>
  <c r="C8" i="2"/>
  <c r="C3" i="2"/>
  <c r="F40" i="1"/>
  <c r="F15" i="1"/>
  <c r="F16" i="1"/>
  <c r="F17" i="1"/>
  <c r="F18" i="1"/>
  <c r="F19" i="1"/>
  <c r="F14" i="1"/>
  <c r="F44" i="1"/>
  <c r="F37" i="1"/>
  <c r="F36" i="1"/>
  <c r="F35" i="1"/>
  <c r="F34" i="1"/>
  <c r="F33" i="1"/>
  <c r="F32" i="1"/>
  <c r="C54" i="1" l="1"/>
  <c r="C14" i="1"/>
  <c r="C18" i="1"/>
  <c r="C19" i="1"/>
  <c r="C20" i="1"/>
  <c r="C38" i="1"/>
  <c r="C35" i="1"/>
  <c r="C36" i="1"/>
  <c r="C37" i="1"/>
  <c r="C44" i="1"/>
  <c r="F47" i="1"/>
  <c r="C47" i="1" s="1"/>
  <c r="F50" i="1"/>
  <c r="C50" i="1" s="1"/>
  <c r="F49" i="1"/>
  <c r="C49" i="1" s="1"/>
  <c r="F48" i="1"/>
  <c r="C48" i="1" s="1"/>
  <c r="F46" i="1"/>
  <c r="C46" i="1" s="1"/>
  <c r="F45" i="1"/>
  <c r="C45" i="1" s="1"/>
  <c r="F43" i="1"/>
  <c r="C43" i="1" s="1"/>
  <c r="F42" i="1"/>
  <c r="C42" i="1" s="1"/>
  <c r="C41" i="1"/>
  <c r="C40" i="1"/>
  <c r="C39" i="1"/>
  <c r="C33" i="1"/>
  <c r="C34" i="1"/>
  <c r="C32" i="1"/>
  <c r="F27" i="1"/>
  <c r="C27" i="1" s="1"/>
  <c r="F28" i="1"/>
  <c r="C28" i="1" s="1"/>
  <c r="F29" i="1"/>
  <c r="C29" i="1" s="1"/>
  <c r="F30" i="1"/>
  <c r="C30" i="1" s="1"/>
  <c r="F31" i="1"/>
  <c r="C31" i="1" s="1"/>
  <c r="F26" i="1"/>
  <c r="C26" i="1" s="1"/>
  <c r="C53" i="1"/>
  <c r="C52" i="1"/>
  <c r="F51" i="1"/>
  <c r="C51" i="1" s="1"/>
  <c r="C15" i="1"/>
  <c r="C16" i="1"/>
  <c r="C17" i="1"/>
  <c r="C21" i="1"/>
  <c r="C22" i="1"/>
  <c r="C23" i="1"/>
  <c r="C24" i="1"/>
  <c r="C25" i="1"/>
  <c r="C13" i="1"/>
  <c r="C12" i="1"/>
  <c r="C11" i="1"/>
  <c r="C10" i="1"/>
  <c r="C9" i="1"/>
  <c r="C8" i="1"/>
  <c r="C3" i="1"/>
  <c r="C4" i="1"/>
  <c r="C5" i="1"/>
  <c r="C6" i="1"/>
  <c r="C7" i="1"/>
  <c r="C2" i="1"/>
  <c r="C69" i="1" l="1"/>
</calcChain>
</file>

<file path=xl/sharedStrings.xml><?xml version="1.0" encoding="utf-8"?>
<sst xmlns="http://schemas.openxmlformats.org/spreadsheetml/2006/main" count="218" uniqueCount="79">
  <si>
    <t>prim_mov</t>
  </si>
  <si>
    <t>prim_fuel</t>
  </si>
  <si>
    <t>MC</t>
  </si>
  <si>
    <t>heat_rt</t>
  </si>
  <si>
    <t>FC</t>
  </si>
  <si>
    <t>VOM</t>
  </si>
  <si>
    <t>BIT</t>
  </si>
  <si>
    <t>All heat rates from</t>
  </si>
  <si>
    <t>LIG</t>
  </si>
  <si>
    <t>Electric Power Annual 2014, Table 8.2. Average Tested Heat Rates by Prime Mover and Energy Source, 2007 - 2014</t>
  </si>
  <si>
    <t>SC</t>
  </si>
  <si>
    <t>(Btu per Kilowatthour)</t>
  </si>
  <si>
    <t>SGC</t>
  </si>
  <si>
    <t>SUB</t>
  </si>
  <si>
    <t>AEO2015, Table 8.2. Cost and performance characteristics of new central station electricity generating technologies</t>
  </si>
  <si>
    <t>WC</t>
  </si>
  <si>
    <t>ST</t>
  </si>
  <si>
    <t>Fossil fuel categories and  FC from</t>
  </si>
  <si>
    <t>Electric Power Annual 2014, Table 7.1. Receipts, Average Cost, and Quality of Fossil Fuels for the Electric Power Industry, 2004 through 2014</t>
  </si>
  <si>
    <t>FC (LFG, MSB, WDS) from</t>
  </si>
  <si>
    <t>EIA State Energy Data System, 1960-2013 Table ET1</t>
  </si>
  <si>
    <t>DFO</t>
  </si>
  <si>
    <t>JF</t>
  </si>
  <si>
    <t>FC (PV)</t>
  </si>
  <si>
    <t>KER</t>
  </si>
  <si>
    <t>US DOE, The Falling Price of Utility-Scale Solar Photovoltaic Projects</t>
  </si>
  <si>
    <t>PC</t>
  </si>
  <si>
    <t>RFO</t>
  </si>
  <si>
    <t>WO</t>
  </si>
  <si>
    <t>Electric Power Annual 2014, Table 8.4. Average Power Plant Operating Expenses for Major U.S. Investor-Owned</t>
  </si>
  <si>
    <t>GT</t>
  </si>
  <si>
    <t>Electric Utilities, 2004 through 2014   (Mills per Kilowatthour)</t>
  </si>
  <si>
    <t>IC</t>
  </si>
  <si>
    <t>LFG</t>
  </si>
  <si>
    <t>CA</t>
  </si>
  <si>
    <t>CT</t>
  </si>
  <si>
    <t>NG</t>
  </si>
  <si>
    <t>CS</t>
  </si>
  <si>
    <t>NUC</t>
  </si>
  <si>
    <t>DG</t>
  </si>
  <si>
    <t>BLQ</t>
  </si>
  <si>
    <t>MSB</t>
  </si>
  <si>
    <t>OBS</t>
  </si>
  <si>
    <t>WDS</t>
  </si>
  <si>
    <t>HY</t>
  </si>
  <si>
    <t>WAT</t>
  </si>
  <si>
    <t>PV</t>
  </si>
  <si>
    <t>SUN</t>
  </si>
  <si>
    <t>WT</t>
  </si>
  <si>
    <t>WND</t>
  </si>
  <si>
    <t>fuel</t>
  </si>
  <si>
    <t>energy density</t>
  </si>
  <si>
    <t>MJ / kg</t>
  </si>
  <si>
    <t>MMBtu / ton</t>
  </si>
  <si>
    <t>$ / MMBtu</t>
  </si>
  <si>
    <t>price</t>
  </si>
  <si>
    <t>$ / ton</t>
  </si>
  <si>
    <t>Coal</t>
  </si>
  <si>
    <t>Petroleum</t>
  </si>
  <si>
    <t>Sources</t>
  </si>
  <si>
    <t>Energy density</t>
  </si>
  <si>
    <t>Price</t>
  </si>
  <si>
    <t>U.S. Energy Information Administration Form EIA-7A, 'Annual Survey of Coal Production and Preparation.'</t>
  </si>
  <si>
    <r>
      <t xml:space="preserve">B.R. Cooper and W.A. Ellingson. </t>
    </r>
    <r>
      <rPr>
        <i/>
        <sz val="11"/>
        <color theme="1"/>
        <rFont val="Calibri"/>
        <family val="2"/>
        <scheme val="minor"/>
      </rPr>
      <t>The Science and Technology of Coal and Coal Utilization</t>
    </r>
    <r>
      <rPr>
        <sz val="11"/>
        <color theme="1"/>
        <rFont val="Calibri"/>
        <family val="2"/>
        <scheme val="minor"/>
      </rPr>
      <t>, 1984.</t>
    </r>
  </si>
  <si>
    <t>U.S. Energy Information Administration, Refiner Petroleum Product Prices by Sales Type, 2016.</t>
  </si>
  <si>
    <t>U.S. Energy Information Administration, Monthly Energy Review April 2016</t>
  </si>
  <si>
    <t>MMBtu / barrel</t>
  </si>
  <si>
    <t>MMBtu / gal</t>
  </si>
  <si>
    <t>$ / gal</t>
  </si>
  <si>
    <t>For the following, some data was missing, so avg prices were used from</t>
  </si>
  <si>
    <t>FCs below here are written in</t>
  </si>
  <si>
    <t>coal FCs calculated on next sheet</t>
  </si>
  <si>
    <t>petroleum FCs calculated on next sheet</t>
  </si>
  <si>
    <t>VOM (IC, NUC, ST), Nuclear and Hydro FC from</t>
  </si>
  <si>
    <t>VOM (CA, CS, CT, DG, GT, HY, MSB, PV, WDS, WT) from</t>
  </si>
  <si>
    <t>MWH</t>
  </si>
  <si>
    <t>OBG</t>
  </si>
  <si>
    <t>had to average since some plants don't have prime mover listed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</si>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</sst>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zoomScale="85" zoomScaleNormal="85" workbookViewId="0">
      <selection activeCell="Q13" sqref="Q13"/>
    </sheetView>
  </sheetViews>
  <sheetFormatPr defaultRowHeight="14.5" x14ac:dyDescent="0.35"/>
  <sheetData>
    <row r="1" spans="1:1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" x14ac:dyDescent="0.25">
      <c r="A2" t="s">
        <v>16</v>
      </c>
      <c r="B2" t="s">
        <v>6</v>
      </c>
      <c r="C2">
        <f>($D2/(1000000))*$E2+$F2</f>
        <v>2.9871649104746392E-2</v>
      </c>
      <c r="D2">
        <v>10080</v>
      </c>
      <c r="E2">
        <f>INDEX(FCs!$E$3:$E$8, MATCH($B2, FCs!$A$3:$A$8, 0))</f>
        <v>2.0051239191216657</v>
      </c>
      <c r="F2">
        <f>9.66*0.001</f>
        <v>9.6600000000000002E-3</v>
      </c>
      <c r="G2" t="s">
        <v>71</v>
      </c>
      <c r="L2" t="s">
        <v>7</v>
      </c>
    </row>
    <row r="3" spans="1:12" ht="15" x14ac:dyDescent="0.25">
      <c r="A3" t="s">
        <v>16</v>
      </c>
      <c r="B3" t="s">
        <v>8</v>
      </c>
      <c r="C3">
        <f t="shared" ref="C3:C25" si="0">($D3/(1000000))*$E3+$F3</f>
        <v>2.3914464976311361E-2</v>
      </c>
      <c r="D3">
        <v>10080</v>
      </c>
      <c r="E3">
        <f>INDEX(FCs!$E$3:$E$8, MATCH($B3, FCs!$A$3:$A$8, 0))</f>
        <v>1.4141334301896191</v>
      </c>
      <c r="F3">
        <f t="shared" ref="F3:F13" si="1">9.66*0.001</f>
        <v>9.6600000000000002E-3</v>
      </c>
      <c r="L3" t="s">
        <v>9</v>
      </c>
    </row>
    <row r="4" spans="1:12" ht="15" x14ac:dyDescent="0.25">
      <c r="A4" t="s">
        <v>16</v>
      </c>
      <c r="B4" t="s">
        <v>10</v>
      </c>
      <c r="C4">
        <f t="shared" si="0"/>
        <v>3.3549599999999999E-2</v>
      </c>
      <c r="D4">
        <v>10080</v>
      </c>
      <c r="E4">
        <f>INDEX(FCs!$E$3:$E$8, MATCH($B4, FCs!$A$3:$A$8, 0))</f>
        <v>2.37</v>
      </c>
      <c r="F4">
        <f t="shared" si="1"/>
        <v>9.6600000000000002E-3</v>
      </c>
      <c r="L4" t="s">
        <v>11</v>
      </c>
    </row>
    <row r="5" spans="1:12" ht="15" x14ac:dyDescent="0.25">
      <c r="A5" t="s">
        <v>16</v>
      </c>
      <c r="B5" t="s">
        <v>12</v>
      </c>
      <c r="C5">
        <f t="shared" si="0"/>
        <v>3.3549599999999999E-2</v>
      </c>
      <c r="D5">
        <v>10080</v>
      </c>
      <c r="E5">
        <f>INDEX(FCs!$E$3:$E$8, MATCH($B5, FCs!$A$3:$A$8, 0))</f>
        <v>2.37</v>
      </c>
      <c r="F5">
        <f t="shared" si="1"/>
        <v>9.6600000000000002E-3</v>
      </c>
    </row>
    <row r="6" spans="1:12" ht="15" x14ac:dyDescent="0.25">
      <c r="A6" t="s">
        <v>16</v>
      </c>
      <c r="B6" t="s">
        <v>13</v>
      </c>
      <c r="C6">
        <f t="shared" si="0"/>
        <v>1.6302156519509441E-2</v>
      </c>
      <c r="D6">
        <v>10080</v>
      </c>
      <c r="E6">
        <f>INDEX(FCs!$E$3:$E$8, MATCH($B6, FCs!$A$3:$A$8, 0))</f>
        <v>0.65894409915768259</v>
      </c>
      <c r="F6">
        <f t="shared" si="1"/>
        <v>9.6600000000000002E-3</v>
      </c>
      <c r="L6" t="s">
        <v>14</v>
      </c>
    </row>
    <row r="7" spans="1:12" ht="15" x14ac:dyDescent="0.25">
      <c r="A7" t="s">
        <v>16</v>
      </c>
      <c r="B7" t="s">
        <v>15</v>
      </c>
      <c r="C7">
        <f t="shared" si="0"/>
        <v>3.3549599999999999E-2</v>
      </c>
      <c r="D7">
        <v>10080</v>
      </c>
      <c r="E7">
        <f>INDEX(FCs!$E$3:$E$8, MATCH($B7, FCs!$A$3:$A$8, 0))</f>
        <v>2.37</v>
      </c>
      <c r="F7">
        <f t="shared" si="1"/>
        <v>9.6600000000000002E-3</v>
      </c>
      <c r="L7" t="s">
        <v>11</v>
      </c>
    </row>
    <row r="8" spans="1:12" ht="15" x14ac:dyDescent="0.25">
      <c r="A8" t="s">
        <v>16</v>
      </c>
      <c r="B8" t="s">
        <v>21</v>
      </c>
      <c r="C8">
        <f t="shared" si="0"/>
        <v>0.14413508054737573</v>
      </c>
      <c r="D8">
        <v>10156</v>
      </c>
      <c r="E8">
        <f>INDEX(FCs!$E$12:$E$17, MATCH($B8, FCs!$A$12:$A$17, 0))</f>
        <v>13.240949246492294</v>
      </c>
      <c r="F8">
        <f t="shared" si="1"/>
        <v>9.6600000000000002E-3</v>
      </c>
      <c r="G8" t="s">
        <v>72</v>
      </c>
    </row>
    <row r="9" spans="1:12" ht="15" x14ac:dyDescent="0.25">
      <c r="A9" t="s">
        <v>16</v>
      </c>
      <c r="B9" t="s">
        <v>22</v>
      </c>
      <c r="C9">
        <f t="shared" si="0"/>
        <v>0.13284744380952382</v>
      </c>
      <c r="D9">
        <v>10156</v>
      </c>
      <c r="E9">
        <f>INDEX(FCs!$E$12:$E$17, MATCH($B9, FCs!$A$12:$A$17, 0))</f>
        <v>12.12952380952381</v>
      </c>
      <c r="F9">
        <f t="shared" si="1"/>
        <v>9.6600000000000002E-3</v>
      </c>
      <c r="L9" t="s">
        <v>17</v>
      </c>
    </row>
    <row r="10" spans="1:12" ht="15" x14ac:dyDescent="0.25">
      <c r="A10" t="s">
        <v>16</v>
      </c>
      <c r="B10" t="s">
        <v>24</v>
      </c>
      <c r="C10">
        <f t="shared" si="0"/>
        <v>0.22647179259259259</v>
      </c>
      <c r="D10">
        <v>10156</v>
      </c>
      <c r="E10">
        <f>INDEX(FCs!$E$12:$E$17, MATCH($B10, FCs!$A$12:$A$17, 0))</f>
        <v>21.348148148148148</v>
      </c>
      <c r="F10">
        <f t="shared" si="1"/>
        <v>9.6600000000000002E-3</v>
      </c>
      <c r="L10" t="s">
        <v>18</v>
      </c>
    </row>
    <row r="11" spans="1:12" ht="15" x14ac:dyDescent="0.25">
      <c r="A11" t="s">
        <v>16</v>
      </c>
      <c r="B11" t="s">
        <v>26</v>
      </c>
      <c r="C11">
        <f t="shared" si="0"/>
        <v>0.12746959999999999</v>
      </c>
      <c r="D11">
        <v>10156</v>
      </c>
      <c r="E11">
        <f>INDEX(FCs!$E$12:$E$17, MATCH($B11, FCs!$A$12:$A$17, 0))</f>
        <v>11.6</v>
      </c>
      <c r="F11">
        <f t="shared" si="1"/>
        <v>9.6600000000000002E-3</v>
      </c>
    </row>
    <row r="12" spans="1:12" ht="15" x14ac:dyDescent="0.25">
      <c r="A12" t="s">
        <v>16</v>
      </c>
      <c r="B12" t="s">
        <v>27</v>
      </c>
      <c r="C12">
        <f t="shared" si="0"/>
        <v>0.16712798983804383</v>
      </c>
      <c r="D12">
        <v>10156</v>
      </c>
      <c r="E12">
        <f>INDEX(FCs!$E$12:$E$17, MATCH($B12, FCs!$A$12:$A$17, 0))</f>
        <v>15.504922197523024</v>
      </c>
      <c r="F12">
        <f t="shared" si="1"/>
        <v>9.6600000000000002E-3</v>
      </c>
      <c r="L12" t="s">
        <v>19</v>
      </c>
    </row>
    <row r="13" spans="1:12" ht="15" x14ac:dyDescent="0.25">
      <c r="A13" t="s">
        <v>16</v>
      </c>
      <c r="B13" t="s">
        <v>28</v>
      </c>
      <c r="C13">
        <f t="shared" si="0"/>
        <v>0.12746959999999999</v>
      </c>
      <c r="D13">
        <v>10156</v>
      </c>
      <c r="E13">
        <f>INDEX(FCs!$E$12:$E$17, MATCH($B13, FCs!$A$12:$A$17, 0))</f>
        <v>11.6</v>
      </c>
      <c r="F13">
        <f t="shared" si="1"/>
        <v>9.6600000000000002E-3</v>
      </c>
      <c r="L13" t="s">
        <v>20</v>
      </c>
    </row>
    <row r="14" spans="1:12" ht="15" x14ac:dyDescent="0.25">
      <c r="A14" t="s">
        <v>30</v>
      </c>
      <c r="B14" t="s">
        <v>21</v>
      </c>
      <c r="C14">
        <f t="shared" si="0"/>
        <v>0.1936234540100468</v>
      </c>
      <c r="D14">
        <v>13457</v>
      </c>
      <c r="E14">
        <f>INDEX(FCs!$E$12:$E$17, MATCH($B14, FCs!$A$12:$A$17, 0))</f>
        <v>13.240949246492294</v>
      </c>
      <c r="F14">
        <f>15.44*0.001</f>
        <v>1.5440000000000001E-2</v>
      </c>
    </row>
    <row r="15" spans="1:12" ht="15" x14ac:dyDescent="0.25">
      <c r="A15" t="s">
        <v>30</v>
      </c>
      <c r="B15" t="s">
        <v>22</v>
      </c>
      <c r="C15">
        <f t="shared" si="0"/>
        <v>0.17866700190476192</v>
      </c>
      <c r="D15">
        <v>13457</v>
      </c>
      <c r="E15">
        <f>INDEX(FCs!$E$12:$E$17, MATCH($B15, FCs!$A$12:$A$17, 0))</f>
        <v>12.12952380952381</v>
      </c>
      <c r="F15">
        <f t="shared" ref="F15:F19" si="2">15.44*0.001</f>
        <v>1.5440000000000001E-2</v>
      </c>
      <c r="L15" t="s">
        <v>23</v>
      </c>
    </row>
    <row r="16" spans="1:12" ht="15" x14ac:dyDescent="0.25">
      <c r="A16" t="s">
        <v>30</v>
      </c>
      <c r="B16" t="s">
        <v>24</v>
      </c>
      <c r="C16">
        <f t="shared" si="0"/>
        <v>0.30272202962962963</v>
      </c>
      <c r="D16">
        <v>13457</v>
      </c>
      <c r="E16">
        <f>INDEX(FCs!$E$12:$E$17, MATCH($B16, FCs!$A$12:$A$17, 0))</f>
        <v>21.348148148148148</v>
      </c>
      <c r="F16">
        <f t="shared" si="2"/>
        <v>1.5440000000000001E-2</v>
      </c>
      <c r="L16" t="s">
        <v>25</v>
      </c>
    </row>
    <row r="17" spans="1:12" ht="15" x14ac:dyDescent="0.25">
      <c r="A17" t="s">
        <v>30</v>
      </c>
      <c r="B17" t="s">
        <v>26</v>
      </c>
      <c r="C17">
        <f t="shared" si="0"/>
        <v>0.1715412</v>
      </c>
      <c r="D17">
        <v>13457</v>
      </c>
      <c r="E17">
        <f>INDEX(FCs!$E$12:$E$17, MATCH($B17, FCs!$A$12:$A$17, 0))</f>
        <v>11.6</v>
      </c>
      <c r="F17">
        <f t="shared" si="2"/>
        <v>1.5440000000000001E-2</v>
      </c>
    </row>
    <row r="18" spans="1:12" ht="15" x14ac:dyDescent="0.25">
      <c r="A18" t="s">
        <v>30</v>
      </c>
      <c r="B18" t="s">
        <v>27</v>
      </c>
      <c r="C18">
        <f t="shared" si="0"/>
        <v>0.22408973801206736</v>
      </c>
      <c r="D18">
        <v>13457</v>
      </c>
      <c r="E18">
        <f>INDEX(FCs!$E$12:$E$17, MATCH($B18, FCs!$A$12:$A$17, 0))</f>
        <v>15.504922197523024</v>
      </c>
      <c r="F18">
        <f t="shared" si="2"/>
        <v>1.5440000000000001E-2</v>
      </c>
      <c r="L18" t="s">
        <v>73</v>
      </c>
    </row>
    <row r="19" spans="1:12" ht="15" x14ac:dyDescent="0.25">
      <c r="A19" t="s">
        <v>30</v>
      </c>
      <c r="B19" t="s">
        <v>28</v>
      </c>
      <c r="C19">
        <f t="shared" si="0"/>
        <v>0.1715412</v>
      </c>
      <c r="D19">
        <v>13457</v>
      </c>
      <c r="E19">
        <f>INDEX(FCs!$E$12:$E$17, MATCH($B19, FCs!$A$12:$A$17, 0))</f>
        <v>11.6</v>
      </c>
      <c r="F19">
        <f t="shared" si="2"/>
        <v>1.5440000000000001E-2</v>
      </c>
      <c r="L19" t="s">
        <v>29</v>
      </c>
    </row>
    <row r="20" spans="1:12" ht="15" x14ac:dyDescent="0.25">
      <c r="A20" t="s">
        <v>32</v>
      </c>
      <c r="B20" t="s">
        <v>21</v>
      </c>
      <c r="C20">
        <f t="shared" si="0"/>
        <v>0.14327559501125936</v>
      </c>
      <c r="D20">
        <v>10403</v>
      </c>
      <c r="E20">
        <f>INDEX(FCs!$E$12:$E$17, MATCH($B20, FCs!$A$12:$A$17, 0))</f>
        <v>13.240949246492294</v>
      </c>
      <c r="F20">
        <f>5.53*0.001</f>
        <v>5.5300000000000002E-3</v>
      </c>
      <c r="L20" t="s">
        <v>31</v>
      </c>
    </row>
    <row r="21" spans="1:12" ht="15" x14ac:dyDescent="0.25">
      <c r="A21" t="s">
        <v>32</v>
      </c>
      <c r="B21" t="s">
        <v>22</v>
      </c>
      <c r="C21">
        <f t="shared" si="0"/>
        <v>0.13171343619047621</v>
      </c>
      <c r="D21">
        <v>10403</v>
      </c>
      <c r="E21">
        <f>INDEX(FCs!$E$12:$E$17, MATCH($B21, FCs!$A$12:$A$17, 0))</f>
        <v>12.12952380952381</v>
      </c>
      <c r="F21">
        <f t="shared" ref="F21:F25" si="3">5.53*0.001</f>
        <v>5.5300000000000002E-3</v>
      </c>
    </row>
    <row r="22" spans="1:12" ht="15" x14ac:dyDescent="0.25">
      <c r="A22" t="s">
        <v>32</v>
      </c>
      <c r="B22" t="s">
        <v>24</v>
      </c>
      <c r="C22">
        <f t="shared" si="0"/>
        <v>0.22761478518518521</v>
      </c>
      <c r="D22">
        <v>10403</v>
      </c>
      <c r="E22">
        <f>INDEX(FCs!$E$12:$E$17, MATCH($B22, FCs!$A$12:$A$17, 0))</f>
        <v>21.348148148148148</v>
      </c>
      <c r="F22">
        <f t="shared" si="3"/>
        <v>5.5300000000000002E-3</v>
      </c>
      <c r="L22" t="s">
        <v>74</v>
      </c>
    </row>
    <row r="23" spans="1:12" ht="15" x14ac:dyDescent="0.25">
      <c r="A23" t="s">
        <v>32</v>
      </c>
      <c r="B23" t="s">
        <v>26</v>
      </c>
      <c r="C23">
        <f t="shared" si="0"/>
        <v>0.12620480000000001</v>
      </c>
      <c r="D23">
        <v>10403</v>
      </c>
      <c r="E23">
        <f>INDEX(FCs!$E$12:$E$17, MATCH($B23, FCs!$A$12:$A$17, 0))</f>
        <v>11.6</v>
      </c>
      <c r="F23">
        <f t="shared" si="3"/>
        <v>5.5300000000000002E-3</v>
      </c>
      <c r="L23" t="s">
        <v>14</v>
      </c>
    </row>
    <row r="24" spans="1:12" ht="15" x14ac:dyDescent="0.25">
      <c r="A24" t="s">
        <v>32</v>
      </c>
      <c r="B24" t="s">
        <v>27</v>
      </c>
      <c r="C24">
        <f t="shared" si="0"/>
        <v>0.16682770562083205</v>
      </c>
      <c r="D24">
        <v>10403</v>
      </c>
      <c r="E24">
        <f>INDEX(FCs!$E$12:$E$17, MATCH($B24, FCs!$A$12:$A$17, 0))</f>
        <v>15.504922197523024</v>
      </c>
      <c r="F24">
        <f t="shared" si="3"/>
        <v>5.5300000000000002E-3</v>
      </c>
      <c r="L24" t="s">
        <v>11</v>
      </c>
    </row>
    <row r="25" spans="1:12" ht="15" x14ac:dyDescent="0.25">
      <c r="A25" t="s">
        <v>32</v>
      </c>
      <c r="B25" t="s">
        <v>28</v>
      </c>
      <c r="C25">
        <f t="shared" si="0"/>
        <v>0.12620480000000001</v>
      </c>
      <c r="D25">
        <v>10403</v>
      </c>
      <c r="E25">
        <f>INDEX(FCs!$E$12:$E$17, MATCH($B25, FCs!$A$12:$A$17, 0))</f>
        <v>11.6</v>
      </c>
      <c r="F25">
        <f t="shared" si="3"/>
        <v>5.5300000000000002E-3</v>
      </c>
    </row>
    <row r="26" spans="1:12" ht="15" x14ac:dyDescent="0.25">
      <c r="A26" t="s">
        <v>34</v>
      </c>
      <c r="B26" t="s">
        <v>21</v>
      </c>
      <c r="C26">
        <f t="shared" ref="C26:C47" si="4">($D26/(1000000))*$E26+$F26</f>
        <v>0.13500318032218953</v>
      </c>
      <c r="D26">
        <v>9924</v>
      </c>
      <c r="E26">
        <f>INDEX(FCs!$E$12:$E$17, MATCH($B26, FCs!$A$12:$A$17, 0))</f>
        <v>13.240949246492294</v>
      </c>
      <c r="F26">
        <f>3.6*0.001</f>
        <v>3.6000000000000003E-3</v>
      </c>
    </row>
    <row r="27" spans="1:12" ht="15" x14ac:dyDescent="0.25">
      <c r="A27" t="s">
        <v>34</v>
      </c>
      <c r="B27" t="s">
        <v>22</v>
      </c>
      <c r="C27">
        <f t="shared" si="4"/>
        <v>0.12397339428571431</v>
      </c>
      <c r="D27">
        <v>9924</v>
      </c>
      <c r="E27">
        <f>INDEX(FCs!$E$12:$E$17, MATCH($B27, FCs!$A$12:$A$17, 0))</f>
        <v>12.12952380952381</v>
      </c>
      <c r="F27">
        <f t="shared" ref="F27:F37" si="5">3.6*0.001</f>
        <v>3.6000000000000003E-3</v>
      </c>
    </row>
    <row r="28" spans="1:12" x14ac:dyDescent="0.35">
      <c r="A28" t="s">
        <v>34</v>
      </c>
      <c r="B28" t="s">
        <v>24</v>
      </c>
      <c r="C28">
        <f t="shared" si="4"/>
        <v>0.21545902222222221</v>
      </c>
      <c r="D28">
        <v>9924</v>
      </c>
      <c r="E28">
        <f>INDEX(FCs!$E$12:$E$17, MATCH($B28, FCs!$A$12:$A$17, 0))</f>
        <v>21.348148148148148</v>
      </c>
      <c r="F28">
        <f t="shared" si="5"/>
        <v>3.6000000000000003E-3</v>
      </c>
    </row>
    <row r="29" spans="1:12" x14ac:dyDescent="0.35">
      <c r="A29" t="s">
        <v>34</v>
      </c>
      <c r="B29" t="s">
        <v>26</v>
      </c>
      <c r="C29">
        <f t="shared" si="4"/>
        <v>0.1187184</v>
      </c>
      <c r="D29">
        <v>9924</v>
      </c>
      <c r="E29">
        <f>INDEX(FCs!$E$12:$E$17, MATCH($B29, FCs!$A$12:$A$17, 0))</f>
        <v>11.6</v>
      </c>
      <c r="F29">
        <f t="shared" si="5"/>
        <v>3.6000000000000003E-3</v>
      </c>
    </row>
    <row r="30" spans="1:12" x14ac:dyDescent="0.35">
      <c r="A30" t="s">
        <v>34</v>
      </c>
      <c r="B30" t="s">
        <v>27</v>
      </c>
      <c r="C30">
        <f t="shared" si="4"/>
        <v>0.1574708478882185</v>
      </c>
      <c r="D30">
        <v>9924</v>
      </c>
      <c r="E30">
        <f>INDEX(FCs!$E$12:$E$17, MATCH($B30, FCs!$A$12:$A$17, 0))</f>
        <v>15.504922197523024</v>
      </c>
      <c r="F30">
        <f t="shared" si="5"/>
        <v>3.6000000000000003E-3</v>
      </c>
    </row>
    <row r="31" spans="1:12" x14ac:dyDescent="0.35">
      <c r="A31" t="s">
        <v>34</v>
      </c>
      <c r="B31" t="s">
        <v>28</v>
      </c>
      <c r="C31">
        <f t="shared" si="4"/>
        <v>0.1187184</v>
      </c>
      <c r="D31">
        <v>9924</v>
      </c>
      <c r="E31">
        <f>INDEX(FCs!$E$12:$E$17, MATCH($B31, FCs!$A$12:$A$17, 0))</f>
        <v>11.6</v>
      </c>
      <c r="F31">
        <f t="shared" si="5"/>
        <v>3.6000000000000003E-3</v>
      </c>
    </row>
    <row r="32" spans="1:12" x14ac:dyDescent="0.35">
      <c r="A32" t="s">
        <v>35</v>
      </c>
      <c r="B32" t="s">
        <v>21</v>
      </c>
      <c r="C32">
        <f t="shared" si="4"/>
        <v>0.13500318032218953</v>
      </c>
      <c r="D32">
        <v>9924</v>
      </c>
      <c r="E32">
        <f>INDEX(FCs!$E$12:$E$17, MATCH($B32, FCs!$A$12:$A$17, 0))</f>
        <v>13.240949246492294</v>
      </c>
      <c r="F32">
        <f>3.6*0.001</f>
        <v>3.6000000000000003E-3</v>
      </c>
    </row>
    <row r="33" spans="1:7" x14ac:dyDescent="0.35">
      <c r="A33" t="s">
        <v>35</v>
      </c>
      <c r="B33" t="s">
        <v>22</v>
      </c>
      <c r="C33">
        <f t="shared" si="4"/>
        <v>0.12397339428571431</v>
      </c>
      <c r="D33">
        <v>9924</v>
      </c>
      <c r="E33">
        <f>INDEX(FCs!$E$12:$E$17, MATCH($B33, FCs!$A$12:$A$17, 0))</f>
        <v>12.12952380952381</v>
      </c>
      <c r="F33">
        <f t="shared" si="5"/>
        <v>3.6000000000000003E-3</v>
      </c>
    </row>
    <row r="34" spans="1:7" x14ac:dyDescent="0.35">
      <c r="A34" t="s">
        <v>35</v>
      </c>
      <c r="B34" t="s">
        <v>24</v>
      </c>
      <c r="C34">
        <f t="shared" si="4"/>
        <v>0.21545902222222221</v>
      </c>
      <c r="D34">
        <v>9924</v>
      </c>
      <c r="E34">
        <f>INDEX(FCs!$E$12:$E$17, MATCH($B34, FCs!$A$12:$A$17, 0))</f>
        <v>21.348148148148148</v>
      </c>
      <c r="F34">
        <f t="shared" si="5"/>
        <v>3.6000000000000003E-3</v>
      </c>
    </row>
    <row r="35" spans="1:7" x14ac:dyDescent="0.35">
      <c r="A35" t="s">
        <v>35</v>
      </c>
      <c r="B35" t="s">
        <v>26</v>
      </c>
      <c r="C35">
        <f t="shared" si="4"/>
        <v>0.1187184</v>
      </c>
      <c r="D35">
        <v>9924</v>
      </c>
      <c r="E35">
        <f>INDEX(FCs!$E$12:$E$17, MATCH($B35, FCs!$A$12:$A$17, 0))</f>
        <v>11.6</v>
      </c>
      <c r="F35">
        <f t="shared" si="5"/>
        <v>3.6000000000000003E-3</v>
      </c>
    </row>
    <row r="36" spans="1:7" x14ac:dyDescent="0.35">
      <c r="A36" t="s">
        <v>35</v>
      </c>
      <c r="B36" t="s">
        <v>27</v>
      </c>
      <c r="C36">
        <f t="shared" si="4"/>
        <v>0.1574708478882185</v>
      </c>
      <c r="D36">
        <v>9924</v>
      </c>
      <c r="E36">
        <f>INDEX(FCs!$E$12:$E$17, MATCH($B36, FCs!$A$12:$A$17, 0))</f>
        <v>15.504922197523024</v>
      </c>
      <c r="F36">
        <f t="shared" si="5"/>
        <v>3.6000000000000003E-3</v>
      </c>
    </row>
    <row r="37" spans="1:7" x14ac:dyDescent="0.35">
      <c r="A37" t="s">
        <v>35</v>
      </c>
      <c r="B37" t="s">
        <v>28</v>
      </c>
      <c r="C37">
        <f t="shared" si="4"/>
        <v>0.1187184</v>
      </c>
      <c r="D37">
        <v>9924</v>
      </c>
      <c r="E37">
        <f>INDEX(FCs!$E$12:$E$17, MATCH($B37, FCs!$A$12:$A$17, 0))</f>
        <v>11.6</v>
      </c>
      <c r="F37">
        <f t="shared" si="5"/>
        <v>3.6000000000000003E-3</v>
      </c>
    </row>
    <row r="38" spans="1:7" x14ac:dyDescent="0.35">
      <c r="A38" t="s">
        <v>32</v>
      </c>
      <c r="B38" t="s">
        <v>33</v>
      </c>
      <c r="C38">
        <f t="shared" si="4"/>
        <v>5.8434609999999998E-2</v>
      </c>
      <c r="D38">
        <v>13959</v>
      </c>
      <c r="E38">
        <v>3.79</v>
      </c>
      <c r="F38">
        <f t="shared" ref="F38" si="6">5.53*0.001</f>
        <v>5.5300000000000002E-3</v>
      </c>
      <c r="G38" t="s">
        <v>70</v>
      </c>
    </row>
    <row r="39" spans="1:7" x14ac:dyDescent="0.35">
      <c r="A39" t="s">
        <v>16</v>
      </c>
      <c r="B39" t="s">
        <v>36</v>
      </c>
      <c r="C39">
        <f t="shared" si="4"/>
        <v>6.1700000000000005E-2</v>
      </c>
      <c r="D39">
        <v>10408</v>
      </c>
      <c r="E39">
        <v>5</v>
      </c>
      <c r="F39">
        <f t="shared" ref="F39" si="7">9.66*0.001</f>
        <v>9.6600000000000002E-3</v>
      </c>
    </row>
    <row r="40" spans="1:7" x14ac:dyDescent="0.35">
      <c r="A40" t="s">
        <v>30</v>
      </c>
      <c r="B40" t="s">
        <v>36</v>
      </c>
      <c r="C40">
        <f t="shared" si="4"/>
        <v>7.2329999999999992E-2</v>
      </c>
      <c r="D40">
        <v>11378</v>
      </c>
      <c r="E40">
        <v>5</v>
      </c>
      <c r="F40">
        <f t="shared" ref="F40" si="8">15.44*0.001</f>
        <v>1.5440000000000001E-2</v>
      </c>
    </row>
    <row r="41" spans="1:7" x14ac:dyDescent="0.35">
      <c r="A41" t="s">
        <v>32</v>
      </c>
      <c r="B41" t="s">
        <v>36</v>
      </c>
      <c r="C41">
        <f t="shared" si="4"/>
        <v>5.2405E-2</v>
      </c>
      <c r="D41">
        <v>9375</v>
      </c>
      <c r="E41">
        <v>5</v>
      </c>
      <c r="F41">
        <f t="shared" ref="F41" si="9">5.53*0.001</f>
        <v>5.5300000000000002E-3</v>
      </c>
    </row>
    <row r="42" spans="1:7" x14ac:dyDescent="0.35">
      <c r="A42" t="s">
        <v>34</v>
      </c>
      <c r="B42" t="s">
        <v>36</v>
      </c>
      <c r="C42">
        <f t="shared" si="4"/>
        <v>4.1889999999999997E-2</v>
      </c>
      <c r="D42">
        <v>7658</v>
      </c>
      <c r="E42">
        <v>5</v>
      </c>
      <c r="F42">
        <f t="shared" ref="F42:F44" si="10">3.6*0.001</f>
        <v>3.6000000000000003E-3</v>
      </c>
    </row>
    <row r="43" spans="1:7" x14ac:dyDescent="0.35">
      <c r="A43" t="s">
        <v>37</v>
      </c>
      <c r="B43" t="s">
        <v>36</v>
      </c>
      <c r="C43">
        <f t="shared" si="4"/>
        <v>4.1889999999999997E-2</v>
      </c>
      <c r="D43">
        <v>7658</v>
      </c>
      <c r="E43">
        <v>5</v>
      </c>
      <c r="F43">
        <f t="shared" si="10"/>
        <v>3.6000000000000003E-3</v>
      </c>
    </row>
    <row r="44" spans="1:7" x14ac:dyDescent="0.35">
      <c r="A44" t="s">
        <v>35</v>
      </c>
      <c r="B44" t="s">
        <v>36</v>
      </c>
      <c r="C44">
        <f t="shared" si="4"/>
        <v>4.1889999999999997E-2</v>
      </c>
      <c r="D44">
        <v>7658</v>
      </c>
      <c r="E44">
        <v>5</v>
      </c>
      <c r="F44">
        <f t="shared" si="10"/>
        <v>3.6000000000000003E-3</v>
      </c>
    </row>
    <row r="45" spans="1:7" x14ac:dyDescent="0.35">
      <c r="A45" t="s">
        <v>34</v>
      </c>
      <c r="B45" t="s">
        <v>39</v>
      </c>
      <c r="C45">
        <f t="shared" si="4"/>
        <v>5.6425000000000003E-2</v>
      </c>
      <c r="D45">
        <v>13500</v>
      </c>
      <c r="E45">
        <v>3.79</v>
      </c>
      <c r="F45">
        <f>5.26*0.001</f>
        <v>5.2599999999999999E-3</v>
      </c>
    </row>
    <row r="46" spans="1:7" x14ac:dyDescent="0.35">
      <c r="A46" t="s">
        <v>16</v>
      </c>
      <c r="B46" t="s">
        <v>39</v>
      </c>
      <c r="C46">
        <f t="shared" si="4"/>
        <v>5.6425000000000003E-2</v>
      </c>
      <c r="D46">
        <v>13500</v>
      </c>
      <c r="E46">
        <v>3.79</v>
      </c>
      <c r="F46">
        <f>5.26*0.001</f>
        <v>5.2599999999999999E-3</v>
      </c>
    </row>
    <row r="47" spans="1:7" x14ac:dyDescent="0.35">
      <c r="A47" t="s">
        <v>16</v>
      </c>
      <c r="B47" t="s">
        <v>40</v>
      </c>
      <c r="C47">
        <f t="shared" si="4"/>
        <v>5.6425000000000003E-2</v>
      </c>
      <c r="D47">
        <v>13500</v>
      </c>
      <c r="E47">
        <v>3.79</v>
      </c>
      <c r="F47">
        <f>5.26*0.001</f>
        <v>5.2599999999999999E-3</v>
      </c>
    </row>
    <row r="48" spans="1:7" x14ac:dyDescent="0.35">
      <c r="A48" t="s">
        <v>16</v>
      </c>
      <c r="B48" t="s">
        <v>41</v>
      </c>
      <c r="C48">
        <f t="shared" ref="C48:C53" si="11">($D48/(1000000))*$E48+$F48</f>
        <v>6.5127619999999997E-2</v>
      </c>
      <c r="D48">
        <v>14878</v>
      </c>
      <c r="E48">
        <v>3.79</v>
      </c>
      <c r="F48">
        <f>8.74*0.001</f>
        <v>8.7400000000000012E-3</v>
      </c>
    </row>
    <row r="49" spans="1:6" x14ac:dyDescent="0.35">
      <c r="A49" t="s">
        <v>16</v>
      </c>
      <c r="B49" t="s">
        <v>42</v>
      </c>
      <c r="C49">
        <f t="shared" si="11"/>
        <v>5.6425000000000003E-2</v>
      </c>
      <c r="D49">
        <v>13500</v>
      </c>
      <c r="E49">
        <v>3.79</v>
      </c>
      <c r="F49">
        <f>5.26*0.001</f>
        <v>5.2599999999999999E-3</v>
      </c>
    </row>
    <row r="50" spans="1:6" x14ac:dyDescent="0.35">
      <c r="A50" t="s">
        <v>16</v>
      </c>
      <c r="B50" t="s">
        <v>43</v>
      </c>
      <c r="C50">
        <f t="shared" si="11"/>
        <v>5.6425000000000003E-2</v>
      </c>
      <c r="D50">
        <v>13500</v>
      </c>
      <c r="E50">
        <v>3.79</v>
      </c>
      <c r="F50">
        <f>5.26*0.001</f>
        <v>5.2599999999999999E-3</v>
      </c>
    </row>
    <row r="51" spans="1:6" x14ac:dyDescent="0.35">
      <c r="A51" t="s">
        <v>44</v>
      </c>
      <c r="B51" t="s">
        <v>45</v>
      </c>
      <c r="C51">
        <f t="shared" si="11"/>
        <v>1.1900000000000001E-2</v>
      </c>
      <c r="D51">
        <v>9756</v>
      </c>
      <c r="E51">
        <v>0</v>
      </c>
      <c r="F51">
        <f>11.9*0.001</f>
        <v>1.1900000000000001E-2</v>
      </c>
    </row>
    <row r="52" spans="1:6" x14ac:dyDescent="0.35">
      <c r="A52" t="s">
        <v>46</v>
      </c>
      <c r="B52" t="s">
        <v>47</v>
      </c>
      <c r="C52">
        <f t="shared" si="11"/>
        <v>0</v>
      </c>
      <c r="D52">
        <v>9756</v>
      </c>
      <c r="E52">
        <v>0</v>
      </c>
      <c r="F52">
        <v>0</v>
      </c>
    </row>
    <row r="53" spans="1:6" x14ac:dyDescent="0.35">
      <c r="A53" t="s">
        <v>48</v>
      </c>
      <c r="B53" t="s">
        <v>49</v>
      </c>
      <c r="C53">
        <f t="shared" si="11"/>
        <v>0</v>
      </c>
      <c r="D53">
        <v>9756</v>
      </c>
      <c r="E53">
        <v>0</v>
      </c>
      <c r="F53">
        <v>0</v>
      </c>
    </row>
    <row r="54" spans="1:6" x14ac:dyDescent="0.35">
      <c r="A54" t="s">
        <v>16</v>
      </c>
      <c r="B54" t="s">
        <v>38</v>
      </c>
      <c r="C54">
        <f>$D54*$E54+$F54</f>
        <v>2.6790000000000001E-2</v>
      </c>
      <c r="D54">
        <v>1</v>
      </c>
      <c r="E54">
        <f>7.71*0.001</f>
        <v>7.7099999999999998E-3</v>
      </c>
      <c r="F54">
        <f>19.08*0.001</f>
        <v>1.908E-2</v>
      </c>
    </row>
    <row r="55" spans="1:6" x14ac:dyDescent="0.35">
      <c r="A55" t="s">
        <v>78</v>
      </c>
      <c r="B55" t="s">
        <v>75</v>
      </c>
    </row>
    <row r="56" spans="1:6" x14ac:dyDescent="0.35">
      <c r="A56" t="s">
        <v>78</v>
      </c>
      <c r="B56" t="s">
        <v>6</v>
      </c>
      <c r="C56">
        <f>($D56/(1000000))*$E56+$F56</f>
        <v>2.9871649104746392E-2</v>
      </c>
      <c r="D56">
        <v>10080</v>
      </c>
      <c r="E56">
        <f>INDEX(FCs!$E$3:$E$8, MATCH($B56, FCs!$A$3:$A$8, 0))</f>
        <v>2.0051239191216657</v>
      </c>
      <c r="F56">
        <f>9.66*0.001</f>
        <v>9.6600000000000002E-3</v>
      </c>
    </row>
    <row r="57" spans="1:6" x14ac:dyDescent="0.35">
      <c r="A57" t="s">
        <v>78</v>
      </c>
      <c r="B57" t="s">
        <v>8</v>
      </c>
      <c r="C57">
        <f t="shared" ref="C57:C68" si="12">($D57/(1000000))*$E57+$F57</f>
        <v>2.3914464976311361E-2</v>
      </c>
      <c r="D57">
        <v>10080</v>
      </c>
      <c r="E57">
        <f>INDEX(FCs!$E$3:$E$8, MATCH($B57, FCs!$A$3:$A$8, 0))</f>
        <v>1.4141334301896191</v>
      </c>
      <c r="F57">
        <f t="shared" ref="F57:F67" si="13">9.66*0.001</f>
        <v>9.6600000000000002E-3</v>
      </c>
    </row>
    <row r="58" spans="1:6" x14ac:dyDescent="0.35">
      <c r="A58" t="s">
        <v>78</v>
      </c>
      <c r="B58" t="s">
        <v>10</v>
      </c>
      <c r="C58">
        <f t="shared" si="12"/>
        <v>3.3549599999999999E-2</v>
      </c>
      <c r="D58">
        <v>10080</v>
      </c>
      <c r="E58">
        <f>INDEX(FCs!$E$3:$E$8, MATCH($B58, FCs!$A$3:$A$8, 0))</f>
        <v>2.37</v>
      </c>
      <c r="F58">
        <f t="shared" si="13"/>
        <v>9.6600000000000002E-3</v>
      </c>
    </row>
    <row r="59" spans="1:6" x14ac:dyDescent="0.35">
      <c r="A59" t="s">
        <v>78</v>
      </c>
      <c r="B59" t="s">
        <v>12</v>
      </c>
      <c r="C59">
        <f t="shared" si="12"/>
        <v>3.3549599999999999E-2</v>
      </c>
      <c r="D59">
        <v>10080</v>
      </c>
      <c r="E59">
        <f>INDEX(FCs!$E$3:$E$8, MATCH($B59, FCs!$A$3:$A$8, 0))</f>
        <v>2.37</v>
      </c>
      <c r="F59">
        <f t="shared" si="13"/>
        <v>9.6600000000000002E-3</v>
      </c>
    </row>
    <row r="60" spans="1:6" x14ac:dyDescent="0.35">
      <c r="A60" t="s">
        <v>78</v>
      </c>
      <c r="B60" t="s">
        <v>13</v>
      </c>
      <c r="C60">
        <f t="shared" si="12"/>
        <v>1.6302156519509441E-2</v>
      </c>
      <c r="D60">
        <v>10080</v>
      </c>
      <c r="E60">
        <f>INDEX(FCs!$E$3:$E$8, MATCH($B60, FCs!$A$3:$A$8, 0))</f>
        <v>0.65894409915768259</v>
      </c>
      <c r="F60">
        <f t="shared" si="13"/>
        <v>9.6600000000000002E-3</v>
      </c>
    </row>
    <row r="61" spans="1:6" x14ac:dyDescent="0.35">
      <c r="A61" t="s">
        <v>78</v>
      </c>
      <c r="B61" t="s">
        <v>15</v>
      </c>
      <c r="C61">
        <f t="shared" si="12"/>
        <v>3.3549599999999999E-2</v>
      </c>
      <c r="D61">
        <v>10080</v>
      </c>
      <c r="E61">
        <f>INDEX(FCs!$E$3:$E$8, MATCH($B61, FCs!$A$3:$A$8, 0))</f>
        <v>2.37</v>
      </c>
      <c r="F61">
        <f t="shared" si="13"/>
        <v>9.6600000000000002E-3</v>
      </c>
    </row>
    <row r="62" spans="1:6" x14ac:dyDescent="0.35">
      <c r="A62" t="s">
        <v>78</v>
      </c>
      <c r="B62" t="s">
        <v>21</v>
      </c>
      <c r="C62">
        <f t="shared" si="12"/>
        <v>0.14413508054737573</v>
      </c>
      <c r="D62">
        <v>10156</v>
      </c>
      <c r="E62">
        <f>INDEX(FCs!$E$12:$E$17, MATCH($B62, FCs!$A$12:$A$17, 0))</f>
        <v>13.240949246492294</v>
      </c>
      <c r="F62">
        <f t="shared" si="13"/>
        <v>9.6600000000000002E-3</v>
      </c>
    </row>
    <row r="63" spans="1:6" x14ac:dyDescent="0.35">
      <c r="A63" t="s">
        <v>78</v>
      </c>
      <c r="B63" t="s">
        <v>22</v>
      </c>
      <c r="C63">
        <f t="shared" si="12"/>
        <v>0.13284744380952382</v>
      </c>
      <c r="D63">
        <v>10156</v>
      </c>
      <c r="E63">
        <f>INDEX(FCs!$E$12:$E$17, MATCH($B63, FCs!$A$12:$A$17, 0))</f>
        <v>12.12952380952381</v>
      </c>
      <c r="F63">
        <f t="shared" si="13"/>
        <v>9.6600000000000002E-3</v>
      </c>
    </row>
    <row r="64" spans="1:6" x14ac:dyDescent="0.35">
      <c r="A64" t="s">
        <v>78</v>
      </c>
      <c r="B64" t="s">
        <v>24</v>
      </c>
      <c r="C64">
        <f t="shared" si="12"/>
        <v>0.22647179259259259</v>
      </c>
      <c r="D64">
        <v>10156</v>
      </c>
      <c r="E64">
        <f>INDEX(FCs!$E$12:$E$17, MATCH($B64, FCs!$A$12:$A$17, 0))</f>
        <v>21.348148148148148</v>
      </c>
      <c r="F64">
        <f t="shared" si="13"/>
        <v>9.6600000000000002E-3</v>
      </c>
    </row>
    <row r="65" spans="1:7" x14ac:dyDescent="0.35">
      <c r="A65" t="s">
        <v>78</v>
      </c>
      <c r="B65" t="s">
        <v>26</v>
      </c>
      <c r="C65">
        <f t="shared" si="12"/>
        <v>0.12746959999999999</v>
      </c>
      <c r="D65">
        <v>10156</v>
      </c>
      <c r="E65">
        <f>INDEX(FCs!$E$12:$E$17, MATCH($B65, FCs!$A$12:$A$17, 0))</f>
        <v>11.6</v>
      </c>
      <c r="F65">
        <f t="shared" si="13"/>
        <v>9.6600000000000002E-3</v>
      </c>
    </row>
    <row r="66" spans="1:7" x14ac:dyDescent="0.35">
      <c r="A66" t="s">
        <v>78</v>
      </c>
      <c r="B66" t="s">
        <v>27</v>
      </c>
      <c r="C66">
        <f t="shared" si="12"/>
        <v>0.16712798983804383</v>
      </c>
      <c r="D66">
        <v>10156</v>
      </c>
      <c r="E66">
        <f>INDEX(FCs!$E$12:$E$17, MATCH($B66, FCs!$A$12:$A$17, 0))</f>
        <v>15.504922197523024</v>
      </c>
      <c r="F66">
        <f t="shared" si="13"/>
        <v>9.6600000000000002E-3</v>
      </c>
    </row>
    <row r="67" spans="1:7" x14ac:dyDescent="0.35">
      <c r="A67" t="s">
        <v>78</v>
      </c>
      <c r="B67" t="s">
        <v>28</v>
      </c>
      <c r="C67">
        <f t="shared" si="12"/>
        <v>0.12746959999999999</v>
      </c>
      <c r="D67">
        <v>10156</v>
      </c>
      <c r="E67">
        <f>INDEX(FCs!$E$12:$E$17, MATCH($B67, FCs!$A$12:$A$17, 0))</f>
        <v>11.6</v>
      </c>
      <c r="F67">
        <f t="shared" si="13"/>
        <v>9.6600000000000002E-3</v>
      </c>
    </row>
    <row r="68" spans="1:7" x14ac:dyDescent="0.35">
      <c r="A68" t="s">
        <v>78</v>
      </c>
      <c r="B68" t="s">
        <v>33</v>
      </c>
      <c r="C68">
        <f t="shared" si="12"/>
        <v>5.8434609999999998E-2</v>
      </c>
      <c r="D68">
        <v>13959</v>
      </c>
      <c r="E68">
        <v>3.79</v>
      </c>
      <c r="F68">
        <f t="shared" ref="F68" si="14">5.53*0.001</f>
        <v>5.5300000000000002E-3</v>
      </c>
    </row>
    <row r="69" spans="1:7" x14ac:dyDescent="0.35">
      <c r="A69" t="s">
        <v>78</v>
      </c>
      <c r="B69" t="s">
        <v>36</v>
      </c>
      <c r="C69">
        <f>AVERAGE(C39:C44)</f>
        <v>5.2017499999999994E-2</v>
      </c>
    </row>
    <row r="70" spans="1:7" x14ac:dyDescent="0.35">
      <c r="A70" t="s">
        <v>78</v>
      </c>
      <c r="B70" t="s">
        <v>39</v>
      </c>
      <c r="C70">
        <f t="shared" ref="C70:C71" si="15">($D70/(1000000))*$E70+$F70</f>
        <v>5.6425000000000003E-2</v>
      </c>
      <c r="D70">
        <v>13500</v>
      </c>
      <c r="E70">
        <v>3.79</v>
      </c>
      <c r="F70">
        <f>5.26*0.001</f>
        <v>5.2599999999999999E-3</v>
      </c>
      <c r="G70" t="s">
        <v>77</v>
      </c>
    </row>
    <row r="71" spans="1:7" x14ac:dyDescent="0.35">
      <c r="A71" t="s">
        <v>78</v>
      </c>
      <c r="B71" t="s">
        <v>40</v>
      </c>
      <c r="C71">
        <f t="shared" si="15"/>
        <v>5.6425000000000003E-2</v>
      </c>
      <c r="D71">
        <v>13500</v>
      </c>
      <c r="E71">
        <v>3.79</v>
      </c>
      <c r="F71">
        <f>5.26*0.001</f>
        <v>5.2599999999999999E-3</v>
      </c>
    </row>
    <row r="72" spans="1:7" x14ac:dyDescent="0.35">
      <c r="A72" t="s">
        <v>78</v>
      </c>
      <c r="B72" t="s">
        <v>41</v>
      </c>
      <c r="C72">
        <f t="shared" ref="C72:C78" si="16">($D72/(1000000))*$E72+$F72</f>
        <v>6.5127619999999997E-2</v>
      </c>
      <c r="D72">
        <v>14878</v>
      </c>
      <c r="E72">
        <v>3.79</v>
      </c>
      <c r="F72">
        <f>8.74*0.001</f>
        <v>8.7400000000000012E-3</v>
      </c>
    </row>
    <row r="73" spans="1:7" x14ac:dyDescent="0.35">
      <c r="A73" t="s">
        <v>78</v>
      </c>
      <c r="B73" t="s">
        <v>76</v>
      </c>
      <c r="C73">
        <f t="shared" si="16"/>
        <v>5.6425000000000003E-2</v>
      </c>
      <c r="D73">
        <v>13500</v>
      </c>
      <c r="E73">
        <v>3.79</v>
      </c>
      <c r="F73">
        <f>5.26*0.001</f>
        <v>5.2599999999999999E-3</v>
      </c>
    </row>
    <row r="74" spans="1:7" x14ac:dyDescent="0.35">
      <c r="A74" t="s">
        <v>78</v>
      </c>
      <c r="B74" t="s">
        <v>42</v>
      </c>
      <c r="C74">
        <f t="shared" si="16"/>
        <v>5.6425000000000003E-2</v>
      </c>
      <c r="D74">
        <v>13500</v>
      </c>
      <c r="E74">
        <v>3.79</v>
      </c>
      <c r="F74">
        <f>5.26*0.001</f>
        <v>5.2599999999999999E-3</v>
      </c>
    </row>
    <row r="75" spans="1:7" x14ac:dyDescent="0.35">
      <c r="A75" t="s">
        <v>78</v>
      </c>
      <c r="B75" t="s">
        <v>43</v>
      </c>
      <c r="C75">
        <f t="shared" si="16"/>
        <v>5.6425000000000003E-2</v>
      </c>
      <c r="D75">
        <v>13500</v>
      </c>
      <c r="E75">
        <v>3.79</v>
      </c>
      <c r="F75">
        <f>5.26*0.001</f>
        <v>5.2599999999999999E-3</v>
      </c>
    </row>
    <row r="76" spans="1:7" x14ac:dyDescent="0.35">
      <c r="A76" t="s">
        <v>78</v>
      </c>
      <c r="B76" t="s">
        <v>45</v>
      </c>
      <c r="C76">
        <f t="shared" si="16"/>
        <v>1.1900000000000001E-2</v>
      </c>
      <c r="D76">
        <v>9756</v>
      </c>
      <c r="E76">
        <v>0</v>
      </c>
      <c r="F76">
        <f>11.9*0.001</f>
        <v>1.1900000000000001E-2</v>
      </c>
    </row>
    <row r="77" spans="1:7" x14ac:dyDescent="0.35">
      <c r="A77" t="s">
        <v>78</v>
      </c>
      <c r="B77" t="s">
        <v>47</v>
      </c>
      <c r="C77">
        <f t="shared" si="16"/>
        <v>0</v>
      </c>
      <c r="D77">
        <v>9756</v>
      </c>
      <c r="E77">
        <v>0</v>
      </c>
      <c r="F77">
        <v>0</v>
      </c>
    </row>
    <row r="78" spans="1:7" x14ac:dyDescent="0.35">
      <c r="A78" t="s">
        <v>78</v>
      </c>
      <c r="B78" t="s">
        <v>49</v>
      </c>
      <c r="C78">
        <f t="shared" si="16"/>
        <v>0</v>
      </c>
      <c r="D78">
        <v>9756</v>
      </c>
      <c r="E78">
        <v>0</v>
      </c>
      <c r="F78">
        <v>0</v>
      </c>
    </row>
    <row r="79" spans="1:7" x14ac:dyDescent="0.35">
      <c r="A79" t="s">
        <v>78</v>
      </c>
      <c r="B79" t="s">
        <v>38</v>
      </c>
      <c r="C79">
        <f>$D79*$E79+$F79</f>
        <v>2.6790000000000001E-2</v>
      </c>
      <c r="D79">
        <v>1</v>
      </c>
      <c r="E79">
        <f>7.71*0.001</f>
        <v>7.7099999999999998E-3</v>
      </c>
      <c r="F79">
        <f>19.08*0.001</f>
        <v>1.908E-2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3" sqref="K3"/>
    </sheetView>
  </sheetViews>
  <sheetFormatPr defaultRowHeight="14.5" x14ac:dyDescent="0.35"/>
  <cols>
    <col min="2" max="2" width="14.54296875" bestFit="1" customWidth="1"/>
    <col min="3" max="3" width="12.1796875" bestFit="1" customWidth="1"/>
    <col min="7" max="7" width="10.1796875" bestFit="1" customWidth="1"/>
  </cols>
  <sheetData>
    <row r="1" spans="1:12" x14ac:dyDescent="0.25">
      <c r="A1" t="s">
        <v>50</v>
      </c>
      <c r="B1" t="s">
        <v>51</v>
      </c>
      <c r="D1" t="s">
        <v>55</v>
      </c>
      <c r="E1" t="s">
        <v>4</v>
      </c>
      <c r="I1" t="s">
        <v>59</v>
      </c>
      <c r="K1" t="s">
        <v>57</v>
      </c>
      <c r="L1" t="s">
        <v>58</v>
      </c>
    </row>
    <row r="2" spans="1:12" x14ac:dyDescent="0.25">
      <c r="B2" t="s">
        <v>52</v>
      </c>
      <c r="C2" t="s">
        <v>53</v>
      </c>
      <c r="D2" t="s">
        <v>56</v>
      </c>
      <c r="E2" t="s">
        <v>54</v>
      </c>
      <c r="I2" t="s">
        <v>60</v>
      </c>
      <c r="K2" t="s">
        <v>63</v>
      </c>
      <c r="L2" t="s">
        <v>65</v>
      </c>
    </row>
    <row r="3" spans="1:12" x14ac:dyDescent="0.25">
      <c r="A3" t="s">
        <v>6</v>
      </c>
      <c r="B3">
        <v>32.5</v>
      </c>
      <c r="C3">
        <f>(907.186/1055.87)*B3</f>
        <v>27.9234612215519</v>
      </c>
      <c r="D3">
        <v>55.99</v>
      </c>
      <c r="E3">
        <f>D3/C3</f>
        <v>2.0051239191216657</v>
      </c>
      <c r="I3" t="s">
        <v>61</v>
      </c>
      <c r="K3" t="s">
        <v>62</v>
      </c>
      <c r="L3" t="s">
        <v>64</v>
      </c>
    </row>
    <row r="4" spans="1:12" x14ac:dyDescent="0.25">
      <c r="A4" t="s">
        <v>8</v>
      </c>
      <c r="B4">
        <v>16</v>
      </c>
      <c r="C4">
        <f t="shared" ref="C4:C8" si="0">(907.186/1055.87)*B4</f>
        <v>13.746934755225551</v>
      </c>
      <c r="D4">
        <v>19.440000000000001</v>
      </c>
      <c r="E4">
        <f>D4/C4</f>
        <v>1.4141334301896191</v>
      </c>
    </row>
    <row r="5" spans="1:12" x14ac:dyDescent="0.25">
      <c r="A5" t="s">
        <v>10</v>
      </c>
      <c r="B5">
        <v>26</v>
      </c>
      <c r="C5">
        <f t="shared" si="0"/>
        <v>22.338768977241521</v>
      </c>
      <c r="E5">
        <v>2.37</v>
      </c>
      <c r="I5" t="s">
        <v>69</v>
      </c>
    </row>
    <row r="6" spans="1:12" x14ac:dyDescent="0.25">
      <c r="A6" t="s">
        <v>12</v>
      </c>
      <c r="B6">
        <v>26</v>
      </c>
      <c r="C6">
        <f t="shared" si="0"/>
        <v>22.338768977241521</v>
      </c>
      <c r="E6">
        <v>2.37</v>
      </c>
      <c r="I6" t="s">
        <v>18</v>
      </c>
    </row>
    <row r="7" spans="1:12" x14ac:dyDescent="0.25">
      <c r="A7" t="s">
        <v>13</v>
      </c>
      <c r="B7">
        <v>26</v>
      </c>
      <c r="C7">
        <f t="shared" si="0"/>
        <v>22.338768977241521</v>
      </c>
      <c r="D7">
        <v>14.72</v>
      </c>
      <c r="E7">
        <f>D7/C7</f>
        <v>0.65894409915768259</v>
      </c>
    </row>
    <row r="8" spans="1:12" x14ac:dyDescent="0.25">
      <c r="A8" t="s">
        <v>15</v>
      </c>
      <c r="B8">
        <v>26</v>
      </c>
      <c r="C8">
        <f t="shared" si="0"/>
        <v>22.338768977241521</v>
      </c>
      <c r="E8">
        <v>2.37</v>
      </c>
    </row>
    <row r="11" spans="1:12" x14ac:dyDescent="0.25">
      <c r="B11" t="s">
        <v>66</v>
      </c>
      <c r="C11" t="s">
        <v>67</v>
      </c>
      <c r="D11" t="s">
        <v>68</v>
      </c>
      <c r="E11" t="s">
        <v>54</v>
      </c>
    </row>
    <row r="12" spans="1:12" x14ac:dyDescent="0.25">
      <c r="A12" t="s">
        <v>21</v>
      </c>
      <c r="B12">
        <v>5.7729999999999997</v>
      </c>
      <c r="C12">
        <f>$B12/42</f>
        <v>0.13745238095238094</v>
      </c>
      <c r="D12">
        <v>1.82</v>
      </c>
      <c r="E12">
        <f>D12/C12</f>
        <v>13.240949246492294</v>
      </c>
    </row>
    <row r="13" spans="1:12" x14ac:dyDescent="0.25">
      <c r="A13" t="s">
        <v>22</v>
      </c>
      <c r="B13">
        <f>AVERAGE(5.67, 5.355)</f>
        <v>5.5125000000000002</v>
      </c>
      <c r="C13">
        <f>$B13/42</f>
        <v>0.13125000000000001</v>
      </c>
      <c r="D13">
        <v>1.5920000000000001</v>
      </c>
      <c r="E13">
        <f>D13/C13</f>
        <v>12.12952380952381</v>
      </c>
    </row>
    <row r="14" spans="1:12" x14ac:dyDescent="0.25">
      <c r="A14" t="s">
        <v>24</v>
      </c>
      <c r="B14">
        <v>5.67</v>
      </c>
      <c r="C14">
        <f>$B14/42</f>
        <v>0.13500000000000001</v>
      </c>
      <c r="D14">
        <v>2.8820000000000001</v>
      </c>
      <c r="E14">
        <f>D14/C14</f>
        <v>21.348148148148148</v>
      </c>
    </row>
    <row r="15" spans="1:12" x14ac:dyDescent="0.25">
      <c r="A15" t="s">
        <v>26</v>
      </c>
      <c r="B15">
        <v>6.1</v>
      </c>
      <c r="C15">
        <f>$B15/42</f>
        <v>0.14523809523809522</v>
      </c>
      <c r="E15">
        <v>11.6</v>
      </c>
    </row>
    <row r="16" spans="1:12" x14ac:dyDescent="0.25">
      <c r="A16" t="s">
        <v>27</v>
      </c>
      <c r="B16">
        <v>6.298</v>
      </c>
      <c r="C16">
        <f>$B16/42</f>
        <v>0.14995238095238095</v>
      </c>
      <c r="D16">
        <v>2.3250000000000002</v>
      </c>
      <c r="E16">
        <f>D16/C16</f>
        <v>15.504922197523024</v>
      </c>
    </row>
    <row r="17" spans="1:5" x14ac:dyDescent="0.25">
      <c r="A17" t="s">
        <v>28</v>
      </c>
      <c r="E17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marg_costs</vt:lpstr>
      <vt:lpstr>FCs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</dc:creator>
  <cp:lastModifiedBy>Julian Ricardo</cp:lastModifiedBy>
  <dcterms:created xsi:type="dcterms:W3CDTF">2016-04-30T16:59:13Z</dcterms:created>
  <dcterms:modified xsi:type="dcterms:W3CDTF">2016-07-16T11:52:48Z</dcterms:modified>
</cp:coreProperties>
</file>