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jriya\Downloads\"/>
    </mc:Choice>
  </mc:AlternateContent>
  <xr:revisionPtr revIDLastSave="0" documentId="13_ncr:1_{F674CE3F-7CA0-460D-BF59-75EF2D0E3C20}" xr6:coauthVersionLast="47" xr6:coauthVersionMax="47" xr10:uidLastSave="{00000000-0000-0000-0000-000000000000}"/>
  <bookViews>
    <workbookView xWindow="-108" yWindow="-108" windowWidth="23256" windowHeight="12456" tabRatio="902" firstSheet="1" activeTab="2" xr2:uid="{55428C2A-A917-403F-8318-3C941BDE5046}"/>
  </bookViews>
  <sheets>
    <sheet name="Nz_staff" sheetId="1" r:id="rId1"/>
    <sheet name="India_stuff" sheetId="2" r:id="rId2"/>
    <sheet name="Staff" sheetId="5" r:id="rId3"/>
    <sheet name="Info Finder" sheetId="6" r:id="rId4"/>
    <sheet name="male vs female" sheetId="8" r:id="rId5"/>
    <sheet name="Top 10" sheetId="9" r:id="rId6"/>
    <sheet name="salary spread" sheetId="10" r:id="rId7"/>
    <sheet name="salary vs rating" sheetId="11" r:id="rId8"/>
    <sheet name="Number of people" sheetId="14" r:id="rId9"/>
    <sheet name="Report" sheetId="15" r:id="rId10"/>
    <sheet name="Sheet3" sheetId="16" r:id="rId11"/>
    <sheet name="Sheet2" sheetId="13" r:id="rId12"/>
  </sheets>
  <definedNames>
    <definedName name="_xlchart.v1.0" hidden="1">Staff!$G$2:$G$184</definedName>
    <definedName name="_xlchart.v1.1" hidden="1">Staff!$G$1</definedName>
    <definedName name="_xlchart.v1.2" hidden="1">Staff!$G$2:$G$184</definedName>
    <definedName name="_xlcn.WorksheetConnection_Employeedata.xlsxStaff" hidden="1">Staff[]</definedName>
    <definedName name="ExternalData_3" localSheetId="2" hidden="1">Staff!$A$1:$H$184</definedName>
    <definedName name="Slicer_Country">#N/A</definedName>
  </definedNames>
  <calcPr calcId="191029"/>
  <pivotCaches>
    <pivotCache cacheId="0" r:id="rId13"/>
    <pivotCache cacheId="1" r:id="rId14"/>
    <pivotCache cacheId="2" r:id="rId15"/>
    <pivotCache cacheId="3" r:id="rId16"/>
    <pivotCache cacheId="4" r:id="rId17"/>
  </pivotCaches>
  <extLst>
    <ext xmlns:x14="http://schemas.microsoft.com/office/spreadsheetml/2009/9/main" uri="{876F7934-8845-4945-9796-88D515C7AA90}">
      <x14:pivotCaches>
        <pivotCache cacheId="5" r:id="rId18"/>
      </x14:pivotCaches>
    </ext>
    <ext xmlns:x14="http://schemas.microsoft.com/office/spreadsheetml/2009/9/main" uri="{BBE1A952-AA13-448e-AADC-164F8A28A991}">
      <x14:slicerCaches>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Employee data @.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4" i="15" l="1"/>
  <c r="K4" i="15"/>
  <c r="M4" i="15"/>
  <c r="H4" i="15"/>
  <c r="D4" i="15"/>
  <c r="F4" i="15" s="1"/>
  <c r="A3" i="14" a="1"/>
  <c r="A3" i="14" s="1"/>
  <c r="B3" i="14" s="1" a="1"/>
  <c r="B3" i="14" s="1"/>
  <c r="C3" i="14" s="1"/>
  <c r="K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C7" i="6"/>
  <c r="Q6" i="5"/>
  <c r="Q7" i="5"/>
  <c r="P10" i="5"/>
  <c r="P7" i="5"/>
  <c r="P6" i="5"/>
  <c r="P5" i="5"/>
  <c r="I2" i="5"/>
  <c r="J2" i="5" s="1"/>
  <c r="I3" i="5"/>
  <c r="J3" i="5" s="1"/>
  <c r="I4" i="5"/>
  <c r="J4" i="5" s="1"/>
  <c r="I5" i="5"/>
  <c r="J5" i="5" s="1"/>
  <c r="I6" i="5"/>
  <c r="J6" i="5" s="1"/>
  <c r="I7" i="5"/>
  <c r="J7" i="5" s="1"/>
  <c r="I8" i="5"/>
  <c r="J8" i="5" s="1"/>
  <c r="I9" i="5"/>
  <c r="J9" i="5" s="1"/>
  <c r="I10" i="5"/>
  <c r="J10" i="5" s="1"/>
  <c r="I11" i="5"/>
  <c r="J11" i="5" s="1"/>
  <c r="I12" i="5"/>
  <c r="J12" i="5" s="1"/>
  <c r="I13" i="5"/>
  <c r="J13" i="5" s="1"/>
  <c r="I14" i="5"/>
  <c r="J14" i="5" s="1"/>
  <c r="I15" i="5"/>
  <c r="J15" i="5" s="1"/>
  <c r="I16" i="5"/>
  <c r="J16" i="5" s="1"/>
  <c r="I17" i="5"/>
  <c r="J17" i="5" s="1"/>
  <c r="I18" i="5"/>
  <c r="J18" i="5" s="1"/>
  <c r="I19" i="5"/>
  <c r="J19" i="5" s="1"/>
  <c r="I20" i="5"/>
  <c r="J20" i="5" s="1"/>
  <c r="I21" i="5"/>
  <c r="J21" i="5" s="1"/>
  <c r="I22" i="5"/>
  <c r="J22" i="5" s="1"/>
  <c r="I23" i="5"/>
  <c r="J23" i="5" s="1"/>
  <c r="I24" i="5"/>
  <c r="J24" i="5" s="1"/>
  <c r="I25" i="5"/>
  <c r="J25" i="5" s="1"/>
  <c r="I26" i="5"/>
  <c r="J26" i="5" s="1"/>
  <c r="I27" i="5"/>
  <c r="J27" i="5" s="1"/>
  <c r="I28" i="5"/>
  <c r="J28" i="5" s="1"/>
  <c r="I29" i="5"/>
  <c r="J29" i="5" s="1"/>
  <c r="I30" i="5"/>
  <c r="J30" i="5" s="1"/>
  <c r="I31" i="5"/>
  <c r="J31" i="5" s="1"/>
  <c r="I32" i="5"/>
  <c r="J32" i="5" s="1"/>
  <c r="I33" i="5"/>
  <c r="J33" i="5" s="1"/>
  <c r="I34" i="5"/>
  <c r="J34" i="5" s="1"/>
  <c r="I35" i="5"/>
  <c r="J35" i="5" s="1"/>
  <c r="I36" i="5"/>
  <c r="J36" i="5" s="1"/>
  <c r="I37" i="5"/>
  <c r="J37" i="5" s="1"/>
  <c r="I38" i="5"/>
  <c r="J38" i="5" s="1"/>
  <c r="I39" i="5"/>
  <c r="J39" i="5" s="1"/>
  <c r="I40" i="5"/>
  <c r="J40" i="5" s="1"/>
  <c r="I41" i="5"/>
  <c r="J41" i="5" s="1"/>
  <c r="I42" i="5"/>
  <c r="J42" i="5" s="1"/>
  <c r="I43" i="5"/>
  <c r="J43" i="5" s="1"/>
  <c r="I44" i="5"/>
  <c r="J44" i="5" s="1"/>
  <c r="I45" i="5"/>
  <c r="J45" i="5" s="1"/>
  <c r="I46" i="5"/>
  <c r="J46" i="5" s="1"/>
  <c r="I47" i="5"/>
  <c r="J47" i="5" s="1"/>
  <c r="I48" i="5"/>
  <c r="J48" i="5" s="1"/>
  <c r="I49" i="5"/>
  <c r="J49" i="5" s="1"/>
  <c r="I50" i="5"/>
  <c r="J50" i="5" s="1"/>
  <c r="I51" i="5"/>
  <c r="J51" i="5" s="1"/>
  <c r="I52" i="5"/>
  <c r="J52" i="5" s="1"/>
  <c r="I53" i="5"/>
  <c r="J53" i="5" s="1"/>
  <c r="I54" i="5"/>
  <c r="J54" i="5" s="1"/>
  <c r="I55" i="5"/>
  <c r="J55" i="5" s="1"/>
  <c r="I56" i="5"/>
  <c r="J56" i="5" s="1"/>
  <c r="I57" i="5"/>
  <c r="J57" i="5" s="1"/>
  <c r="I58" i="5"/>
  <c r="J58" i="5" s="1"/>
  <c r="I59" i="5"/>
  <c r="J59" i="5" s="1"/>
  <c r="I60" i="5"/>
  <c r="J60" i="5" s="1"/>
  <c r="I61" i="5"/>
  <c r="J61" i="5" s="1"/>
  <c r="I62" i="5"/>
  <c r="J62" i="5" s="1"/>
  <c r="I63" i="5"/>
  <c r="J63" i="5" s="1"/>
  <c r="I64" i="5"/>
  <c r="J64" i="5" s="1"/>
  <c r="I65" i="5"/>
  <c r="J65" i="5" s="1"/>
  <c r="I66" i="5"/>
  <c r="J66" i="5" s="1"/>
  <c r="I67" i="5"/>
  <c r="J67" i="5" s="1"/>
  <c r="I68" i="5"/>
  <c r="J68" i="5" s="1"/>
  <c r="I69" i="5"/>
  <c r="J69" i="5" s="1"/>
  <c r="I70" i="5"/>
  <c r="J70" i="5" s="1"/>
  <c r="I71" i="5"/>
  <c r="J71" i="5" s="1"/>
  <c r="I72" i="5"/>
  <c r="J72" i="5" s="1"/>
  <c r="I73" i="5"/>
  <c r="J73" i="5" s="1"/>
  <c r="I74" i="5"/>
  <c r="J74" i="5" s="1"/>
  <c r="I75" i="5"/>
  <c r="J75" i="5" s="1"/>
  <c r="I76" i="5"/>
  <c r="J76" i="5" s="1"/>
  <c r="I77" i="5"/>
  <c r="J77" i="5" s="1"/>
  <c r="I78" i="5"/>
  <c r="J78" i="5" s="1"/>
  <c r="I79" i="5"/>
  <c r="J79" i="5" s="1"/>
  <c r="I80" i="5"/>
  <c r="J80" i="5" s="1"/>
  <c r="I81" i="5"/>
  <c r="J81" i="5" s="1"/>
  <c r="I82" i="5"/>
  <c r="J82" i="5" s="1"/>
  <c r="I83" i="5"/>
  <c r="J83" i="5" s="1"/>
  <c r="I84" i="5"/>
  <c r="J84" i="5" s="1"/>
  <c r="I85" i="5"/>
  <c r="J85" i="5" s="1"/>
  <c r="I86" i="5"/>
  <c r="J86" i="5" s="1"/>
  <c r="I87" i="5"/>
  <c r="J87" i="5" s="1"/>
  <c r="I88" i="5"/>
  <c r="J88" i="5" s="1"/>
  <c r="I89" i="5"/>
  <c r="J89" i="5" s="1"/>
  <c r="I90" i="5"/>
  <c r="J90" i="5" s="1"/>
  <c r="I91" i="5"/>
  <c r="J91" i="5" s="1"/>
  <c r="I92" i="5"/>
  <c r="J92" i="5" s="1"/>
  <c r="I93" i="5"/>
  <c r="J93" i="5" s="1"/>
  <c r="I94" i="5"/>
  <c r="J94" i="5" s="1"/>
  <c r="I95" i="5"/>
  <c r="J95" i="5" s="1"/>
  <c r="I96" i="5"/>
  <c r="J96" i="5" s="1"/>
  <c r="I97" i="5"/>
  <c r="J97" i="5" s="1"/>
  <c r="I98" i="5"/>
  <c r="J98" i="5" s="1"/>
  <c r="I99" i="5"/>
  <c r="J99" i="5" s="1"/>
  <c r="I100" i="5"/>
  <c r="J100" i="5" s="1"/>
  <c r="I101" i="5"/>
  <c r="J101" i="5" s="1"/>
  <c r="I102" i="5"/>
  <c r="J102" i="5" s="1"/>
  <c r="I103" i="5"/>
  <c r="J103" i="5" s="1"/>
  <c r="I104" i="5"/>
  <c r="J104" i="5" s="1"/>
  <c r="I105" i="5"/>
  <c r="J105" i="5" s="1"/>
  <c r="I106" i="5"/>
  <c r="J106" i="5" s="1"/>
  <c r="I107" i="5"/>
  <c r="J107" i="5" s="1"/>
  <c r="I108" i="5"/>
  <c r="J108" i="5" s="1"/>
  <c r="I109" i="5"/>
  <c r="J109" i="5" s="1"/>
  <c r="I110" i="5"/>
  <c r="J110" i="5" s="1"/>
  <c r="I111" i="5"/>
  <c r="J111" i="5" s="1"/>
  <c r="I112" i="5"/>
  <c r="J112" i="5" s="1"/>
  <c r="I113" i="5"/>
  <c r="J113" i="5" s="1"/>
  <c r="I114" i="5"/>
  <c r="J114" i="5" s="1"/>
  <c r="I115" i="5"/>
  <c r="J115" i="5" s="1"/>
  <c r="I116" i="5"/>
  <c r="J116" i="5" s="1"/>
  <c r="I117" i="5"/>
  <c r="J117" i="5" s="1"/>
  <c r="I118" i="5"/>
  <c r="J118" i="5" s="1"/>
  <c r="I119" i="5"/>
  <c r="J119" i="5" s="1"/>
  <c r="I120" i="5"/>
  <c r="J120" i="5" s="1"/>
  <c r="I121" i="5"/>
  <c r="J121" i="5" s="1"/>
  <c r="I122" i="5"/>
  <c r="J122" i="5" s="1"/>
  <c r="I123" i="5"/>
  <c r="J123" i="5" s="1"/>
  <c r="I124" i="5"/>
  <c r="J124" i="5" s="1"/>
  <c r="I125" i="5"/>
  <c r="J125" i="5" s="1"/>
  <c r="I126" i="5"/>
  <c r="J126" i="5" s="1"/>
  <c r="I127" i="5"/>
  <c r="J127" i="5" s="1"/>
  <c r="I128" i="5"/>
  <c r="J128" i="5" s="1"/>
  <c r="I129" i="5"/>
  <c r="J129" i="5" s="1"/>
  <c r="I130" i="5"/>
  <c r="J130" i="5" s="1"/>
  <c r="I131" i="5"/>
  <c r="J131" i="5" s="1"/>
  <c r="I132" i="5"/>
  <c r="J132" i="5" s="1"/>
  <c r="I133" i="5"/>
  <c r="J133" i="5" s="1"/>
  <c r="I134" i="5"/>
  <c r="J134" i="5" s="1"/>
  <c r="I135" i="5"/>
  <c r="J135" i="5" s="1"/>
  <c r="I136" i="5"/>
  <c r="J136" i="5" s="1"/>
  <c r="I137" i="5"/>
  <c r="J137" i="5" s="1"/>
  <c r="I138" i="5"/>
  <c r="J138" i="5" s="1"/>
  <c r="I139" i="5"/>
  <c r="J139" i="5" s="1"/>
  <c r="I140" i="5"/>
  <c r="J140" i="5" s="1"/>
  <c r="I141" i="5"/>
  <c r="J141" i="5" s="1"/>
  <c r="I142" i="5"/>
  <c r="J142" i="5" s="1"/>
  <c r="I143" i="5"/>
  <c r="J143" i="5" s="1"/>
  <c r="I144" i="5"/>
  <c r="J144" i="5" s="1"/>
  <c r="I145" i="5"/>
  <c r="J145" i="5" s="1"/>
  <c r="I146" i="5"/>
  <c r="J146" i="5" s="1"/>
  <c r="I147" i="5"/>
  <c r="J147" i="5" s="1"/>
  <c r="I148" i="5"/>
  <c r="J148" i="5" s="1"/>
  <c r="I149" i="5"/>
  <c r="J149" i="5" s="1"/>
  <c r="I150" i="5"/>
  <c r="J150" i="5" s="1"/>
  <c r="I151" i="5"/>
  <c r="J151" i="5" s="1"/>
  <c r="I152" i="5"/>
  <c r="J152" i="5" s="1"/>
  <c r="I153" i="5"/>
  <c r="J153" i="5" s="1"/>
  <c r="I154" i="5"/>
  <c r="J154" i="5" s="1"/>
  <c r="I155" i="5"/>
  <c r="J155" i="5" s="1"/>
  <c r="I156" i="5"/>
  <c r="J156" i="5" s="1"/>
  <c r="I157" i="5"/>
  <c r="J157" i="5" s="1"/>
  <c r="I158" i="5"/>
  <c r="J158" i="5" s="1"/>
  <c r="I159" i="5"/>
  <c r="J159" i="5" s="1"/>
  <c r="I160" i="5"/>
  <c r="J160" i="5" s="1"/>
  <c r="I161" i="5"/>
  <c r="J161" i="5" s="1"/>
  <c r="I162" i="5"/>
  <c r="J162" i="5" s="1"/>
  <c r="I163" i="5"/>
  <c r="J163" i="5" s="1"/>
  <c r="I164" i="5"/>
  <c r="J164" i="5" s="1"/>
  <c r="I165" i="5"/>
  <c r="J165" i="5" s="1"/>
  <c r="I166" i="5"/>
  <c r="J166" i="5" s="1"/>
  <c r="I167" i="5"/>
  <c r="J167" i="5" s="1"/>
  <c r="I168" i="5"/>
  <c r="J168" i="5" s="1"/>
  <c r="I169" i="5"/>
  <c r="J169" i="5" s="1"/>
  <c r="I170" i="5"/>
  <c r="J170" i="5" s="1"/>
  <c r="I171" i="5"/>
  <c r="J171" i="5" s="1"/>
  <c r="I172" i="5"/>
  <c r="J172" i="5" s="1"/>
  <c r="I173" i="5"/>
  <c r="J173" i="5" s="1"/>
  <c r="I174" i="5"/>
  <c r="J174" i="5" s="1"/>
  <c r="I175" i="5"/>
  <c r="J175" i="5" s="1"/>
  <c r="I176" i="5"/>
  <c r="J176" i="5" s="1"/>
  <c r="I177" i="5"/>
  <c r="J177" i="5" s="1"/>
  <c r="I178" i="5"/>
  <c r="J178" i="5" s="1"/>
  <c r="I179" i="5"/>
  <c r="J179" i="5" s="1"/>
  <c r="I180" i="5"/>
  <c r="J180" i="5" s="1"/>
  <c r="I181" i="5"/>
  <c r="J181" i="5" s="1"/>
  <c r="I182" i="5"/>
  <c r="J182" i="5" s="1"/>
  <c r="I183" i="5"/>
  <c r="J183" i="5" s="1"/>
  <c r="I184" i="5"/>
  <c r="J184" i="5" s="1"/>
  <c r="C115" i="2"/>
  <c r="G115" i="2"/>
  <c r="D105" i="1"/>
  <c r="F105" i="1"/>
  <c r="G105" i="1"/>
  <c r="D3" i="14" l="1"/>
  <c r="C31" i="14"/>
  <c r="C15" i="14"/>
  <c r="C38" i="14"/>
  <c r="C22" i="14"/>
  <c r="C6" i="14"/>
  <c r="C29" i="14"/>
  <c r="C13" i="14"/>
  <c r="C36" i="14"/>
  <c r="C20" i="14"/>
  <c r="C12" i="14"/>
  <c r="C27" i="14"/>
  <c r="C23" i="14"/>
  <c r="C7" i="14"/>
  <c r="C30" i="14"/>
  <c r="C14" i="14"/>
  <c r="C37" i="14"/>
  <c r="C21" i="14"/>
  <c r="C5" i="14"/>
  <c r="C28" i="14"/>
  <c r="C4" i="14"/>
  <c r="D4" i="14" s="1"/>
  <c r="C35" i="14"/>
  <c r="C19" i="14"/>
  <c r="C11" i="14"/>
  <c r="C34" i="14"/>
  <c r="C26" i="14"/>
  <c r="C18" i="14"/>
  <c r="C10" i="14"/>
  <c r="C33" i="14"/>
  <c r="C25" i="14"/>
  <c r="C17" i="14"/>
  <c r="C9" i="14"/>
  <c r="C32" i="14"/>
  <c r="C24" i="14"/>
  <c r="C16" i="14"/>
  <c r="C8" i="14"/>
  <c r="P11" i="5"/>
  <c r="B11" i="6" a="1"/>
  <c r="B11" i="6" s="1"/>
  <c r="P17" i="5" a="1"/>
  <c r="P17" i="5" s="1"/>
  <c r="P8" i="5"/>
  <c r="D26" i="14" l="1"/>
  <c r="D25" i="14"/>
  <c r="D21" i="14"/>
  <c r="D10" i="14"/>
  <c r="D9" i="14"/>
  <c r="D38" i="14"/>
  <c r="D13" i="14"/>
  <c r="D17" i="14"/>
  <c r="D24" i="14"/>
  <c r="D5" i="14"/>
  <c r="D22" i="14"/>
  <c r="D35" i="14"/>
  <c r="D16" i="14"/>
  <c r="D14" i="14"/>
  <c r="D28" i="14"/>
  <c r="D27" i="14"/>
  <c r="D19" i="14"/>
  <c r="D31" i="14"/>
  <c r="D6" i="14"/>
  <c r="D20" i="14"/>
  <c r="D11" i="14"/>
  <c r="D18" i="14"/>
  <c r="D23" i="14"/>
  <c r="D37" i="14"/>
  <c r="D12" i="14"/>
  <c r="D7" i="14"/>
  <c r="D30" i="14"/>
  <c r="D32" i="14"/>
  <c r="D8" i="14"/>
  <c r="D36" i="14"/>
  <c r="D34" i="14"/>
  <c r="D33" i="14"/>
  <c r="D15" i="14"/>
  <c r="D29"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3AD275-75D8-413E-99D9-3B2D2D18C144}" keepAlive="1" name="Query - F_staff" description="Connection to the 'F_staff' query in the workbook." type="5" refreshedVersion="0" background="1" saveData="1">
    <dbPr connection="Provider=Microsoft.Mashup.OleDb.1;Data Source=$Workbook$;Location=F_staff;Extended Properties=&quot;&quot;" command="SELECT * FROM [F_staff]"/>
  </connection>
  <connection id="2" xr16:uid="{261ADFFD-B67B-4221-878A-FF80AF2CE4BB}" keepAlive="1" name="Query - India_staff" description="Connection to the 'India_staff' query in the workbook." type="5" refreshedVersion="0" background="1" saveData="1">
    <dbPr connection="Provider=Microsoft.Mashup.OleDb.1;Data Source=$Workbook$;Location=India_staff;Extended Properties=&quot;&quot;" command="SELECT * FROM [India_staff]"/>
  </connection>
  <connection id="3" xr16:uid="{E3A263F6-C70E-4A2C-AD0D-2CF346B7A26D}"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F1CEB552-0A15-473A-B51E-BD9B8E0071A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9BCF3489-24AD-4188-B14E-FCE6E888D68D}" name="WorksheetConnection_Employee data @.xlsx!Staff" type="102" refreshedVersion="8" minRefreshableVersion="5">
    <extLst>
      <ext xmlns:x15="http://schemas.microsoft.com/office/spreadsheetml/2010/11/main" uri="{DE250136-89BD-433C-8126-D09CA5730AF9}">
        <x15:connection id="Staff" autoDelete="1">
          <x15:rangePr sourceName="_xlcn.WorksheetConnection_Employeedata.xlsxStaff"/>
        </x15:connection>
      </ext>
    </extLst>
  </connection>
</connections>
</file>

<file path=xl/metadata.xml><?xml version="1.0" encoding="utf-8"?>
<metadata xmlns="http://schemas.openxmlformats.org/spreadsheetml/2006/main" xmlns:xda="http://schemas.microsoft.com/office/spreadsheetml/2017/dynamicarray">
  <metadataTypes count="2">
    <metadataType name="XLDAPR" minSupportedVersion="120000" copy="1" pasteAll="1" pasteValues="1" merge="1" splitFirst="1" rowColShift="1" clearFormats="1" clearComments="1" assign="1" coerce="1" cellMeta="1"/>
    <metadataType name="XLMDX" minSupportedVersion="120000" copy="1" pasteAll="1" pasteValues="1" merge="1" splitFirst="1" rowColShift="1" clearFormats="1" clearComments="1" assign="1" coerce="1"/>
  </metadataTypes>
  <metadataStrings count="3">
    <s v="ThisWorkbookDataModel"/>
    <s v="{[Staff].[Country].&amp;[NZ]}"/>
    <s v="{[Staff].[Country].&amp;[IND]}"/>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1" v="0"/>
    </bk>
  </cellMetadata>
  <valueMetadata count="2">
    <bk>
      <rc t="2" v="0"/>
    </bk>
    <bk>
      <rc t="2" v="1"/>
    </bk>
  </valueMetadata>
</metadata>
</file>

<file path=xl/sharedStrings.xml><?xml version="1.0" encoding="utf-8"?>
<sst xmlns="http://schemas.openxmlformats.org/spreadsheetml/2006/main" count="1920" uniqueCount="244">
  <si>
    <t>Name</t>
  </si>
  <si>
    <t>Gender</t>
  </si>
  <si>
    <t>Department</t>
  </si>
  <si>
    <t>Age</t>
  </si>
  <si>
    <t>Date Joined</t>
  </si>
  <si>
    <t>Salary</t>
  </si>
  <si>
    <t>Rating</t>
  </si>
  <si>
    <t>Lindy Guillet</t>
  </si>
  <si>
    <t>Male</t>
  </si>
  <si>
    <t>Sales</t>
  </si>
  <si>
    <t>Above average</t>
  </si>
  <si>
    <t>Ambros Murthwaite</t>
  </si>
  <si>
    <t>Procurement</t>
  </si>
  <si>
    <t>Average</t>
  </si>
  <si>
    <t>Tatum Hush</t>
  </si>
  <si>
    <t>Female</t>
  </si>
  <si>
    <t>Benny Karolovsky</t>
  </si>
  <si>
    <t>Finance</t>
  </si>
  <si>
    <t>Poor</t>
  </si>
  <si>
    <t>Hoyt D'Alesco</t>
  </si>
  <si>
    <t>Halimeda Kuscha</t>
  </si>
  <si>
    <t>Erin Androsik</t>
  </si>
  <si>
    <t>Vic Radolf</t>
  </si>
  <si>
    <t>Website</t>
  </si>
  <si>
    <t>William Reeveley</t>
  </si>
  <si>
    <t>Ewart Laphorn</t>
  </si>
  <si>
    <t>HR</t>
  </si>
  <si>
    <t>Bev Lashley</t>
  </si>
  <si>
    <t>Kath Bletsoe</t>
  </si>
  <si>
    <t>Murry Dryburgh</t>
  </si>
  <si>
    <t>Kaine Padly</t>
  </si>
  <si>
    <t>Kassi Jonson</t>
  </si>
  <si>
    <t>Simon Kembery</t>
  </si>
  <si>
    <t>Orton Livick</t>
  </si>
  <si>
    <t>Kelci Walkden</t>
  </si>
  <si>
    <t>Dotty Strutley</t>
  </si>
  <si>
    <t>Shari McNee</t>
  </si>
  <si>
    <t>Oby Sorrel</t>
  </si>
  <si>
    <t>Husein Augar</t>
  </si>
  <si>
    <t>Brien Boise</t>
  </si>
  <si>
    <t>Esmaria Denecamp</t>
  </si>
  <si>
    <t>Curtice Advani</t>
  </si>
  <si>
    <t>Barr Faughny</t>
  </si>
  <si>
    <t>Exceptional</t>
  </si>
  <si>
    <t>Merrilee Plenty</t>
  </si>
  <si>
    <t>Niall Selesnick</t>
  </si>
  <si>
    <t>Beverie Moffet</t>
  </si>
  <si>
    <t>Jehu Rudeforth</t>
  </si>
  <si>
    <t>Camilla Castle</t>
  </si>
  <si>
    <t>Very poor</t>
  </si>
  <si>
    <t>Roddy Speechley</t>
  </si>
  <si>
    <t>Gray Seamon</t>
  </si>
  <si>
    <t>Madelene Upcott</t>
  </si>
  <si>
    <t>Violante Courtonne</t>
  </si>
  <si>
    <t>Bernie Gorges</t>
  </si>
  <si>
    <t>Torrance Collier</t>
  </si>
  <si>
    <t>Dyna Doucette</t>
  </si>
  <si>
    <t>Gunar Cockshoot</t>
  </si>
  <si>
    <t>Kaye Crocroft</t>
  </si>
  <si>
    <t>Allene Gobbet</t>
  </si>
  <si>
    <t>Sibyl Dunkirk</t>
  </si>
  <si>
    <t>Agnes Collicott</t>
  </si>
  <si>
    <t>Leilah Yesinin</t>
  </si>
  <si>
    <t>Mollie Hanway</t>
  </si>
  <si>
    <t>Kellsie Waby</t>
  </si>
  <si>
    <t>Hyacinthie Braybrooke</t>
  </si>
  <si>
    <t>Van Tuxwell</t>
  </si>
  <si>
    <t>Lilyan Klimpt</t>
  </si>
  <si>
    <t>Tawnya Tickel</t>
  </si>
  <si>
    <t>Jan Morforth</t>
  </si>
  <si>
    <t>Florinda Crace</t>
  </si>
  <si>
    <t>Tracy Renad</t>
  </si>
  <si>
    <t>Myer McCory</t>
  </si>
  <si>
    <t>Bennie Pepis</t>
  </si>
  <si>
    <t>Rafaelita Blaksland</t>
  </si>
  <si>
    <t>Mahalia Larcher</t>
  </si>
  <si>
    <t>Andria Kimpton</t>
  </si>
  <si>
    <t>Valentia Etteridge</t>
  </si>
  <si>
    <t>Virginia McConville</t>
  </si>
  <si>
    <t>Wilone O'Kielt</t>
  </si>
  <si>
    <t>Madge McCloughen</t>
  </si>
  <si>
    <t>Janene Hairsine</t>
  </si>
  <si>
    <t>Alta Kaszper</t>
  </si>
  <si>
    <t>Dennison Crosswaite</t>
  </si>
  <si>
    <t>Oran Buxcy</t>
  </si>
  <si>
    <t>Hinda Label</t>
  </si>
  <si>
    <t>Marney O'Breen</t>
  </si>
  <si>
    <t>Dell Molloy</t>
  </si>
  <si>
    <t>Mallorie Waber</t>
  </si>
  <si>
    <t>Cherlyn Barter</t>
  </si>
  <si>
    <t>Ches Bonnell</t>
  </si>
  <si>
    <t>Collin Jagson</t>
  </si>
  <si>
    <t>Hogan Iles</t>
  </si>
  <si>
    <t>Gretchen Callow</t>
  </si>
  <si>
    <t>Kissiah Maydway</t>
  </si>
  <si>
    <t>Archibald Filliskirk</t>
  </si>
  <si>
    <t>Enoch Dowrey</t>
  </si>
  <si>
    <t>Bili Sizey</t>
  </si>
  <si>
    <t>Caro Chappel</t>
  </si>
  <si>
    <t>Constantino Espley</t>
  </si>
  <si>
    <t>Karlen McCaffrey</t>
  </si>
  <si>
    <t>Drusy MacCombe</t>
  </si>
  <si>
    <t>My Hanscome</t>
  </si>
  <si>
    <t>Teressa Udden</t>
  </si>
  <si>
    <t>Crissie Cordel</t>
  </si>
  <si>
    <t>Elia Cockton</t>
  </si>
  <si>
    <t>Gigi Bohling</t>
  </si>
  <si>
    <t>Ebonee Roxburgh</t>
  </si>
  <si>
    <t>Shayne Stegel</t>
  </si>
  <si>
    <t>Zach Polon</t>
  </si>
  <si>
    <t>Deepali Charan</t>
  </si>
  <si>
    <t>Yagna Sujeev</t>
  </si>
  <si>
    <t>Satyendra Venkatadri</t>
  </si>
  <si>
    <t>Madhavdas Buhpathi</t>
  </si>
  <si>
    <t>Sahila Chandrasekhar</t>
  </si>
  <si>
    <t>Mirium Seemantini Shivakumar</t>
  </si>
  <si>
    <t>Purnendu Vijayarangan</t>
  </si>
  <si>
    <t>Rukma Vinita</t>
  </si>
  <si>
    <t>Yauvani Tarpa</t>
  </si>
  <si>
    <t>Damayanti Thangavadivelu</t>
  </si>
  <si>
    <t>Manjusri Ruchi</t>
  </si>
  <si>
    <t>Mithil Nadkarni</t>
  </si>
  <si>
    <t>Ardhendu Abhichandra Jayakar</t>
  </si>
  <si>
    <t>Akbar Sorabhjee</t>
  </si>
  <si>
    <t>Bandhula Sathyanna</t>
  </si>
  <si>
    <t>Daruka Ghazali</t>
  </si>
  <si>
    <t>Heer Pennathur</t>
  </si>
  <si>
    <t>Shekhar Eswara</t>
  </si>
  <si>
    <t>Udyan Lanka</t>
  </si>
  <si>
    <t>Shreela Ramasubraman</t>
  </si>
  <si>
    <t>Sanchali Shirish</t>
  </si>
  <si>
    <t>Gangadutt Ragha</t>
  </si>
  <si>
    <t>Waheeda Vasuman</t>
  </si>
  <si>
    <t>Nanak Sapna</t>
  </si>
  <si>
    <t>Shobhana Samuel</t>
  </si>
  <si>
    <t>Amlankusum Rajabhushan</t>
  </si>
  <si>
    <t>Pratigya Rema</t>
  </si>
  <si>
    <t>Ramnath Ravuri</t>
  </si>
  <si>
    <t>Prerana Nishita</t>
  </si>
  <si>
    <t>Makshi Vinutha</t>
  </si>
  <si>
    <t>Shiuli Sapna</t>
  </si>
  <si>
    <t>Agrata Rajarama</t>
  </si>
  <si>
    <t>Vasu Nandin</t>
  </si>
  <si>
    <t>Bhuvan Pals</t>
  </si>
  <si>
    <t>Gumwant Veera</t>
  </si>
  <si>
    <t>Narois Motiwala</t>
  </si>
  <si>
    <t>Anjushri Chandiramani</t>
  </si>
  <si>
    <t>Krishnakanta Vellanki</t>
  </si>
  <si>
    <t>Dhruv Manjunath</t>
  </si>
  <si>
    <t>Vanmala Shriharsha</t>
  </si>
  <si>
    <t>Sameer Shashank Sapra</t>
  </si>
  <si>
    <t>Anumati Shyamari Meherhomji</t>
  </si>
  <si>
    <t>Tarala Vishaal</t>
  </si>
  <si>
    <t>Shubhra Potla</t>
  </si>
  <si>
    <t>Hemavati Muthiah</t>
  </si>
  <si>
    <t>Krittika Gaekwad</t>
  </si>
  <si>
    <t>Shevantilal Muppala</t>
  </si>
  <si>
    <t>Shattesh Utpat</t>
  </si>
  <si>
    <t>Kamalakshi Mukundan</t>
  </si>
  <si>
    <t>Chandana Sannidhi Surnilla</t>
  </si>
  <si>
    <t>Indu Varada Sumedh</t>
  </si>
  <si>
    <t>Karuna Pashupathy</t>
  </si>
  <si>
    <t>Mardav Ramaswami</t>
  </si>
  <si>
    <t>Sarayu Ragunathan</t>
  </si>
  <si>
    <t>Kevalkumar Solanki</t>
  </si>
  <si>
    <t>Upendra Swati</t>
  </si>
  <si>
    <t>Deepit Ranjana</t>
  </si>
  <si>
    <t>Amal Nimesh</t>
  </si>
  <si>
    <t>Kunja Prashanta Vibha</t>
  </si>
  <si>
    <t>Godavari Veena</t>
  </si>
  <si>
    <t>Devasree Fullara Saurin</t>
  </si>
  <si>
    <t>Geena Raghavanpillai</t>
  </si>
  <si>
    <t>Rupak Mehra</t>
  </si>
  <si>
    <t>Sawini Chandan</t>
  </si>
  <si>
    <t>Baruna Ogale</t>
  </si>
  <si>
    <t>Jagajeet Viraj</t>
  </si>
  <si>
    <t>Kulbhushan Moorthy</t>
  </si>
  <si>
    <t>Ilesh Dasgupta</t>
  </si>
  <si>
    <t>Madhumati Gazala Soumitra</t>
  </si>
  <si>
    <t>Chitrasen Laul</t>
  </si>
  <si>
    <t>Jaishree Atasi Yavatkar</t>
  </si>
  <si>
    <t>Kantimoy Pritish</t>
  </si>
  <si>
    <t>Rameshwari Chikodi</t>
  </si>
  <si>
    <t>Lalit Kothari</t>
  </si>
  <si>
    <t>Sahas Sanabhi Shrikant</t>
  </si>
  <si>
    <t>Kaishori Harathi Kateel</t>
  </si>
  <si>
    <t>Rushil Kripa</t>
  </si>
  <si>
    <t>Sarojini Naueshwara</t>
  </si>
  <si>
    <t>Sartaj Probal</t>
  </si>
  <si>
    <t>Mahindra Sreedharan</t>
  </si>
  <si>
    <t>Suchira Bhanupriya Tapti</t>
  </si>
  <si>
    <t>Fullara Sushanti Mokate</t>
  </si>
  <si>
    <t>Hridaynath Tendulkar</t>
  </si>
  <si>
    <t>Abhaya Priyavardhan</t>
  </si>
  <si>
    <t>Ayog Chakrabarti</t>
  </si>
  <si>
    <t>Pragya Nilufar</t>
  </si>
  <si>
    <t>Shulabh Qutub Sundaramoorthy</t>
  </si>
  <si>
    <t>Vinanti Choudhari</t>
  </si>
  <si>
    <t>Ranajay Kailashnath Richa</t>
  </si>
  <si>
    <t>Asija Pothireddy</t>
  </si>
  <si>
    <t>Piyali Mahanthapa</t>
  </si>
  <si>
    <t>Sukhdev Nageshwar</t>
  </si>
  <si>
    <t>Employee Data</t>
  </si>
  <si>
    <t>Total</t>
  </si>
  <si>
    <t>IND</t>
  </si>
  <si>
    <t>Country</t>
  </si>
  <si>
    <t>Other</t>
  </si>
  <si>
    <t>NZ</t>
  </si>
  <si>
    <t>Count of employees</t>
  </si>
  <si>
    <t>Average salary</t>
  </si>
  <si>
    <t>Average Age</t>
  </si>
  <si>
    <t>Average Tenure</t>
  </si>
  <si>
    <t>Female Ratio %</t>
  </si>
  <si>
    <t>Ratio %</t>
  </si>
  <si>
    <t>Tenure</t>
  </si>
  <si>
    <t>Median</t>
  </si>
  <si>
    <t>Summary :</t>
  </si>
  <si>
    <t>salary</t>
  </si>
  <si>
    <t>Information Finder</t>
  </si>
  <si>
    <t>Department Name</t>
  </si>
  <si>
    <t>Number of people</t>
  </si>
  <si>
    <t>Male VS Female</t>
  </si>
  <si>
    <t>Column Labels</t>
  </si>
  <si>
    <t>Count of Gender</t>
  </si>
  <si>
    <t>Values</t>
  </si>
  <si>
    <t>Average of Salary</t>
  </si>
  <si>
    <t>Average of Age</t>
  </si>
  <si>
    <t>Average of Tenure</t>
  </si>
  <si>
    <t>Bonus</t>
  </si>
  <si>
    <t>Top 10 salary holder</t>
  </si>
  <si>
    <t>Row Labels</t>
  </si>
  <si>
    <t>Grand Total</t>
  </si>
  <si>
    <t>Count of Name</t>
  </si>
  <si>
    <t>Ratings</t>
  </si>
  <si>
    <t>Rating as number</t>
  </si>
  <si>
    <t>2020</t>
  </si>
  <si>
    <t>2021</t>
  </si>
  <si>
    <t>2022</t>
  </si>
  <si>
    <t>2023</t>
  </si>
  <si>
    <t>Month</t>
  </si>
  <si>
    <t>HeadCount</t>
  </si>
  <si>
    <t>Running Total</t>
  </si>
  <si>
    <t>Headcount of Department</t>
  </si>
  <si>
    <t>Number of people hired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</si>
</sst>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 #,##0.00;[Red]&quot;₹&quot;\ \-#,##0.00"/>
    <numFmt numFmtId="164" formatCode="[$$-409]#,##0.00"/>
    <numFmt numFmtId="165" formatCode="[$-14009]dd/mm/yyyy;@"/>
    <numFmt numFmtId="166" formatCode="[$$-409]#,##0.00_ ;[Red]\-[$$-409]#,##0.00\ "/>
    <numFmt numFmtId="167" formatCode="[$$-409]#,##0"/>
  </numFmts>
  <fonts count="17" x14ac:knownFonts="1">
    <font>
      <sz val="11"/>
      <color theme="1"/>
      <name val="Calibri"/>
      <family val="2"/>
      <scheme val="minor"/>
    </font>
    <font>
      <sz val="20"/>
      <color theme="4" tint="-0.249977111117893"/>
      <name val="Calibri"/>
      <family val="2"/>
      <scheme val="minor"/>
    </font>
    <font>
      <sz val="11"/>
      <color theme="0"/>
      <name val="Calibri"/>
      <family val="2"/>
      <scheme val="minor"/>
    </font>
    <font>
      <sz val="14"/>
      <color rgb="FFFF0000"/>
      <name val="Calibri"/>
      <family val="2"/>
      <scheme val="minor"/>
    </font>
    <font>
      <sz val="14"/>
      <color theme="0"/>
      <name val="Calibri"/>
      <family val="2"/>
      <scheme val="minor"/>
    </font>
    <font>
      <b/>
      <sz val="11"/>
      <color theme="0"/>
      <name val="Calibri"/>
      <family val="2"/>
      <scheme val="minor"/>
    </font>
    <font>
      <sz val="16"/>
      <color theme="2"/>
      <name val="Calibri"/>
      <family val="2"/>
      <scheme val="minor"/>
    </font>
    <font>
      <sz val="8"/>
      <name val="Calibri"/>
      <family val="2"/>
      <scheme val="minor"/>
    </font>
    <font>
      <sz val="11"/>
      <color theme="1"/>
      <name val="Calibri"/>
      <family val="2"/>
      <scheme val="minor"/>
    </font>
    <font>
      <b/>
      <sz val="11"/>
      <color theme="1"/>
      <name val="Calibri"/>
      <family val="2"/>
      <scheme val="minor"/>
    </font>
    <font>
      <sz val="16"/>
      <color theme="0"/>
      <name val="Segoe UI Black"/>
      <family val="2"/>
    </font>
    <font>
      <b/>
      <sz val="48"/>
      <color theme="0"/>
      <name val="Segoe UI Black"/>
      <family val="2"/>
    </font>
    <font>
      <sz val="48"/>
      <name val="Segoe UI Black"/>
      <family val="2"/>
    </font>
    <font>
      <sz val="16"/>
      <color theme="1"/>
      <name val="Segoe UI Black"/>
      <family val="2"/>
    </font>
    <font>
      <sz val="16"/>
      <name val="Segoe UI Black"/>
      <family val="2"/>
    </font>
    <font>
      <sz val="22"/>
      <color theme="1"/>
      <name val="Arial Black"/>
      <family val="2"/>
    </font>
    <font>
      <sz val="11"/>
      <color theme="0"/>
      <name val="Arial Black"/>
      <family val="2"/>
    </font>
  </fonts>
  <fills count="16">
    <fill>
      <patternFill patternType="none"/>
    </fill>
    <fill>
      <patternFill patternType="gray125"/>
    </fill>
    <fill>
      <patternFill patternType="solid">
        <fgColor rgb="FFFFFF00"/>
        <bgColor indexed="64"/>
      </patternFill>
    </fill>
    <fill>
      <patternFill patternType="solid">
        <fgColor rgb="FF002060"/>
        <bgColor indexed="64"/>
      </patternFill>
    </fill>
    <fill>
      <patternFill patternType="solid">
        <fgColor theme="5" tint="-0.249977111117893"/>
        <bgColor indexed="64"/>
      </patternFill>
    </fill>
    <fill>
      <patternFill patternType="solid">
        <fgColor theme="5"/>
        <bgColor indexed="64"/>
      </patternFill>
    </fill>
    <fill>
      <patternFill patternType="solid">
        <fgColor theme="3" tint="0.59999389629810485"/>
        <bgColor indexed="64"/>
      </patternFill>
    </fill>
    <fill>
      <patternFill patternType="solid">
        <fgColor theme="4" tint="-0.499984740745262"/>
        <bgColor indexed="64"/>
      </patternFill>
    </fill>
    <fill>
      <patternFill patternType="solid">
        <fgColor theme="8" tint="-0.249977111117893"/>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theme="4" tint="-0.249977111117893"/>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5" fontId="0" fillId="0" borderId="0" xfId="0" applyNumberFormat="1"/>
    <xf numFmtId="8" fontId="0" fillId="0" borderId="0" xfId="0" applyNumberFormat="1"/>
    <xf numFmtId="164" fontId="0" fillId="0" borderId="0" xfId="0" applyNumberFormat="1"/>
    <xf numFmtId="165" fontId="0" fillId="0" borderId="0" xfId="0" applyNumberFormat="1"/>
    <xf numFmtId="2" fontId="0" fillId="0" borderId="0" xfId="0" applyNumberFormat="1"/>
    <xf numFmtId="9" fontId="0" fillId="0" borderId="0" xfId="0" applyNumberFormat="1"/>
    <xf numFmtId="0" fontId="0" fillId="0" borderId="0" xfId="0" applyAlignment="1">
      <alignment horizontal="center"/>
    </xf>
    <xf numFmtId="0" fontId="0" fillId="0" borderId="1" xfId="0" applyBorder="1"/>
    <xf numFmtId="0" fontId="0" fillId="0" borderId="1" xfId="0" applyBorder="1" applyAlignment="1">
      <alignment horizontal="center"/>
    </xf>
    <xf numFmtId="9" fontId="0" fillId="0" borderId="1" xfId="0" applyNumberFormat="1" applyBorder="1"/>
    <xf numFmtId="0" fontId="3" fillId="2" borderId="2"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2" fillId="3" borderId="0" xfId="0" applyFont="1" applyFill="1"/>
    <xf numFmtId="2" fontId="0" fillId="0" borderId="1" xfId="0" applyNumberFormat="1" applyBorder="1"/>
    <xf numFmtId="166" fontId="0" fillId="0" borderId="0" xfId="0" applyNumberFormat="1"/>
    <xf numFmtId="0" fontId="0" fillId="0" borderId="1" xfId="0" applyBorder="1" applyAlignment="1">
      <alignment horizontal="center" vertical="center"/>
    </xf>
    <xf numFmtId="14" fontId="0" fillId="0" borderId="1" xfId="0" applyNumberFormat="1" applyBorder="1" applyAlignment="1">
      <alignment horizontal="center" vertical="center"/>
    </xf>
    <xf numFmtId="0" fontId="4" fillId="4" borderId="0" xfId="0" applyFont="1" applyFill="1" applyAlignment="1">
      <alignment horizontal="center"/>
    </xf>
    <xf numFmtId="0" fontId="4" fillId="4" borderId="0" xfId="0" applyFont="1" applyFill="1" applyAlignment="1">
      <alignment horizontal="center" vertical="center"/>
    </xf>
    <xf numFmtId="0" fontId="4" fillId="5" borderId="0" xfId="0" applyFont="1" applyFill="1" applyAlignment="1">
      <alignment horizontal="center" vertical="center"/>
    </xf>
    <xf numFmtId="0" fontId="0" fillId="6" borderId="0" xfId="0" applyFill="1"/>
    <xf numFmtId="0" fontId="2" fillId="7" borderId="0" xfId="0" applyFont="1" applyFill="1"/>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5" fillId="9" borderId="5" xfId="0" applyFont="1" applyFill="1" applyBorder="1"/>
    <xf numFmtId="0" fontId="0" fillId="10" borderId="5" xfId="0" applyFill="1" applyBorder="1"/>
    <xf numFmtId="0" fontId="0" fillId="0" borderId="5" xfId="0" applyBorder="1"/>
    <xf numFmtId="0" fontId="5" fillId="9" borderId="7" xfId="0" applyFont="1" applyFill="1" applyBorder="1"/>
    <xf numFmtId="0" fontId="0" fillId="10" borderId="7" xfId="0" applyFill="1" applyBorder="1"/>
    <xf numFmtId="0" fontId="0" fillId="0" borderId="7" xfId="0" applyBorder="1"/>
    <xf numFmtId="165" fontId="0" fillId="10" borderId="5" xfId="0" applyNumberFormat="1" applyFill="1" applyBorder="1"/>
    <xf numFmtId="2" fontId="0" fillId="10" borderId="5" xfId="0" applyNumberFormat="1" applyFill="1" applyBorder="1"/>
    <xf numFmtId="1" fontId="0" fillId="10" borderId="6" xfId="0" applyNumberFormat="1" applyFill="1" applyBorder="1"/>
    <xf numFmtId="165" fontId="0" fillId="0" borderId="5" xfId="0" applyNumberFormat="1" applyBorder="1"/>
    <xf numFmtId="2" fontId="0" fillId="0" borderId="5" xfId="0" applyNumberFormat="1" applyBorder="1"/>
    <xf numFmtId="1" fontId="0" fillId="0" borderId="6" xfId="0" applyNumberFormat="1" applyBorder="1"/>
    <xf numFmtId="165" fontId="5" fillId="9" borderId="5" xfId="0" applyNumberFormat="1" applyFont="1" applyFill="1" applyBorder="1"/>
    <xf numFmtId="2" fontId="5" fillId="9" borderId="5" xfId="0" applyNumberFormat="1" applyFont="1" applyFill="1" applyBorder="1"/>
    <xf numFmtId="1" fontId="5" fillId="9" borderId="6" xfId="0" applyNumberFormat="1" applyFont="1" applyFill="1" applyBorder="1"/>
    <xf numFmtId="0" fontId="6" fillId="4" borderId="0" xfId="0" applyFont="1" applyFill="1" applyAlignment="1">
      <alignment horizontal="center"/>
    </xf>
    <xf numFmtId="0" fontId="6" fillId="11" borderId="0" xfId="0" applyFont="1" applyFill="1"/>
    <xf numFmtId="167" fontId="0" fillId="0" borderId="0" xfId="0" applyNumberFormat="1"/>
    <xf numFmtId="0" fontId="0" fillId="0" borderId="1" xfId="0" applyBorder="1" applyAlignment="1">
      <alignment horizontal="left"/>
    </xf>
    <xf numFmtId="17" fontId="0" fillId="0" borderId="0" xfId="0" applyNumberFormat="1"/>
    <xf numFmtId="17" fontId="0" fillId="0" borderId="1" xfId="0" applyNumberFormat="1" applyBorder="1"/>
    <xf numFmtId="0" fontId="0" fillId="0" borderId="0" xfId="0" applyAlignment="1">
      <alignment horizontal="center" vertical="center"/>
    </xf>
    <xf numFmtId="0" fontId="11" fillId="8" borderId="0" xfId="0" applyFont="1" applyFill="1" applyAlignment="1">
      <alignment horizontal="center" vertical="center"/>
    </xf>
    <xf numFmtId="0" fontId="12" fillId="5" borderId="0" xfId="0" applyFont="1" applyFill="1" applyAlignment="1">
      <alignment horizontal="center" vertical="center"/>
    </xf>
    <xf numFmtId="167" fontId="13" fillId="5" borderId="0" xfId="0" applyNumberFormat="1" applyFont="1" applyFill="1" applyAlignment="1">
      <alignment horizontal="center" vertical="center"/>
    </xf>
    <xf numFmtId="9" fontId="14" fillId="5" borderId="0" xfId="0" applyNumberFormat="1" applyFont="1" applyFill="1" applyAlignment="1">
      <alignment horizontal="center" vertical="center"/>
    </xf>
    <xf numFmtId="9" fontId="10" fillId="8" borderId="0" xfId="1" applyFont="1" applyFill="1" applyAlignment="1">
      <alignment horizontal="center" vertical="center"/>
    </xf>
    <xf numFmtId="167" fontId="10" fillId="8" borderId="0" xfId="1" applyNumberFormat="1" applyFont="1" applyFill="1" applyAlignment="1">
      <alignment horizontal="center" vertical="center"/>
    </xf>
    <xf numFmtId="0" fontId="1" fillId="0" borderId="0" xfId="0" applyFont="1" applyAlignment="1">
      <alignment horizontal="center"/>
    </xf>
    <xf numFmtId="0" fontId="0" fillId="0" borderId="0" xfId="0" applyAlignment="1">
      <alignment horizontal="center"/>
    </xf>
    <xf numFmtId="0" fontId="2" fillId="8" borderId="0" xfId="0" applyFont="1" applyFill="1" applyAlignment="1">
      <alignment horizontal="left"/>
    </xf>
    <xf numFmtId="0" fontId="16" fillId="15" borderId="0" xfId="0" applyFont="1" applyFill="1" applyAlignment="1">
      <alignment horizontal="center"/>
    </xf>
    <xf numFmtId="0" fontId="9" fillId="12" borderId="0" xfId="0" applyFont="1" applyFill="1" applyAlignment="1">
      <alignment horizontal="center"/>
    </xf>
    <xf numFmtId="0" fontId="15" fillId="13" borderId="0" xfId="0" applyFont="1" applyFill="1" applyAlignment="1">
      <alignment horizontal="center"/>
    </xf>
    <xf numFmtId="0" fontId="0" fillId="13" borderId="0" xfId="0" applyFill="1" applyAlignment="1">
      <alignment horizontal="center"/>
    </xf>
    <xf numFmtId="0" fontId="15" fillId="14" borderId="0" xfId="0" applyFont="1" applyFill="1" applyAlignment="1">
      <alignment horizontal="center"/>
    </xf>
    <xf numFmtId="0" fontId="0" fillId="0" borderId="0" xfId="0" applyAlignment="1"/>
  </cellXfs>
  <cellStyles count="2">
    <cellStyle name="Normal" xfId="0" builtinId="0"/>
    <cellStyle name="Percent" xfId="1" builtinId="5"/>
  </cellStyles>
  <dxfs count="24">
    <dxf>
      <font>
        <color rgb="FF9C0006"/>
      </font>
      <fill>
        <patternFill>
          <bgColor rgb="FFFFC7CE"/>
        </patternFill>
      </fill>
    </dxf>
    <dxf>
      <numFmt numFmtId="166" formatCode="[$$-409]#,##0.00_ ;[Red]\-[$$-409]#,##0.00\ "/>
    </dxf>
    <dxf>
      <numFmt numFmtId="166" formatCode="[$$-409]#,##0.00_ ;[Red]\-[$$-409]#,##0.00\ "/>
    </dxf>
    <dxf>
      <numFmt numFmtId="2" formatCode="0.00"/>
    </dxf>
    <dxf>
      <numFmt numFmtId="2" formatCode="0.00"/>
    </dxf>
    <dxf>
      <numFmt numFmtId="1" formatCode="0"/>
    </dxf>
    <dxf>
      <numFmt numFmtId="1" formatCode="0"/>
    </dxf>
    <dxf>
      <numFmt numFmtId="1" formatCode="0"/>
    </dxf>
    <dxf>
      <numFmt numFmtId="1" formatCode="0"/>
    </dxf>
    <dxf>
      <numFmt numFmtId="0" formatCode="General"/>
    </dxf>
    <dxf>
      <numFmt numFmtId="167" formatCode="[$$-409]#,##0"/>
    </dxf>
    <dxf>
      <numFmt numFmtId="2" formatCode="0.00"/>
    </dxf>
    <dxf>
      <numFmt numFmtId="167" formatCode="[$$-409]#,##0"/>
    </dxf>
    <dxf>
      <numFmt numFmtId="0" formatCode="General"/>
    </dxf>
    <dxf>
      <numFmt numFmtId="165" formatCode="[$-14009]dd/mm/yyyy;@"/>
    </dxf>
    <dxf>
      <numFmt numFmtId="0" formatCode="General"/>
    </dxf>
    <dxf>
      <numFmt numFmtId="0" formatCode="General"/>
    </dxf>
    <dxf>
      <numFmt numFmtId="166" formatCode="[$$-409]#,##0.00_ ;[Red]\-[$$-409]#,##0.00\ "/>
    </dxf>
    <dxf>
      <numFmt numFmtId="166" formatCode="[$$-409]#,##0.00_ ;[Red]\-[$$-409]#,##0.00\ "/>
    </dxf>
    <dxf>
      <numFmt numFmtId="20" formatCode="dd/mmm/yy"/>
    </dxf>
    <dxf>
      <numFmt numFmtId="164" formatCode="[$$-409]#,##0.00"/>
    </dxf>
    <dxf>
      <numFmt numFmtId="164" formatCode="[$$-409]#,##0.00"/>
    </dxf>
    <dxf>
      <numFmt numFmtId="20" formatCode="dd/mmm/yy"/>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styles" Target="styles.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0809999646905123E-2"/>
          <c:y val="0.15979498861047836"/>
          <c:w val="0.87888865349230449"/>
          <c:h val="0.77111515673297104"/>
        </c:manualLayout>
      </c:layout>
      <c:scatterChart>
        <c:scatterStyle val="lineMarker"/>
        <c:varyColors val="0"/>
        <c:ser>
          <c:idx val="0"/>
          <c:order val="0"/>
          <c:tx>
            <c:strRef>
              <c:f>Staff!$K$1</c:f>
              <c:strCache>
                <c:ptCount val="1"/>
                <c:pt idx="0">
                  <c:v>Rating as number</c:v>
                </c:pt>
              </c:strCache>
            </c:strRef>
          </c:tx>
          <c:spPr>
            <a:ln w="19050" cap="rnd">
              <a:noFill/>
              <a:round/>
            </a:ln>
            <a:effectLst>
              <a:glow rad="25400">
                <a:schemeClr val="accent1">
                  <a:alpha val="40000"/>
                </a:schemeClr>
              </a:glow>
              <a:softEdge rad="0"/>
            </a:effectLst>
          </c:spPr>
          <c:marker>
            <c:symbol val="circle"/>
            <c:size val="5"/>
            <c:spPr>
              <a:solidFill>
                <a:schemeClr val="accent1"/>
              </a:solidFill>
              <a:ln w="9525">
                <a:solidFill>
                  <a:schemeClr val="accent1"/>
                </a:solidFill>
              </a:ln>
              <a:effectLst>
                <a:glow rad="25400">
                  <a:schemeClr val="accent1">
                    <a:alpha val="40000"/>
                  </a:schemeClr>
                </a:glow>
                <a:softEdge rad="0"/>
              </a:effectLst>
            </c:spPr>
          </c:marker>
          <c:xVal>
            <c:numRef>
              <c:f>Staff!$G$2:$G$184</c:f>
              <c:numCache>
                <c:formatCode>[$$-409]#,##0</c:formatCode>
                <c:ptCount val="183"/>
                <c:pt idx="0">
                  <c:v>112650</c:v>
                </c:pt>
                <c:pt idx="1">
                  <c:v>43840</c:v>
                </c:pt>
                <c:pt idx="2">
                  <c:v>103550</c:v>
                </c:pt>
                <c:pt idx="3">
                  <c:v>45510</c:v>
                </c:pt>
                <c:pt idx="4">
                  <c:v>115440</c:v>
                </c:pt>
                <c:pt idx="5">
                  <c:v>56870</c:v>
                </c:pt>
                <c:pt idx="6">
                  <c:v>92700</c:v>
                </c:pt>
                <c:pt idx="7">
                  <c:v>91310</c:v>
                </c:pt>
                <c:pt idx="8">
                  <c:v>74550</c:v>
                </c:pt>
                <c:pt idx="9">
                  <c:v>109190</c:v>
                </c:pt>
                <c:pt idx="10">
                  <c:v>104410</c:v>
                </c:pt>
                <c:pt idx="11">
                  <c:v>96800</c:v>
                </c:pt>
                <c:pt idx="12">
                  <c:v>48170</c:v>
                </c:pt>
                <c:pt idx="13">
                  <c:v>37920</c:v>
                </c:pt>
                <c:pt idx="14">
                  <c:v>112650</c:v>
                </c:pt>
                <c:pt idx="15">
                  <c:v>49630</c:v>
                </c:pt>
                <c:pt idx="16">
                  <c:v>118840</c:v>
                </c:pt>
                <c:pt idx="17">
                  <c:v>69710</c:v>
                </c:pt>
                <c:pt idx="18">
                  <c:v>79570</c:v>
                </c:pt>
                <c:pt idx="19">
                  <c:v>76900</c:v>
                </c:pt>
                <c:pt idx="20">
                  <c:v>54970</c:v>
                </c:pt>
                <c:pt idx="21">
                  <c:v>88050</c:v>
                </c:pt>
                <c:pt idx="22">
                  <c:v>36040</c:v>
                </c:pt>
                <c:pt idx="23">
                  <c:v>75000</c:v>
                </c:pt>
                <c:pt idx="24">
                  <c:v>40400</c:v>
                </c:pt>
                <c:pt idx="25">
                  <c:v>100420</c:v>
                </c:pt>
                <c:pt idx="26">
                  <c:v>58100</c:v>
                </c:pt>
                <c:pt idx="27">
                  <c:v>114870</c:v>
                </c:pt>
                <c:pt idx="28">
                  <c:v>41570</c:v>
                </c:pt>
                <c:pt idx="29">
                  <c:v>112570</c:v>
                </c:pt>
                <c:pt idx="30">
                  <c:v>47360</c:v>
                </c:pt>
                <c:pt idx="31">
                  <c:v>65920</c:v>
                </c:pt>
                <c:pt idx="32">
                  <c:v>99970</c:v>
                </c:pt>
                <c:pt idx="33">
                  <c:v>80700</c:v>
                </c:pt>
                <c:pt idx="34">
                  <c:v>52610</c:v>
                </c:pt>
                <c:pt idx="35">
                  <c:v>112110</c:v>
                </c:pt>
                <c:pt idx="36">
                  <c:v>119110</c:v>
                </c:pt>
                <c:pt idx="37">
                  <c:v>112780</c:v>
                </c:pt>
                <c:pt idx="38">
                  <c:v>114890</c:v>
                </c:pt>
                <c:pt idx="39">
                  <c:v>48980</c:v>
                </c:pt>
                <c:pt idx="40">
                  <c:v>75880</c:v>
                </c:pt>
                <c:pt idx="41">
                  <c:v>53240</c:v>
                </c:pt>
                <c:pt idx="42">
                  <c:v>85000</c:v>
                </c:pt>
                <c:pt idx="43">
                  <c:v>33920</c:v>
                </c:pt>
                <c:pt idx="44">
                  <c:v>75280</c:v>
                </c:pt>
                <c:pt idx="45">
                  <c:v>58940</c:v>
                </c:pt>
                <c:pt idx="46">
                  <c:v>104770</c:v>
                </c:pt>
                <c:pt idx="47">
                  <c:v>57090</c:v>
                </c:pt>
                <c:pt idx="48">
                  <c:v>91650</c:v>
                </c:pt>
                <c:pt idx="49">
                  <c:v>70270</c:v>
                </c:pt>
                <c:pt idx="50">
                  <c:v>75970</c:v>
                </c:pt>
                <c:pt idx="51">
                  <c:v>90700</c:v>
                </c:pt>
                <c:pt idx="52">
                  <c:v>60570</c:v>
                </c:pt>
                <c:pt idx="53">
                  <c:v>115920</c:v>
                </c:pt>
                <c:pt idx="54">
                  <c:v>65360</c:v>
                </c:pt>
                <c:pt idx="55">
                  <c:v>64000</c:v>
                </c:pt>
                <c:pt idx="56">
                  <c:v>92450</c:v>
                </c:pt>
                <c:pt idx="57">
                  <c:v>48950</c:v>
                </c:pt>
                <c:pt idx="58">
                  <c:v>83750</c:v>
                </c:pt>
                <c:pt idx="59">
                  <c:v>87620</c:v>
                </c:pt>
                <c:pt idx="60">
                  <c:v>68900</c:v>
                </c:pt>
                <c:pt idx="61">
                  <c:v>53540</c:v>
                </c:pt>
                <c:pt idx="62">
                  <c:v>43510</c:v>
                </c:pt>
                <c:pt idx="63">
                  <c:v>109160</c:v>
                </c:pt>
                <c:pt idx="64">
                  <c:v>99750</c:v>
                </c:pt>
                <c:pt idx="65">
                  <c:v>41980</c:v>
                </c:pt>
                <c:pt idx="66">
                  <c:v>71380</c:v>
                </c:pt>
                <c:pt idx="67">
                  <c:v>113280</c:v>
                </c:pt>
                <c:pt idx="68">
                  <c:v>86570</c:v>
                </c:pt>
                <c:pt idx="69">
                  <c:v>53540</c:v>
                </c:pt>
                <c:pt idx="70">
                  <c:v>69070</c:v>
                </c:pt>
                <c:pt idx="71">
                  <c:v>67910</c:v>
                </c:pt>
                <c:pt idx="72">
                  <c:v>69120</c:v>
                </c:pt>
                <c:pt idx="73">
                  <c:v>60130</c:v>
                </c:pt>
                <c:pt idx="74">
                  <c:v>106460</c:v>
                </c:pt>
                <c:pt idx="75">
                  <c:v>118100</c:v>
                </c:pt>
                <c:pt idx="76">
                  <c:v>78390</c:v>
                </c:pt>
                <c:pt idx="77">
                  <c:v>114180</c:v>
                </c:pt>
                <c:pt idx="78">
                  <c:v>104120</c:v>
                </c:pt>
                <c:pt idx="79">
                  <c:v>67950</c:v>
                </c:pt>
                <c:pt idx="80">
                  <c:v>34980</c:v>
                </c:pt>
                <c:pt idx="81">
                  <c:v>62780</c:v>
                </c:pt>
                <c:pt idx="82">
                  <c:v>107700</c:v>
                </c:pt>
                <c:pt idx="83">
                  <c:v>65700</c:v>
                </c:pt>
                <c:pt idx="84">
                  <c:v>75480</c:v>
                </c:pt>
                <c:pt idx="85">
                  <c:v>53870</c:v>
                </c:pt>
                <c:pt idx="86">
                  <c:v>78540</c:v>
                </c:pt>
                <c:pt idx="87">
                  <c:v>58960</c:v>
                </c:pt>
                <c:pt idx="88">
                  <c:v>70610</c:v>
                </c:pt>
                <c:pt idx="89">
                  <c:v>59430</c:v>
                </c:pt>
                <c:pt idx="90">
                  <c:v>48530</c:v>
                </c:pt>
                <c:pt idx="91">
                  <c:v>96140</c:v>
                </c:pt>
                <c:pt idx="92">
                  <c:v>112780</c:v>
                </c:pt>
                <c:pt idx="93">
                  <c:v>70610</c:v>
                </c:pt>
                <c:pt idx="94">
                  <c:v>53240</c:v>
                </c:pt>
                <c:pt idx="95">
                  <c:v>115440</c:v>
                </c:pt>
                <c:pt idx="96">
                  <c:v>53540</c:v>
                </c:pt>
                <c:pt idx="97">
                  <c:v>112570</c:v>
                </c:pt>
                <c:pt idx="98">
                  <c:v>48530</c:v>
                </c:pt>
                <c:pt idx="99">
                  <c:v>62780</c:v>
                </c:pt>
                <c:pt idx="100">
                  <c:v>53870</c:v>
                </c:pt>
                <c:pt idx="101">
                  <c:v>119110</c:v>
                </c:pt>
                <c:pt idx="102">
                  <c:v>112110</c:v>
                </c:pt>
                <c:pt idx="103">
                  <c:v>65700</c:v>
                </c:pt>
                <c:pt idx="104">
                  <c:v>69070</c:v>
                </c:pt>
                <c:pt idx="105">
                  <c:v>107700</c:v>
                </c:pt>
                <c:pt idx="106">
                  <c:v>43840</c:v>
                </c:pt>
                <c:pt idx="107">
                  <c:v>99750</c:v>
                </c:pt>
                <c:pt idx="108">
                  <c:v>37920</c:v>
                </c:pt>
                <c:pt idx="109">
                  <c:v>57090</c:v>
                </c:pt>
                <c:pt idx="110">
                  <c:v>41980</c:v>
                </c:pt>
                <c:pt idx="111">
                  <c:v>75880</c:v>
                </c:pt>
                <c:pt idx="112">
                  <c:v>58940</c:v>
                </c:pt>
                <c:pt idx="113">
                  <c:v>67910</c:v>
                </c:pt>
                <c:pt idx="114">
                  <c:v>58100</c:v>
                </c:pt>
                <c:pt idx="115">
                  <c:v>48980</c:v>
                </c:pt>
                <c:pt idx="116">
                  <c:v>64000</c:v>
                </c:pt>
                <c:pt idx="117">
                  <c:v>75000</c:v>
                </c:pt>
                <c:pt idx="118">
                  <c:v>87620</c:v>
                </c:pt>
                <c:pt idx="119">
                  <c:v>34980</c:v>
                </c:pt>
                <c:pt idx="120">
                  <c:v>75970</c:v>
                </c:pt>
                <c:pt idx="121">
                  <c:v>60130</c:v>
                </c:pt>
                <c:pt idx="122">
                  <c:v>75480</c:v>
                </c:pt>
                <c:pt idx="123">
                  <c:v>115920</c:v>
                </c:pt>
                <c:pt idx="124">
                  <c:v>78540</c:v>
                </c:pt>
                <c:pt idx="125">
                  <c:v>109190</c:v>
                </c:pt>
                <c:pt idx="126">
                  <c:v>49630</c:v>
                </c:pt>
                <c:pt idx="127">
                  <c:v>99970</c:v>
                </c:pt>
                <c:pt idx="128">
                  <c:v>96140</c:v>
                </c:pt>
                <c:pt idx="129">
                  <c:v>103550</c:v>
                </c:pt>
                <c:pt idx="130">
                  <c:v>48950</c:v>
                </c:pt>
                <c:pt idx="131">
                  <c:v>52610</c:v>
                </c:pt>
                <c:pt idx="132">
                  <c:v>78390</c:v>
                </c:pt>
                <c:pt idx="133">
                  <c:v>86570</c:v>
                </c:pt>
                <c:pt idx="134">
                  <c:v>83750</c:v>
                </c:pt>
                <c:pt idx="135">
                  <c:v>92450</c:v>
                </c:pt>
                <c:pt idx="136">
                  <c:v>112650</c:v>
                </c:pt>
                <c:pt idx="137">
                  <c:v>79570</c:v>
                </c:pt>
                <c:pt idx="138">
                  <c:v>68900</c:v>
                </c:pt>
                <c:pt idx="139">
                  <c:v>80700</c:v>
                </c:pt>
                <c:pt idx="140">
                  <c:v>58960</c:v>
                </c:pt>
                <c:pt idx="141">
                  <c:v>118840</c:v>
                </c:pt>
                <c:pt idx="142">
                  <c:v>48170</c:v>
                </c:pt>
                <c:pt idx="143">
                  <c:v>45510</c:v>
                </c:pt>
                <c:pt idx="144">
                  <c:v>114890</c:v>
                </c:pt>
                <c:pt idx="145">
                  <c:v>69710</c:v>
                </c:pt>
                <c:pt idx="146">
                  <c:v>71380</c:v>
                </c:pt>
                <c:pt idx="147">
                  <c:v>109160</c:v>
                </c:pt>
                <c:pt idx="148">
                  <c:v>113280</c:v>
                </c:pt>
                <c:pt idx="149">
                  <c:v>69120</c:v>
                </c:pt>
                <c:pt idx="150">
                  <c:v>118100</c:v>
                </c:pt>
                <c:pt idx="151">
                  <c:v>76900</c:v>
                </c:pt>
                <c:pt idx="152">
                  <c:v>114870</c:v>
                </c:pt>
                <c:pt idx="153">
                  <c:v>91310</c:v>
                </c:pt>
                <c:pt idx="154">
                  <c:v>104770</c:v>
                </c:pt>
                <c:pt idx="155">
                  <c:v>54970</c:v>
                </c:pt>
                <c:pt idx="156">
                  <c:v>90700</c:v>
                </c:pt>
                <c:pt idx="157">
                  <c:v>56870</c:v>
                </c:pt>
                <c:pt idx="158">
                  <c:v>92700</c:v>
                </c:pt>
                <c:pt idx="159">
                  <c:v>65920</c:v>
                </c:pt>
                <c:pt idx="160">
                  <c:v>47360</c:v>
                </c:pt>
                <c:pt idx="161">
                  <c:v>60570</c:v>
                </c:pt>
                <c:pt idx="162">
                  <c:v>104120</c:v>
                </c:pt>
                <c:pt idx="163">
                  <c:v>88050</c:v>
                </c:pt>
                <c:pt idx="164">
                  <c:v>100420</c:v>
                </c:pt>
                <c:pt idx="165">
                  <c:v>114180</c:v>
                </c:pt>
                <c:pt idx="166">
                  <c:v>33920</c:v>
                </c:pt>
                <c:pt idx="167">
                  <c:v>106460</c:v>
                </c:pt>
                <c:pt idx="168">
                  <c:v>40400</c:v>
                </c:pt>
                <c:pt idx="169">
                  <c:v>91650</c:v>
                </c:pt>
                <c:pt idx="170">
                  <c:v>36040</c:v>
                </c:pt>
                <c:pt idx="171">
                  <c:v>104410</c:v>
                </c:pt>
                <c:pt idx="172">
                  <c:v>96800</c:v>
                </c:pt>
                <c:pt idx="173">
                  <c:v>85000</c:v>
                </c:pt>
                <c:pt idx="174">
                  <c:v>43510</c:v>
                </c:pt>
                <c:pt idx="175">
                  <c:v>59430</c:v>
                </c:pt>
                <c:pt idx="176">
                  <c:v>65360</c:v>
                </c:pt>
                <c:pt idx="177">
                  <c:v>41570</c:v>
                </c:pt>
                <c:pt idx="178">
                  <c:v>75280</c:v>
                </c:pt>
                <c:pt idx="179">
                  <c:v>74550</c:v>
                </c:pt>
                <c:pt idx="180">
                  <c:v>67950</c:v>
                </c:pt>
                <c:pt idx="181">
                  <c:v>70270</c:v>
                </c:pt>
                <c:pt idx="182">
                  <c:v>53540</c:v>
                </c:pt>
              </c:numCache>
            </c:numRef>
          </c:xVal>
          <c:yVal>
            <c:numRef>
              <c:f>Staff!$K$2:$K$184</c:f>
              <c:numCache>
                <c:formatCode>General</c:formatCode>
                <c:ptCount val="183"/>
                <c:pt idx="0">
                  <c:v>3</c:v>
                </c:pt>
                <c:pt idx="1">
                  <c:v>4</c:v>
                </c:pt>
                <c:pt idx="2">
                  <c:v>3</c:v>
                </c:pt>
                <c:pt idx="3">
                  <c:v>3</c:v>
                </c:pt>
                <c:pt idx="4">
                  <c:v>2</c:v>
                </c:pt>
                <c:pt idx="5">
                  <c:v>4</c:v>
                </c:pt>
                <c:pt idx="6">
                  <c:v>3</c:v>
                </c:pt>
                <c:pt idx="7">
                  <c:v>3</c:v>
                </c:pt>
                <c:pt idx="8">
                  <c:v>3</c:v>
                </c:pt>
                <c:pt idx="9">
                  <c:v>4</c:v>
                </c:pt>
                <c:pt idx="10">
                  <c:v>3</c:v>
                </c:pt>
                <c:pt idx="11">
                  <c:v>3</c:v>
                </c:pt>
                <c:pt idx="12">
                  <c:v>4</c:v>
                </c:pt>
                <c:pt idx="13">
                  <c:v>3</c:v>
                </c:pt>
                <c:pt idx="14">
                  <c:v>3</c:v>
                </c:pt>
                <c:pt idx="15">
                  <c:v>2</c:v>
                </c:pt>
                <c:pt idx="16">
                  <c:v>3</c:v>
                </c:pt>
                <c:pt idx="17">
                  <c:v>3</c:v>
                </c:pt>
                <c:pt idx="18">
                  <c:v>3</c:v>
                </c:pt>
                <c:pt idx="19">
                  <c:v>4</c:v>
                </c:pt>
                <c:pt idx="20">
                  <c:v>3</c:v>
                </c:pt>
                <c:pt idx="21">
                  <c:v>2</c:v>
                </c:pt>
                <c:pt idx="22">
                  <c:v>3</c:v>
                </c:pt>
                <c:pt idx="23">
                  <c:v>5</c:v>
                </c:pt>
                <c:pt idx="24">
                  <c:v>3</c:v>
                </c:pt>
                <c:pt idx="25">
                  <c:v>3</c:v>
                </c:pt>
                <c:pt idx="26">
                  <c:v>3</c:v>
                </c:pt>
                <c:pt idx="27">
                  <c:v>3</c:v>
                </c:pt>
                <c:pt idx="28">
                  <c:v>3</c:v>
                </c:pt>
                <c:pt idx="29">
                  <c:v>3</c:v>
                </c:pt>
                <c:pt idx="30">
                  <c:v>3</c:v>
                </c:pt>
                <c:pt idx="31">
                  <c:v>3</c:v>
                </c:pt>
                <c:pt idx="32">
                  <c:v>3</c:v>
                </c:pt>
                <c:pt idx="33">
                  <c:v>4</c:v>
                </c:pt>
                <c:pt idx="34">
                  <c:v>2</c:v>
                </c:pt>
                <c:pt idx="35">
                  <c:v>2</c:v>
                </c:pt>
                <c:pt idx="36">
                  <c:v>3</c:v>
                </c:pt>
                <c:pt idx="37">
                  <c:v>4</c:v>
                </c:pt>
                <c:pt idx="38">
                  <c:v>3</c:v>
                </c:pt>
                <c:pt idx="39">
                  <c:v>3</c:v>
                </c:pt>
                <c:pt idx="40">
                  <c:v>3</c:v>
                </c:pt>
                <c:pt idx="41">
                  <c:v>3</c:v>
                </c:pt>
                <c:pt idx="42">
                  <c:v>3</c:v>
                </c:pt>
                <c:pt idx="43">
                  <c:v>3</c:v>
                </c:pt>
                <c:pt idx="44">
                  <c:v>3</c:v>
                </c:pt>
                <c:pt idx="45">
                  <c:v>3</c:v>
                </c:pt>
                <c:pt idx="46">
                  <c:v>3</c:v>
                </c:pt>
                <c:pt idx="47">
                  <c:v>3</c:v>
                </c:pt>
                <c:pt idx="48">
                  <c:v>4</c:v>
                </c:pt>
                <c:pt idx="49">
                  <c:v>2</c:v>
                </c:pt>
                <c:pt idx="50">
                  <c:v>3</c:v>
                </c:pt>
                <c:pt idx="51">
                  <c:v>4</c:v>
                </c:pt>
                <c:pt idx="52">
                  <c:v>3</c:v>
                </c:pt>
                <c:pt idx="53">
                  <c:v>3</c:v>
                </c:pt>
                <c:pt idx="54">
                  <c:v>3</c:v>
                </c:pt>
                <c:pt idx="55">
                  <c:v>3</c:v>
                </c:pt>
                <c:pt idx="56">
                  <c:v>3</c:v>
                </c:pt>
                <c:pt idx="57">
                  <c:v>3</c:v>
                </c:pt>
                <c:pt idx="58">
                  <c:v>3</c:v>
                </c:pt>
                <c:pt idx="59">
                  <c:v>3</c:v>
                </c:pt>
                <c:pt idx="60">
                  <c:v>2</c:v>
                </c:pt>
                <c:pt idx="61">
                  <c:v>3</c:v>
                </c:pt>
                <c:pt idx="62">
                  <c:v>1</c:v>
                </c:pt>
                <c:pt idx="63">
                  <c:v>5</c:v>
                </c:pt>
                <c:pt idx="64">
                  <c:v>3</c:v>
                </c:pt>
                <c:pt idx="65">
                  <c:v>3</c:v>
                </c:pt>
                <c:pt idx="66">
                  <c:v>3</c:v>
                </c:pt>
                <c:pt idx="67">
                  <c:v>1</c:v>
                </c:pt>
                <c:pt idx="68">
                  <c:v>3</c:v>
                </c:pt>
                <c:pt idx="69">
                  <c:v>3</c:v>
                </c:pt>
                <c:pt idx="70">
                  <c:v>3</c:v>
                </c:pt>
                <c:pt idx="71">
                  <c:v>2</c:v>
                </c:pt>
                <c:pt idx="72">
                  <c:v>3</c:v>
                </c:pt>
                <c:pt idx="73">
                  <c:v>3</c:v>
                </c:pt>
                <c:pt idx="74">
                  <c:v>3</c:v>
                </c:pt>
                <c:pt idx="75">
                  <c:v>3</c:v>
                </c:pt>
                <c:pt idx="76">
                  <c:v>3</c:v>
                </c:pt>
                <c:pt idx="77">
                  <c:v>3</c:v>
                </c:pt>
                <c:pt idx="78">
                  <c:v>3</c:v>
                </c:pt>
                <c:pt idx="79">
                  <c:v>3</c:v>
                </c:pt>
                <c:pt idx="80">
                  <c:v>3</c:v>
                </c:pt>
                <c:pt idx="81">
                  <c:v>3</c:v>
                </c:pt>
                <c:pt idx="82">
                  <c:v>3</c:v>
                </c:pt>
                <c:pt idx="83">
                  <c:v>3</c:v>
                </c:pt>
                <c:pt idx="84">
                  <c:v>1</c:v>
                </c:pt>
                <c:pt idx="85">
                  <c:v>3</c:v>
                </c:pt>
                <c:pt idx="86">
                  <c:v>3</c:v>
                </c:pt>
                <c:pt idx="87">
                  <c:v>3</c:v>
                </c:pt>
                <c:pt idx="88">
                  <c:v>3</c:v>
                </c:pt>
                <c:pt idx="89">
                  <c:v>3</c:v>
                </c:pt>
                <c:pt idx="90">
                  <c:v>4</c:v>
                </c:pt>
                <c:pt idx="91">
                  <c:v>3</c:v>
                </c:pt>
                <c:pt idx="92">
                  <c:v>4</c:v>
                </c:pt>
                <c:pt idx="93">
                  <c:v>3</c:v>
                </c:pt>
                <c:pt idx="94">
                  <c:v>3</c:v>
                </c:pt>
                <c:pt idx="95">
                  <c:v>2</c:v>
                </c:pt>
                <c:pt idx="96">
                  <c:v>3</c:v>
                </c:pt>
                <c:pt idx="97">
                  <c:v>3</c:v>
                </c:pt>
                <c:pt idx="98">
                  <c:v>4</c:v>
                </c:pt>
                <c:pt idx="99">
                  <c:v>3</c:v>
                </c:pt>
                <c:pt idx="100">
                  <c:v>3</c:v>
                </c:pt>
                <c:pt idx="101">
                  <c:v>3</c:v>
                </c:pt>
                <c:pt idx="102">
                  <c:v>2</c:v>
                </c:pt>
                <c:pt idx="103">
                  <c:v>3</c:v>
                </c:pt>
                <c:pt idx="104">
                  <c:v>3</c:v>
                </c:pt>
                <c:pt idx="105">
                  <c:v>3</c:v>
                </c:pt>
                <c:pt idx="106">
                  <c:v>4</c:v>
                </c:pt>
                <c:pt idx="107">
                  <c:v>3</c:v>
                </c:pt>
                <c:pt idx="108">
                  <c:v>3</c:v>
                </c:pt>
                <c:pt idx="109">
                  <c:v>3</c:v>
                </c:pt>
                <c:pt idx="110">
                  <c:v>3</c:v>
                </c:pt>
                <c:pt idx="111">
                  <c:v>3</c:v>
                </c:pt>
                <c:pt idx="112">
                  <c:v>3</c:v>
                </c:pt>
                <c:pt idx="113">
                  <c:v>2</c:v>
                </c:pt>
                <c:pt idx="114">
                  <c:v>3</c:v>
                </c:pt>
                <c:pt idx="115">
                  <c:v>3</c:v>
                </c:pt>
                <c:pt idx="116">
                  <c:v>3</c:v>
                </c:pt>
                <c:pt idx="117">
                  <c:v>5</c:v>
                </c:pt>
                <c:pt idx="118">
                  <c:v>3</c:v>
                </c:pt>
                <c:pt idx="119">
                  <c:v>3</c:v>
                </c:pt>
                <c:pt idx="120">
                  <c:v>3</c:v>
                </c:pt>
                <c:pt idx="121">
                  <c:v>3</c:v>
                </c:pt>
                <c:pt idx="122">
                  <c:v>1</c:v>
                </c:pt>
                <c:pt idx="123">
                  <c:v>3</c:v>
                </c:pt>
                <c:pt idx="124">
                  <c:v>3</c:v>
                </c:pt>
                <c:pt idx="125">
                  <c:v>4</c:v>
                </c:pt>
                <c:pt idx="126">
                  <c:v>2</c:v>
                </c:pt>
                <c:pt idx="127">
                  <c:v>3</c:v>
                </c:pt>
                <c:pt idx="128">
                  <c:v>3</c:v>
                </c:pt>
                <c:pt idx="129">
                  <c:v>3</c:v>
                </c:pt>
                <c:pt idx="130">
                  <c:v>3</c:v>
                </c:pt>
                <c:pt idx="131">
                  <c:v>2</c:v>
                </c:pt>
                <c:pt idx="132">
                  <c:v>3</c:v>
                </c:pt>
                <c:pt idx="133">
                  <c:v>3</c:v>
                </c:pt>
                <c:pt idx="134">
                  <c:v>3</c:v>
                </c:pt>
                <c:pt idx="135">
                  <c:v>3</c:v>
                </c:pt>
                <c:pt idx="136">
                  <c:v>3</c:v>
                </c:pt>
                <c:pt idx="137">
                  <c:v>3</c:v>
                </c:pt>
                <c:pt idx="138">
                  <c:v>2</c:v>
                </c:pt>
                <c:pt idx="139">
                  <c:v>4</c:v>
                </c:pt>
                <c:pt idx="140">
                  <c:v>3</c:v>
                </c:pt>
                <c:pt idx="141">
                  <c:v>3</c:v>
                </c:pt>
                <c:pt idx="142">
                  <c:v>4</c:v>
                </c:pt>
                <c:pt idx="143">
                  <c:v>3</c:v>
                </c:pt>
                <c:pt idx="144">
                  <c:v>3</c:v>
                </c:pt>
                <c:pt idx="145">
                  <c:v>3</c:v>
                </c:pt>
                <c:pt idx="146">
                  <c:v>3</c:v>
                </c:pt>
                <c:pt idx="147">
                  <c:v>5</c:v>
                </c:pt>
                <c:pt idx="148">
                  <c:v>1</c:v>
                </c:pt>
                <c:pt idx="149">
                  <c:v>3</c:v>
                </c:pt>
                <c:pt idx="150">
                  <c:v>3</c:v>
                </c:pt>
                <c:pt idx="151">
                  <c:v>4</c:v>
                </c:pt>
                <c:pt idx="152">
                  <c:v>3</c:v>
                </c:pt>
                <c:pt idx="153">
                  <c:v>3</c:v>
                </c:pt>
                <c:pt idx="154">
                  <c:v>3</c:v>
                </c:pt>
                <c:pt idx="155">
                  <c:v>3</c:v>
                </c:pt>
                <c:pt idx="156">
                  <c:v>4</c:v>
                </c:pt>
                <c:pt idx="157">
                  <c:v>4</c:v>
                </c:pt>
                <c:pt idx="158">
                  <c:v>3</c:v>
                </c:pt>
                <c:pt idx="159">
                  <c:v>3</c:v>
                </c:pt>
                <c:pt idx="160">
                  <c:v>3</c:v>
                </c:pt>
                <c:pt idx="161">
                  <c:v>3</c:v>
                </c:pt>
                <c:pt idx="162">
                  <c:v>3</c:v>
                </c:pt>
                <c:pt idx="163">
                  <c:v>2</c:v>
                </c:pt>
                <c:pt idx="164">
                  <c:v>3</c:v>
                </c:pt>
                <c:pt idx="165">
                  <c:v>3</c:v>
                </c:pt>
                <c:pt idx="166">
                  <c:v>3</c:v>
                </c:pt>
                <c:pt idx="167">
                  <c:v>3</c:v>
                </c:pt>
                <c:pt idx="168">
                  <c:v>3</c:v>
                </c:pt>
                <c:pt idx="169">
                  <c:v>4</c:v>
                </c:pt>
                <c:pt idx="170">
                  <c:v>3</c:v>
                </c:pt>
                <c:pt idx="171">
                  <c:v>3</c:v>
                </c:pt>
                <c:pt idx="172">
                  <c:v>3</c:v>
                </c:pt>
                <c:pt idx="173">
                  <c:v>3</c:v>
                </c:pt>
                <c:pt idx="174">
                  <c:v>1</c:v>
                </c:pt>
                <c:pt idx="175">
                  <c:v>3</c:v>
                </c:pt>
                <c:pt idx="176">
                  <c:v>3</c:v>
                </c:pt>
                <c:pt idx="177">
                  <c:v>3</c:v>
                </c:pt>
                <c:pt idx="178">
                  <c:v>3</c:v>
                </c:pt>
                <c:pt idx="179">
                  <c:v>3</c:v>
                </c:pt>
                <c:pt idx="180">
                  <c:v>3</c:v>
                </c:pt>
                <c:pt idx="181">
                  <c:v>2</c:v>
                </c:pt>
                <c:pt idx="182">
                  <c:v>3</c:v>
                </c:pt>
              </c:numCache>
            </c:numRef>
          </c:yVal>
          <c:smooth val="0"/>
          <c:extLst>
            <c:ext xmlns:c16="http://schemas.microsoft.com/office/drawing/2014/chart" uri="{C3380CC4-5D6E-409C-BE32-E72D297353CC}">
              <c16:uniqueId val="{00000000-DADA-402E-9B29-5BECB5D11BF8}"/>
            </c:ext>
          </c:extLst>
        </c:ser>
        <c:dLbls>
          <c:showLegendKey val="0"/>
          <c:showVal val="0"/>
          <c:showCatName val="0"/>
          <c:showSerName val="0"/>
          <c:showPercent val="0"/>
          <c:showBubbleSize val="0"/>
        </c:dLbls>
        <c:axId val="1326017440"/>
        <c:axId val="1326033760"/>
      </c:scatterChart>
      <c:valAx>
        <c:axId val="1326017440"/>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033760"/>
        <c:crosses val="autoZero"/>
        <c:crossBetween val="midCat"/>
      </c:valAx>
      <c:valAx>
        <c:axId val="1326033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6017440"/>
        <c:crosses val="autoZero"/>
        <c:crossBetween val="midCat"/>
      </c:valAx>
      <c:spPr>
        <a:noFill/>
        <a:ln>
          <a:solidFill>
            <a:schemeClr val="accent1">
              <a:alpha val="97000"/>
            </a:schemeClr>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@.xlsx]Number of people!PivotTable1</c:name>
    <c:fmtId val="4"/>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'Number of people'!$G$17</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'Number of people'!$F$18:$F$22</c:f>
              <c:strCache>
                <c:ptCount val="4"/>
                <c:pt idx="0">
                  <c:v>2020</c:v>
                </c:pt>
                <c:pt idx="1">
                  <c:v>2021</c:v>
                </c:pt>
                <c:pt idx="2">
                  <c:v>2022</c:v>
                </c:pt>
                <c:pt idx="3">
                  <c:v>2023</c:v>
                </c:pt>
              </c:strCache>
            </c:strRef>
          </c:cat>
          <c:val>
            <c:numRef>
              <c:f>'Number of people'!$G$18:$G$22</c:f>
              <c:numCache>
                <c:formatCode>General</c:formatCode>
                <c:ptCount val="4"/>
                <c:pt idx="0">
                  <c:v>37</c:v>
                </c:pt>
                <c:pt idx="1">
                  <c:v>119</c:v>
                </c:pt>
                <c:pt idx="2">
                  <c:v>181</c:v>
                </c:pt>
                <c:pt idx="3">
                  <c:v>183</c:v>
                </c:pt>
              </c:numCache>
            </c:numRef>
          </c:val>
          <c:smooth val="0"/>
          <c:extLst>
            <c:ext xmlns:c16="http://schemas.microsoft.com/office/drawing/2014/chart" uri="{C3380CC4-5D6E-409C-BE32-E72D297353CC}">
              <c16:uniqueId val="{00000000-19B6-47FD-B72D-A5B0548CC7DA}"/>
            </c:ext>
          </c:extLst>
        </c:ser>
        <c:dLbls>
          <c:showLegendKey val="0"/>
          <c:showVal val="0"/>
          <c:showCatName val="0"/>
          <c:showSerName val="0"/>
          <c:showPercent val="0"/>
          <c:showBubbleSize val="0"/>
        </c:dLbls>
        <c:marker val="1"/>
        <c:smooth val="0"/>
        <c:axId val="1326032320"/>
        <c:axId val="1326032800"/>
      </c:lineChart>
      <c:catAx>
        <c:axId val="1326032320"/>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6032800"/>
        <c:crosses val="autoZero"/>
        <c:auto val="1"/>
        <c:lblAlgn val="ctr"/>
        <c:lblOffset val="100"/>
        <c:noMultiLvlLbl val="0"/>
      </c:catAx>
      <c:valAx>
        <c:axId val="132603280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60323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'Number of people'!$D$2</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'Number of people'!$B$3:$B$38</c:f>
              <c:numCache>
                <c:formatCode>mmm\-yy</c:formatCode>
                <c:ptCount val="36"/>
                <c:pt idx="0">
                  <c:v>43956</c:v>
                </c:pt>
                <c:pt idx="1">
                  <c:v>43987</c:v>
                </c:pt>
                <c:pt idx="2">
                  <c:v>44017</c:v>
                </c:pt>
                <c:pt idx="3">
                  <c:v>44048</c:v>
                </c:pt>
                <c:pt idx="4">
                  <c:v>44079</c:v>
                </c:pt>
                <c:pt idx="5">
                  <c:v>44109</c:v>
                </c:pt>
                <c:pt idx="6">
                  <c:v>44140</c:v>
                </c:pt>
                <c:pt idx="7">
                  <c:v>44170</c:v>
                </c:pt>
                <c:pt idx="8">
                  <c:v>44201</c:v>
                </c:pt>
                <c:pt idx="9">
                  <c:v>44232</c:v>
                </c:pt>
                <c:pt idx="10">
                  <c:v>44260</c:v>
                </c:pt>
                <c:pt idx="11">
                  <c:v>44291</c:v>
                </c:pt>
                <c:pt idx="12">
                  <c:v>44321</c:v>
                </c:pt>
                <c:pt idx="13">
                  <c:v>44352</c:v>
                </c:pt>
                <c:pt idx="14">
                  <c:v>44382</c:v>
                </c:pt>
                <c:pt idx="15">
                  <c:v>44413</c:v>
                </c:pt>
                <c:pt idx="16">
                  <c:v>44444</c:v>
                </c:pt>
                <c:pt idx="17">
                  <c:v>44474</c:v>
                </c:pt>
                <c:pt idx="18">
                  <c:v>44505</c:v>
                </c:pt>
                <c:pt idx="19">
                  <c:v>44535</c:v>
                </c:pt>
                <c:pt idx="20">
                  <c:v>44566</c:v>
                </c:pt>
                <c:pt idx="21">
                  <c:v>44597</c:v>
                </c:pt>
                <c:pt idx="22">
                  <c:v>44625</c:v>
                </c:pt>
                <c:pt idx="23">
                  <c:v>44656</c:v>
                </c:pt>
                <c:pt idx="24">
                  <c:v>44686</c:v>
                </c:pt>
                <c:pt idx="25">
                  <c:v>44717</c:v>
                </c:pt>
                <c:pt idx="26">
                  <c:v>44747</c:v>
                </c:pt>
                <c:pt idx="27">
                  <c:v>44778</c:v>
                </c:pt>
                <c:pt idx="28">
                  <c:v>44809</c:v>
                </c:pt>
                <c:pt idx="29">
                  <c:v>44839</c:v>
                </c:pt>
                <c:pt idx="30">
                  <c:v>44870</c:v>
                </c:pt>
                <c:pt idx="31">
                  <c:v>44900</c:v>
                </c:pt>
                <c:pt idx="32">
                  <c:v>44931</c:v>
                </c:pt>
                <c:pt idx="33">
                  <c:v>44962</c:v>
                </c:pt>
                <c:pt idx="34">
                  <c:v>44990</c:v>
                </c:pt>
                <c:pt idx="35">
                  <c:v>45021</c:v>
                </c:pt>
              </c:numCache>
            </c:numRef>
          </c:cat>
          <c:val>
            <c:numRef>
              <c:f>'Number of people'!$D$3:$D$38</c:f>
              <c:numCache>
                <c:formatCode>General</c:formatCode>
                <c:ptCount val="36"/>
                <c:pt idx="0">
                  <c:v>3</c:v>
                </c:pt>
                <c:pt idx="1">
                  <c:v>4</c:v>
                </c:pt>
                <c:pt idx="2">
                  <c:v>9</c:v>
                </c:pt>
                <c:pt idx="3">
                  <c:v>12</c:v>
                </c:pt>
                <c:pt idx="4">
                  <c:v>18</c:v>
                </c:pt>
                <c:pt idx="5">
                  <c:v>24</c:v>
                </c:pt>
                <c:pt idx="6">
                  <c:v>30</c:v>
                </c:pt>
                <c:pt idx="7">
                  <c:v>37</c:v>
                </c:pt>
                <c:pt idx="8">
                  <c:v>43</c:v>
                </c:pt>
                <c:pt idx="9">
                  <c:v>47</c:v>
                </c:pt>
                <c:pt idx="10">
                  <c:v>55</c:v>
                </c:pt>
                <c:pt idx="11">
                  <c:v>60</c:v>
                </c:pt>
                <c:pt idx="12">
                  <c:v>68</c:v>
                </c:pt>
                <c:pt idx="13">
                  <c:v>73</c:v>
                </c:pt>
                <c:pt idx="14">
                  <c:v>84</c:v>
                </c:pt>
                <c:pt idx="15">
                  <c:v>87</c:v>
                </c:pt>
                <c:pt idx="16">
                  <c:v>97</c:v>
                </c:pt>
                <c:pt idx="17">
                  <c:v>100</c:v>
                </c:pt>
                <c:pt idx="18">
                  <c:v>104</c:v>
                </c:pt>
                <c:pt idx="19">
                  <c:v>111</c:v>
                </c:pt>
                <c:pt idx="20">
                  <c:v>114</c:v>
                </c:pt>
                <c:pt idx="21">
                  <c:v>123</c:v>
                </c:pt>
                <c:pt idx="22">
                  <c:v>132</c:v>
                </c:pt>
                <c:pt idx="23">
                  <c:v>140</c:v>
                </c:pt>
                <c:pt idx="24">
                  <c:v>148</c:v>
                </c:pt>
                <c:pt idx="25">
                  <c:v>154</c:v>
                </c:pt>
                <c:pt idx="26">
                  <c:v>158</c:v>
                </c:pt>
                <c:pt idx="27">
                  <c:v>162</c:v>
                </c:pt>
                <c:pt idx="28">
                  <c:v>164</c:v>
                </c:pt>
                <c:pt idx="29">
                  <c:v>167</c:v>
                </c:pt>
                <c:pt idx="30">
                  <c:v>167</c:v>
                </c:pt>
                <c:pt idx="31">
                  <c:v>167</c:v>
                </c:pt>
                <c:pt idx="32">
                  <c:v>167</c:v>
                </c:pt>
                <c:pt idx="33">
                  <c:v>168</c:v>
                </c:pt>
                <c:pt idx="34">
                  <c:v>168</c:v>
                </c:pt>
                <c:pt idx="35">
                  <c:v>169</c:v>
                </c:pt>
              </c:numCache>
            </c:numRef>
          </c:val>
          <c:smooth val="0"/>
          <c:extLst>
            <c:ext xmlns:c16="http://schemas.microsoft.com/office/drawing/2014/chart" uri="{C3380CC4-5D6E-409C-BE32-E72D297353CC}">
              <c16:uniqueId val="{00000000-A75C-4A74-A332-09EB6E7F9478}"/>
            </c:ext>
          </c:extLst>
        </c:ser>
        <c:dLbls>
          <c:showLegendKey val="0"/>
          <c:showVal val="0"/>
          <c:showCatName val="0"/>
          <c:showSerName val="0"/>
          <c:showPercent val="0"/>
          <c:showBubbleSize val="0"/>
        </c:dLbls>
        <c:marker val="1"/>
        <c:smooth val="0"/>
        <c:axId val="749358047"/>
        <c:axId val="749358527"/>
      </c:lineChart>
      <c:dateAx>
        <c:axId val="749358047"/>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358527"/>
        <c:crosses val="autoZero"/>
        <c:auto val="1"/>
        <c:lblOffset val="100"/>
        <c:baseTimeUnit val="months"/>
      </c:dateAx>
      <c:valAx>
        <c:axId val="7493585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93580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@.xlsx]Sheet3!PivotTable1</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21218589134216"/>
          <c:y val="0.259258566841156"/>
          <c:w val="0.7192347932314912"/>
          <c:h val="0.71649071100749273"/>
        </c:manualLayout>
      </c:layout>
      <c:barChart>
        <c:barDir val="bar"/>
        <c:grouping val="stacked"/>
        <c:varyColors val="0"/>
        <c:ser>
          <c:idx val="0"/>
          <c:order val="0"/>
          <c:tx>
            <c:strRef>
              <c:f>Sheet3!$C$4</c:f>
              <c:strCache>
                <c:ptCount val="1"/>
                <c:pt idx="0">
                  <c:v>Total</c:v>
                </c:pt>
              </c:strCache>
            </c:strRef>
          </c:tx>
          <c:spPr>
            <a:solidFill>
              <a:schemeClr val="accent1"/>
            </a:solidFill>
            <a:ln>
              <a:noFill/>
            </a:ln>
            <a:effectLst/>
          </c:spPr>
          <c:invertIfNegative val="0"/>
          <c:cat>
            <c:strRef>
              <c:f>Sheet3!$B$5:$B$10</c:f>
              <c:strCache>
                <c:ptCount val="5"/>
                <c:pt idx="0">
                  <c:v>Website</c:v>
                </c:pt>
                <c:pt idx="1">
                  <c:v>Procurement</c:v>
                </c:pt>
                <c:pt idx="2">
                  <c:v>Finance</c:v>
                </c:pt>
                <c:pt idx="3">
                  <c:v>Sales</c:v>
                </c:pt>
                <c:pt idx="4">
                  <c:v>HR</c:v>
                </c:pt>
              </c:strCache>
            </c:strRef>
          </c:cat>
          <c:val>
            <c:numRef>
              <c:f>Sheet3!$C$5:$C$10</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BE7D-4D1B-9024-F0D222B98A7D}"/>
            </c:ext>
          </c:extLst>
        </c:ser>
        <c:dLbls>
          <c:showLegendKey val="0"/>
          <c:showVal val="0"/>
          <c:showCatName val="0"/>
          <c:showSerName val="0"/>
          <c:showPercent val="0"/>
          <c:showBubbleSize val="0"/>
        </c:dLbls>
        <c:gapWidth val="25"/>
        <c:overlap val="100"/>
        <c:axId val="757351919"/>
        <c:axId val="757342319"/>
      </c:barChart>
      <c:catAx>
        <c:axId val="7573519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342319"/>
        <c:crosses val="autoZero"/>
        <c:auto val="1"/>
        <c:lblAlgn val="ctr"/>
        <c:lblOffset val="100"/>
        <c:noMultiLvlLbl val="0"/>
      </c:catAx>
      <c:valAx>
        <c:axId val="75734231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57351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 @.xlsx]Sheet3!PivotTable2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Sheet3!$F$4</c:f>
              <c:strCache>
                <c:ptCount val="1"/>
                <c:pt idx="0">
                  <c:v>Total</c:v>
                </c:pt>
              </c:strCache>
            </c:strRef>
          </c:tx>
          <c:spPr>
            <a:solidFill>
              <a:schemeClr val="accent2"/>
            </a:solidFill>
            <a:ln>
              <a:noFill/>
            </a:ln>
            <a:effectLst/>
          </c:spPr>
          <c:invertIfNegative val="0"/>
          <c:cat>
            <c:strRef>
              <c:f>Sheet3!$E$5:$E$10</c:f>
              <c:strCache>
                <c:ptCount val="5"/>
                <c:pt idx="0">
                  <c:v>Procurement</c:v>
                </c:pt>
                <c:pt idx="1">
                  <c:v>Website</c:v>
                </c:pt>
                <c:pt idx="2">
                  <c:v>Finance</c:v>
                </c:pt>
                <c:pt idx="3">
                  <c:v>Sales</c:v>
                </c:pt>
                <c:pt idx="4">
                  <c:v>HR</c:v>
                </c:pt>
              </c:strCache>
            </c:strRef>
          </c:cat>
          <c:val>
            <c:numRef>
              <c:f>Sheet3!$F$5:$F$10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3300-4B76-9F0A-09BC31E3BADD}"/>
            </c:ext>
          </c:extLst>
        </c:ser>
        <c:dLbls>
          <c:showLegendKey val="0"/>
          <c:showVal val="0"/>
          <c:showCatName val="0"/>
          <c:showSerName val="0"/>
          <c:showPercent val="0"/>
          <c:showBubbleSize val="0"/>
        </c:dLbls>
        <c:gapWidth val="25"/>
        <c:overlap val="100"/>
        <c:axId val="880869599"/>
        <c:axId val="880870079"/>
      </c:barChart>
      <c:catAx>
        <c:axId val="8808695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70079"/>
        <c:crosses val="autoZero"/>
        <c:auto val="1"/>
        <c:lblAlgn val="ctr"/>
        <c:lblOffset val="100"/>
        <c:noMultiLvlLbl val="0"/>
      </c:catAx>
      <c:valAx>
        <c:axId val="88087007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0869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salary spread - by $10k</a:t>
            </a:r>
          </a:p>
          <a:p>
            <a:pPr algn="ctr" rtl="0">
              <a:defRPr/>
            </a:pPr>
            <a:endParaRPr lang="en-US" sz="14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endParaRPr>
          </a:p>
        </cx:rich>
      </cx:tx>
    </cx:title>
    <cx:plotArea>
      <cx:plotAreaRegion>
        <cx:series layoutId="clusteredColumn" uniqueId="{401B1D59-EB34-4551-9FE7-364901E0BE62}" formatIdx="0">
          <cx:tx>
            <cx:txData>
              <cx:f>_xlchart.v1.1</cx:f>
              <cx:v>Salary</cx:v>
            </cx:txData>
          </cx:tx>
          <cx:dataId val="0"/>
          <cx:layoutPr>
            <cx:binning intervalClosed="r" underflow="30000">
              <cx:binSize val="10000"/>
            </cx:binning>
          </cx:layoutPr>
        </cx:series>
      </cx:plotAreaRegion>
      <cx:axis id="0">
        <cx:catScaling gapWidth="0"/>
        <cx:title/>
        <cx:tickLabels/>
        <cx:numFmt formatCode="[$$-en-US]#,##0" sourceLinked="0"/>
      </cx:axis>
      <cx:axis id="1">
        <cx:valScaling/>
        <cx:title/>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boxplot</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584B7103-F1A6-4566-B2CC-D034CC998574}">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4</xdr:col>
      <xdr:colOff>411480</xdr:colOff>
      <xdr:row>3</xdr:row>
      <xdr:rowOff>160020</xdr:rowOff>
    </xdr:from>
    <xdr:to>
      <xdr:col>6</xdr:col>
      <xdr:colOff>594360</xdr:colOff>
      <xdr:row>9</xdr:row>
      <xdr:rowOff>167639</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AA766316-3991-8DF6-AFCF-5B017025228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053840" y="754380"/>
              <a:ext cx="1828800" cy="11048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xdr:colOff>
      <xdr:row>2</xdr:row>
      <xdr:rowOff>0</xdr:rowOff>
    </xdr:from>
    <xdr:to>
      <xdr:col>8</xdr:col>
      <xdr:colOff>312420</xdr:colOff>
      <xdr:row>17</xdr:row>
      <xdr:rowOff>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237A08C-AA57-4FDA-B02F-0A49850742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17220" y="36576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7620</xdr:colOff>
      <xdr:row>2</xdr:row>
      <xdr:rowOff>7620</xdr:rowOff>
    </xdr:from>
    <xdr:to>
      <xdr:col>12</xdr:col>
      <xdr:colOff>487680</xdr:colOff>
      <xdr:row>24</xdr:row>
      <xdr:rowOff>83820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A0EA19D-7016-4512-A04F-9CD3528163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494020" y="373380"/>
              <a:ext cx="2308860" cy="40995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129540</xdr:colOff>
      <xdr:row>2</xdr:row>
      <xdr:rowOff>0</xdr:rowOff>
    </xdr:from>
    <xdr:to>
      <xdr:col>19</xdr:col>
      <xdr:colOff>15240</xdr:colOff>
      <xdr:row>20</xdr:row>
      <xdr:rowOff>53340</xdr:rowOff>
    </xdr:to>
    <xdr:graphicFrame macro="">
      <xdr:nvGraphicFramePr>
        <xdr:cNvPr id="3" name="Chart 2">
          <a:extLst>
            <a:ext uri="{FF2B5EF4-FFF2-40B4-BE49-F238E27FC236}">
              <a16:creationId xmlns:a16="http://schemas.microsoft.com/office/drawing/2014/main" id="{FFB66BD5-86D3-427A-8476-D641FC2707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220980</xdr:colOff>
      <xdr:row>15</xdr:row>
      <xdr:rowOff>160020</xdr:rowOff>
    </xdr:from>
    <xdr:to>
      <xdr:col>14</xdr:col>
      <xdr:colOff>83820</xdr:colOff>
      <xdr:row>27</xdr:row>
      <xdr:rowOff>152400</xdr:rowOff>
    </xdr:to>
    <xdr:graphicFrame macro="">
      <xdr:nvGraphicFramePr>
        <xdr:cNvPr id="2" name="Chart 1">
          <a:extLst>
            <a:ext uri="{FF2B5EF4-FFF2-40B4-BE49-F238E27FC236}">
              <a16:creationId xmlns:a16="http://schemas.microsoft.com/office/drawing/2014/main" id="{FFA2DDC9-168E-C00B-3803-96550D999C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655320</xdr:colOff>
      <xdr:row>0</xdr:row>
      <xdr:rowOff>22860</xdr:rowOff>
    </xdr:from>
    <xdr:to>
      <xdr:col>11</xdr:col>
      <xdr:colOff>144780</xdr:colOff>
      <xdr:row>14</xdr:row>
      <xdr:rowOff>91440</xdr:rowOff>
    </xdr:to>
    <xdr:graphicFrame macro="">
      <xdr:nvGraphicFramePr>
        <xdr:cNvPr id="3" name="Chart 2">
          <a:extLst>
            <a:ext uri="{FF2B5EF4-FFF2-40B4-BE49-F238E27FC236}">
              <a16:creationId xmlns:a16="http://schemas.microsoft.com/office/drawing/2014/main" id="{77F65F1B-03B3-29B0-793A-11A88743B3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586740</xdr:colOff>
      <xdr:row>7</xdr:row>
      <xdr:rowOff>7620</xdr:rowOff>
    </xdr:from>
    <xdr:to>
      <xdr:col>8</xdr:col>
      <xdr:colOff>53340</xdr:colOff>
      <xdr:row>21</xdr:row>
      <xdr:rowOff>175260</xdr:rowOff>
    </xdr:to>
    <xdr:graphicFrame macro="">
      <xdr:nvGraphicFramePr>
        <xdr:cNvPr id="2" name="Chart 1">
          <a:extLst>
            <a:ext uri="{FF2B5EF4-FFF2-40B4-BE49-F238E27FC236}">
              <a16:creationId xmlns:a16="http://schemas.microsoft.com/office/drawing/2014/main" id="{95D3FA6E-1EE4-4CE4-9915-486A9744DD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594360</xdr:colOff>
      <xdr:row>6</xdr:row>
      <xdr:rowOff>175260</xdr:rowOff>
    </xdr:from>
    <xdr:to>
      <xdr:col>15</xdr:col>
      <xdr:colOff>30480</xdr:colOff>
      <xdr:row>21</xdr:row>
      <xdr:rowOff>175260</xdr:rowOff>
    </xdr:to>
    <xdr:graphicFrame macro="">
      <xdr:nvGraphicFramePr>
        <xdr:cNvPr id="3" name="Chart 2">
          <a:extLst>
            <a:ext uri="{FF2B5EF4-FFF2-40B4-BE49-F238E27FC236}">
              <a16:creationId xmlns:a16="http://schemas.microsoft.com/office/drawing/2014/main" id="{E24FE929-841F-4473-9C51-524F701826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1</xdr:row>
      <xdr:rowOff>7620</xdr:rowOff>
    </xdr:from>
    <xdr:to>
      <xdr:col>9</xdr:col>
      <xdr:colOff>7620</xdr:colOff>
      <xdr:row>23</xdr:row>
      <xdr:rowOff>144780</xdr:rowOff>
    </xdr:to>
    <xdr:cxnSp macro="">
      <xdr:nvCxnSpPr>
        <xdr:cNvPr id="5" name="Straight Connector 4">
          <a:extLst>
            <a:ext uri="{FF2B5EF4-FFF2-40B4-BE49-F238E27FC236}">
              <a16:creationId xmlns:a16="http://schemas.microsoft.com/office/drawing/2014/main" id="{639C9682-BE2E-D886-72B8-47AD4C43940A}"/>
            </a:ext>
          </a:extLst>
        </xdr:cNvPr>
        <xdr:cNvCxnSpPr/>
      </xdr:nvCxnSpPr>
      <xdr:spPr>
        <a:xfrm>
          <a:off x="5707380" y="373380"/>
          <a:ext cx="7620" cy="5196840"/>
        </a:xfrm>
        <a:prstGeom prst="line">
          <a:avLst/>
        </a:prstGeom>
        <a:ln>
          <a:solidFill>
            <a:schemeClr val="bg1">
              <a:lumMod val="75000"/>
            </a:schemeClr>
          </a:solidFill>
          <a:prstDash val="sysDash"/>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ya Jain" refreshedDate="45568.421922569447" backgroundQuery="1" createdVersion="8" refreshedVersion="8" minRefreshableVersion="3" recordCount="0" supportSubquery="1" supportAdvancedDrill="1" xr:uid="{257F006A-4DFF-43D7-B0F4-FFFB1F5E747C}">
  <cacheSource type="external" connectionId="4"/>
  <cacheFields count="3">
    <cacheField name="[Staff].[Rating].[Rating]" caption="Rating" numFmtId="0" hierarchy="3" level="1">
      <sharedItems count="5">
        <s v="Above average"/>
        <s v="Average"/>
        <s v="Exceptional"/>
        <s v="Poor"/>
        <s v="Very poor"/>
      </sharedItems>
    </cacheField>
    <cacheField name="[Measures].[Average of Salary]" caption="Average of Salary" numFmtId="0" hierarchy="17" level="32767"/>
    <cacheField name="[Measures].[Count of Name]" caption="Count of Name" numFmtId="0" hierarchy="23"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ya Jain" refreshedDate="45568.421926041665" backgroundQuery="1" createdVersion="8" refreshedVersion="8" minRefreshableVersion="3" recordCount="0" supportSubquery="1" supportAdvancedDrill="1" xr:uid="{554E77E5-7527-4659-99A4-3718E7046256}">
  <cacheSource type="external" connectionId="4"/>
  <cacheFields count="6">
    <cacheField name="[Staff].[Gender].[Gender]" caption="Gender" numFmtId="0" hierarchy="1" level="1">
      <sharedItems count="2">
        <s v="Female"/>
        <s v="Male"/>
      </sharedItems>
    </cacheField>
    <cacheField name="[Measures].[Count of Gender]" caption="Count of Gender" numFmtId="0" hierarchy="15" level="32767"/>
    <cacheField name="[Measures].[Average of Salary]" caption="Average of Salary" numFmtId="0" hierarchy="17" level="32767"/>
    <cacheField name="[Measures].[Average of Age]" caption="Average of Age" numFmtId="0" hierarchy="19" level="32767"/>
    <cacheField name="[Staff].[Country].[Country]" caption="Country" numFmtId="0" hierarchy="7" level="1">
      <sharedItems containsSemiMixedTypes="0" containsNonDate="0" containsString="0"/>
    </cacheField>
    <cacheField name="[Measures].[Average of Tenure]" caption="Average of Tenure" numFmtId="0" hierarchy="22" level="32767"/>
  </cacheFields>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4"/>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oneField="1" hidden="1">
      <fieldsUsage count="1">
        <fieldUsage x="1"/>
      </fieldsUsage>
      <extLst>
        <ext xmlns:x15="http://schemas.microsoft.com/office/spreadsheetml/2010/11/main" uri="{B97F6D7D-B522-45F9-BDA1-12C45D357490}">
          <x15:cacheHierarchy aggregatedColumn="1"/>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3"/>
      </fieldsUsage>
      <extLst>
        <ext xmlns:x15="http://schemas.microsoft.com/office/spreadsheetml/2010/11/main" uri="{B97F6D7D-B522-45F9-BDA1-12C45D357490}">
          <x15:cacheHierarchy aggregatedColumn="2"/>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5"/>
      </fieldsUsage>
      <extLst>
        <ext xmlns:x15="http://schemas.microsoft.com/office/spreadsheetml/2010/11/main" uri="{B97F6D7D-B522-45F9-BDA1-12C45D357490}">
          <x15:cacheHierarchy aggregatedColumn="8"/>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ya Jain" refreshedDate="45568.551335648146" backgroundQuery="1" createdVersion="8" refreshedVersion="8" minRefreshableVersion="3" recordCount="0" supportSubquery="1" supportAdvancedDrill="1" xr:uid="{E06E7B36-0D46-4DE4-8BCC-38B61A8CB940}">
  <cacheSource type="external" connectionId="4"/>
  <cacheFields count="3">
    <cacheField name="[Measures].[Count of Name]" caption="Count of Name" numFmtId="0" hierarchy="23" level="32767"/>
    <cacheField name="[Staff].[Date Joined (Month)].[Date Joined (Month)]" caption="Date Joined (Month)" numFmtId="0" hierarchy="11" level="1">
      <sharedItems count="2">
        <s v="Feb"/>
        <s v="Apr"/>
      </sharedItems>
    </cacheField>
    <cacheField name="[Staff].[Date Joined (Year)].[Date Joined (Year)]" caption="Date Joined (Year)" numFmtId="0" hierarchy="9" level="1">
      <sharedItems count="4">
        <s v="2020"/>
        <s v="2021"/>
        <s v="2022"/>
        <s v="2023"/>
      </sharedItems>
    </cacheField>
  </cacheFields>
  <cacheHierarchies count="24">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2"/>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1"/>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ya Jain" refreshedDate="45568.590010416665" backgroundQuery="1" createdVersion="8" refreshedVersion="8" minRefreshableVersion="3" recordCount="0" supportSubquery="1" supportAdvancedDrill="1" xr:uid="{E88E69AA-84C1-4D9E-B4A5-9AE49C8A8779}">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ya Jain" refreshedDate="45568.59091979167" backgroundQuery="1" createdVersion="8" refreshedVersion="8" minRefreshableVersion="3" recordCount="0" supportSubquery="1" supportAdvancedDrill="1" xr:uid="{1DBA19BC-D10D-4DA3-BFDF-FDC62B707810}">
  <cacheSource type="external" connectionId="4"/>
  <cacheFields count="3">
    <cacheField name="[Staff].[Department].[Department]" caption="Department" numFmtId="0" hierarchy="5" level="1">
      <sharedItems count="5">
        <s v="Finance"/>
        <s v="HR"/>
        <s v="Procurement"/>
        <s v="Sales"/>
        <s v="Website"/>
      </sharedItems>
    </cacheField>
    <cacheField name="[Measures].[Count of Name]" caption="Count of Name" numFmtId="0" hierarchy="23" level="32767"/>
    <cacheField name="[Staff].[Country].[Country]" caption="Country" numFmtId="0" hierarchy="7" level="1">
      <sharedItems containsSemiMixedTypes="0" containsNonDate="0" containsString="0"/>
    </cacheField>
  </cacheFields>
  <cacheHierarchies count="24">
    <cacheHierarchy uniqueName="[Staff].[Name]" caption="Name" attribute="1" defaultMemberUniqueName="[Staff].[Name].[All]" allUniqueName="[Staff].[Name].[All]" dimensionUniqueName="[Staff]" displayFolder="" count="2"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iya Jain" refreshedDate="45568.421923495371" backgroundQuery="1" createdVersion="3" refreshedVersion="8" minRefreshableVersion="3" recordCount="0" supportSubquery="1" supportAdvancedDrill="1" xr:uid="{791361C2-6A99-419A-9011-E9428F73F5C0}">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Gender]" caption="Count of Gender" measure="1" displayFolder="" measureGroup="Staff" count="0" hidden="1">
      <extLst>
        <ext xmlns:x15="http://schemas.microsoft.com/office/spreadsheetml/2010/11/main" uri="{B97F6D7D-B522-45F9-BDA1-12C45D357490}">
          <x15:cacheHierarchy aggregatedColumn="1"/>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Count of Rating]" caption="Count of Rating" measure="1" displayFolder="" measureGroup="Staff" count="0" hidden="1">
      <extLst>
        <ext xmlns:x15="http://schemas.microsoft.com/office/spreadsheetml/2010/11/main" uri="{B97F6D7D-B522-45F9-BDA1-12C45D357490}">
          <x15:cacheHierarchy aggregatedColumn="3"/>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15328366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13E395-8032-4DCC-9797-CE90853FE1DF}" name="PivotTable1" cacheId="1"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5:D10"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Fields count="1">
    <field x="-2"/>
  </rowFields>
  <rowItems count="4">
    <i>
      <x/>
    </i>
    <i i="1">
      <x v="1"/>
    </i>
    <i i="2">
      <x v="2"/>
    </i>
    <i i="3">
      <x v="3"/>
    </i>
  </rowItems>
  <colFields count="1">
    <field x="0"/>
  </colFields>
  <colItems count="2">
    <i>
      <x/>
    </i>
    <i>
      <x v="1"/>
    </i>
  </colItems>
  <dataFields count="4">
    <dataField name="Count of Gender" fld="1" subtotal="count" baseField="0" baseItem="0"/>
    <dataField name="Average of Salary" fld="2" subtotal="average" baseField="0" baseItem="0"/>
    <dataField name="Average of Age" fld="3" subtotal="average" baseField="0" baseItem="0"/>
    <dataField name="Average of Tenure" fld="5" subtotal="average" baseField="0" baseItem="0"/>
  </dataFields>
  <formats count="6">
    <format dxfId="8">
      <pivotArea collapsedLevelsAreSubtotals="1" fieldPosition="0">
        <references count="2">
          <reference field="4294967294" count="1">
            <x v="1"/>
          </reference>
          <reference field="0" count="1" selected="0">
            <x v="0"/>
          </reference>
        </references>
      </pivotArea>
    </format>
    <format dxfId="7">
      <pivotArea collapsedLevelsAreSubtotals="1" fieldPosition="0">
        <references count="2">
          <reference field="4294967294" count="1">
            <x v="2"/>
          </reference>
          <reference field="0" count="1" selected="0">
            <x v="0"/>
          </reference>
        </references>
      </pivotArea>
    </format>
    <format dxfId="6">
      <pivotArea collapsedLevelsAreSubtotals="1" fieldPosition="0">
        <references count="2">
          <reference field="4294967294" count="1">
            <x v="1"/>
          </reference>
          <reference field="0" count="1" selected="0">
            <x v="1"/>
          </reference>
        </references>
      </pivotArea>
    </format>
    <format dxfId="5">
      <pivotArea collapsedLevelsAreSubtotals="1" fieldPosition="0">
        <references count="2">
          <reference field="4294967294" count="1">
            <x v="2"/>
          </reference>
          <reference field="0" count="1" selected="0">
            <x v="1"/>
          </reference>
        </references>
      </pivotArea>
    </format>
    <format dxfId="4">
      <pivotArea collapsedLevelsAreSubtotals="1" fieldPosition="0">
        <references count="2">
          <reference field="4294967294" count="1">
            <x v="3"/>
          </reference>
          <reference field="0" count="1" selected="0">
            <x v="1"/>
          </reference>
        </references>
      </pivotArea>
    </format>
    <format dxfId="3">
      <pivotArea collapsedLevelsAreSubtotals="1" fieldPosition="0">
        <references count="2">
          <reference field="4294967294" count="1">
            <x v="3"/>
          </reference>
          <reference field="0" count="1" selected="0">
            <x v="0"/>
          </reference>
        </references>
      </pivotArea>
    </format>
  </formats>
  <pivotHierarchies count="24">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caption="Average of Age"/>
    <pivotHierarchy dragToData="1"/>
    <pivotHierarchy dragToData="1"/>
    <pivotHierarchy dragToData="1" caption="Average of Tenure"/>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 data @.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F1A19F6-7CCD-4EEB-806C-34CE7351AA6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atings">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2" subtotal="count" baseField="0" baseItem="0"/>
    <dataField name="Average of Salary" fld="1" subtotal="average" baseField="0" baseItem="1" numFmtId="166"/>
  </dataFields>
  <formats count="2">
    <format dxfId="2">
      <pivotArea outline="0" collapsedLevelsAreSubtotals="1" fieldPosition="0">
        <references count="1">
          <reference field="4294967294" count="1" selected="0">
            <x v="1"/>
          </reference>
        </references>
      </pivotArea>
    </format>
    <format dxfId="1">
      <pivotArea dataOnly="0" labelOnly="1" outline="0" fieldPosition="0">
        <references count="1">
          <reference field="4294967294" count="1">
            <x v="1"/>
          </reference>
        </references>
      </pivotArea>
    </format>
  </formats>
  <conditionalFormats count="2">
    <conditionalFormat scope="data" priority="2">
      <pivotAreas count="1">
        <pivotArea outline="0" fieldPosition="0">
          <references count="1">
            <reference field="4294967294" count="1" selected="0">
              <x v="1"/>
            </reference>
          </references>
        </pivotArea>
      </pivotAreas>
    </conditionalFormat>
    <conditionalFormat scope="data" priority="1">
      <pivotAreas count="1">
        <pivotArea outline="0" fieldPosition="0">
          <references count="1">
            <reference field="4294967294" count="1" selected="0">
              <x v="1"/>
            </reference>
          </references>
        </pivotArea>
      </pivotAreas>
    </conditionalFormat>
  </conditional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Salary"/>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CA306A3-7185-4092-9AC0-E5A86FAA5023}"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F17:G22"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xis="axisRow" allDrilled="1" subtotalTop="0" showAll="0" dataSourceSort="1" defaultSubtotal="0" defaultAttributeDrillState="1">
      <items count="4">
        <item x="0" e="0"/>
        <item x="1" e="0"/>
        <item x="2" e="0"/>
        <item x="3" e="0"/>
      </items>
    </pivotField>
  </pivotFields>
  <rowFields count="2">
    <field x="2"/>
    <field x="1"/>
  </rowFields>
  <rowItems count="5">
    <i>
      <x/>
    </i>
    <i>
      <x v="1"/>
    </i>
    <i>
      <x v="2"/>
    </i>
    <i>
      <x v="3"/>
    </i>
    <i t="grand">
      <x/>
    </i>
  </rowItems>
  <colItems count="1">
    <i/>
  </colItems>
  <dataFields count="1">
    <dataField name="Count of Name" fld="0" subtotal="count" showDataAs="runTotal" baseField="2" baseItem="0"/>
  </dataFields>
  <chartFormats count="1">
    <chartFormat chart="4" format="0"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0218546-FE39-4FAE-8B2D-7E87055F44C1}" name="PivotTable1"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1">
  <location ref="B4:C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2">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324B660-63B2-409D-8549-E4EB23AC9EC5}"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4:F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2">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4">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IND]"/>
      </members>
    </pivotHierarchy>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9D7AE9EA-A2AD-47B7-8400-38515F32A72D}" autoFormatId="16" applyNumberFormats="0" applyBorderFormats="0" applyFontFormats="0" applyPatternFormats="0" applyAlignmentFormats="0" applyWidthHeightFormats="0">
  <queryTableRefresh nextId="16"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10" dataBound="0" tableColumnId="10"/>
      <queryTableField id="11" dataBound="0" tableColumnId="9"/>
      <queryTableField id="15" dataBound="0"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56A7ECF8-DF95-4B52-A3ED-7A373C26BA6D}" sourceName="[Staff].[Country]">
  <pivotTables>
    <pivotTable tabId="8" name="PivotTable1"/>
  </pivotTables>
  <data>
    <olap pivotCacheId="115328366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IND]"/>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670BD7E-221B-4875-B09E-F4716E76E293}"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7DAD80C-7BE0-4FDC-A4CC-EA437EAE08C3}" name="Table2" displayName="Table2" ref="A4:G105" totalsRowCount="1">
  <autoFilter ref="A4:G104" xr:uid="{67DAD80C-7BE0-4FDC-A4CC-EA437EAE08C3}"/>
  <tableColumns count="7">
    <tableColumn id="1" xr3:uid="{B22C0861-48CD-47F8-B10B-81917EFEEF1B}" name="Name" totalsRowLabel="Total"/>
    <tableColumn id="2" xr3:uid="{F213150B-8C7B-4268-AEA2-55AC6008C80F}" name="Gender"/>
    <tableColumn id="3" xr3:uid="{00B0BE6E-E455-4802-ADC4-1788EDC73EAC}" name="Department"/>
    <tableColumn id="4" xr3:uid="{04A8C917-5541-4754-9E32-E5F0B986F39E}" name="Age" totalsRowFunction="average"/>
    <tableColumn id="5" xr3:uid="{25148821-31E8-4A58-83AB-E24E51E66AB7}" name="Date Joined" dataDxfId="23" totalsRowDxfId="22"/>
    <tableColumn id="6" xr3:uid="{41892207-CF6F-454E-8A95-351044946033}" name="Salary" totalsRowFunction="sum" dataDxfId="21" totalsRowDxfId="20"/>
    <tableColumn id="7" xr3:uid="{8104983D-2DA2-4202-A7E7-2E7E8CA13E32}"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421AFAE-DA66-4ABC-8F44-14F7EDEE770D}" name="Table3" displayName="Table3" ref="A1:G115" totalsRowCount="1">
  <autoFilter ref="A1:G114" xr:uid="{7421AFAE-DA66-4ABC-8F44-14F7EDEE770D}"/>
  <tableColumns count="7">
    <tableColumn id="1" xr3:uid="{974DC519-845D-4BBD-B703-5B9C7D93784D}" name="Name" totalsRowLabel="Total"/>
    <tableColumn id="2" xr3:uid="{9B866726-CC91-40CE-BB6A-1AE287583A4C}" name="Gender"/>
    <tableColumn id="3" xr3:uid="{0C36E40A-8C12-4F7F-A00C-0700A4925971}" name="Age" totalsRowFunction="average"/>
    <tableColumn id="4" xr3:uid="{E9EB62C6-0A95-467E-AE0C-98CA7FE25F7A}" name="Rating"/>
    <tableColumn id="5" xr3:uid="{E6AE233C-8738-4FBC-AED4-123CB4420FD9}" name="Date Joined" dataDxfId="19"/>
    <tableColumn id="6" xr3:uid="{80DC39C4-515B-46C7-9838-FE739B1242E0}" name="Department"/>
    <tableColumn id="7" xr3:uid="{E64572DA-0B64-4BA2-93B0-8DC5BB1AA4C5}" name="Salary" totalsRowFunction="sum" dataDxfId="18" totalsRowDxfId="17"/>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7D910C-1421-4FC2-A7C0-35CBFD5967EC}" name="Staff" displayName="Staff" ref="A1:K184" tableType="queryTable" totalsRowShown="0">
  <autoFilter ref="A1:K184" xr:uid="{FF7D910C-1421-4FC2-A7C0-35CBFD5967EC}"/>
  <tableColumns count="11">
    <tableColumn id="1" xr3:uid="{6F07D409-50BE-439F-B605-0ED2E929F8FA}" uniqueName="1" name="Name" queryTableFieldId="1" dataDxfId="16"/>
    <tableColumn id="2" xr3:uid="{7E9ED89B-D40F-4BC7-A991-A013573C2279}" uniqueName="2" name="Gender" queryTableFieldId="2" dataDxfId="15"/>
    <tableColumn id="3" xr3:uid="{72A94F80-B3C2-4E2F-A367-404519D29E49}" uniqueName="3" name="Age" queryTableFieldId="3"/>
    <tableColumn id="4" xr3:uid="{BA8B0F90-4382-479A-89E3-1CB938D2867D}" uniqueName="4" name="Rating" queryTableFieldId="4"/>
    <tableColumn id="5" xr3:uid="{144B27FE-6A7B-4E4B-89C3-F762949FB877}" uniqueName="5" name="Date Joined" queryTableFieldId="5" dataDxfId="14"/>
    <tableColumn id="6" xr3:uid="{0BAD8D36-D4E9-41F6-853D-EAF04733C475}" uniqueName="6" name="Department" queryTableFieldId="6" dataDxfId="13"/>
    <tableColumn id="7" xr3:uid="{BC07178B-71AD-4CBB-820C-07FDD2928845}" uniqueName="7" name="Salary" queryTableFieldId="7" dataDxfId="12"/>
    <tableColumn id="8" xr3:uid="{302AD482-0A23-4B57-85EF-D8F62706DE4B}" uniqueName="8" name="Country" queryTableFieldId="8"/>
    <tableColumn id="10" xr3:uid="{8504EB90-729B-404E-8F03-E8AE3C2B1BA1}" uniqueName="10" name="Tenure" queryTableFieldId="10" dataDxfId="11">
      <calculatedColumnFormula>(TODAY()-Staff[[#This Row],[Date Joined]])/365</calculatedColumnFormula>
    </tableColumn>
    <tableColumn id="9" xr3:uid="{2905F772-6CED-4660-92F2-4C4AFAF01720}" uniqueName="9" name="Bonus" queryTableFieldId="11" dataDxfId="10"/>
    <tableColumn id="14" xr3:uid="{50500123-FE97-4DB6-9448-63F3C9375857}" uniqueName="14" name="Rating as number" queryTableFieldId="15" dataDxfId="9">
      <calculatedColumnFormula>_xlfn.XLOOKUP(Staff[[#This Row],[Rating]],Sheet2!$B$3:$B$7,Sheet2!$C$3:$C$7)</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D3BFF-6652-4FDC-9E18-9646C41B0A19}">
  <dimension ref="A1:G105"/>
  <sheetViews>
    <sheetView topLeftCell="A16" workbookViewId="0">
      <selection activeCell="A5" sqref="A5"/>
    </sheetView>
  </sheetViews>
  <sheetFormatPr defaultRowHeight="14.4" x14ac:dyDescent="0.3"/>
  <cols>
    <col min="1" max="1" width="19.6640625" bestFit="1" customWidth="1"/>
    <col min="2" max="2" width="9" customWidth="1"/>
    <col min="3" max="3" width="13" customWidth="1"/>
    <col min="5" max="5" width="12.6640625" style="1" customWidth="1"/>
    <col min="6" max="6" width="12.6640625" style="3" bestFit="1" customWidth="1"/>
    <col min="7" max="7" width="13.109375" bestFit="1" customWidth="1"/>
  </cols>
  <sheetData>
    <row r="1" spans="1:7" ht="25.8" x14ac:dyDescent="0.5">
      <c r="A1" s="56" t="s">
        <v>202</v>
      </c>
      <c r="B1" s="56"/>
      <c r="C1" s="56"/>
      <c r="D1" s="56"/>
      <c r="E1" s="56"/>
      <c r="F1" s="56"/>
      <c r="G1" s="56"/>
    </row>
    <row r="4" spans="1:7" x14ac:dyDescent="0.3">
      <c r="A4" s="2" t="s">
        <v>0</v>
      </c>
      <c r="B4" t="s">
        <v>1</v>
      </c>
      <c r="C4" t="s">
        <v>2</v>
      </c>
      <c r="D4" t="s">
        <v>3</v>
      </c>
      <c r="E4" s="1" t="s">
        <v>4</v>
      </c>
      <c r="F4" s="3" t="s">
        <v>5</v>
      </c>
      <c r="G4" t="s">
        <v>6</v>
      </c>
    </row>
    <row r="5" spans="1:7" x14ac:dyDescent="0.3">
      <c r="A5" t="s">
        <v>7</v>
      </c>
      <c r="B5" t="s">
        <v>8</v>
      </c>
      <c r="C5" t="s">
        <v>9</v>
      </c>
      <c r="D5">
        <v>22</v>
      </c>
      <c r="E5" s="1">
        <v>44446</v>
      </c>
      <c r="F5" s="3">
        <v>112780</v>
      </c>
      <c r="G5" t="s">
        <v>10</v>
      </c>
    </row>
    <row r="6" spans="1:7" x14ac:dyDescent="0.3">
      <c r="A6" t="s">
        <v>11</v>
      </c>
      <c r="B6" t="s">
        <v>8</v>
      </c>
      <c r="C6" t="s">
        <v>12</v>
      </c>
      <c r="D6">
        <v>46</v>
      </c>
      <c r="E6" s="1">
        <v>44758</v>
      </c>
      <c r="F6" s="3">
        <v>70610</v>
      </c>
      <c r="G6" t="s">
        <v>13</v>
      </c>
    </row>
    <row r="7" spans="1:7" x14ac:dyDescent="0.3">
      <c r="A7" t="s">
        <v>14</v>
      </c>
      <c r="B7" t="s">
        <v>15</v>
      </c>
      <c r="C7" t="s">
        <v>9</v>
      </c>
      <c r="D7">
        <v>28</v>
      </c>
      <c r="E7" s="1">
        <v>44357</v>
      </c>
      <c r="F7" s="3">
        <v>53240</v>
      </c>
      <c r="G7" t="s">
        <v>13</v>
      </c>
    </row>
    <row r="8" spans="1:7" x14ac:dyDescent="0.3">
      <c r="A8" t="s">
        <v>16</v>
      </c>
      <c r="C8" t="s">
        <v>17</v>
      </c>
      <c r="D8">
        <v>37</v>
      </c>
      <c r="E8" s="1">
        <v>44146</v>
      </c>
      <c r="F8" s="3">
        <v>115440</v>
      </c>
      <c r="G8" t="s">
        <v>18</v>
      </c>
    </row>
    <row r="9" spans="1:7" x14ac:dyDescent="0.3">
      <c r="A9" t="s">
        <v>19</v>
      </c>
      <c r="B9" t="s">
        <v>8</v>
      </c>
      <c r="C9" t="s">
        <v>9</v>
      </c>
      <c r="D9">
        <v>32</v>
      </c>
      <c r="E9" s="1">
        <v>44465</v>
      </c>
      <c r="F9" s="3">
        <v>53540</v>
      </c>
      <c r="G9" t="s">
        <v>13</v>
      </c>
    </row>
    <row r="10" spans="1:7" x14ac:dyDescent="0.3">
      <c r="A10" t="s">
        <v>20</v>
      </c>
      <c r="B10" t="s">
        <v>15</v>
      </c>
      <c r="C10" t="s">
        <v>12</v>
      </c>
      <c r="D10">
        <v>30</v>
      </c>
      <c r="E10" s="1">
        <v>44861</v>
      </c>
      <c r="F10" s="3">
        <v>112570</v>
      </c>
      <c r="G10" t="s">
        <v>13</v>
      </c>
    </row>
    <row r="11" spans="1:7" x14ac:dyDescent="0.3">
      <c r="A11" t="s">
        <v>21</v>
      </c>
      <c r="B11" t="s">
        <v>8</v>
      </c>
      <c r="C11" t="s">
        <v>12</v>
      </c>
      <c r="D11">
        <v>33</v>
      </c>
      <c r="E11" s="1">
        <v>44701</v>
      </c>
      <c r="F11" s="3">
        <v>48530</v>
      </c>
      <c r="G11" t="s">
        <v>10</v>
      </c>
    </row>
    <row r="12" spans="1:7" x14ac:dyDescent="0.3">
      <c r="A12" t="s">
        <v>22</v>
      </c>
      <c r="B12" t="s">
        <v>15</v>
      </c>
      <c r="C12" t="s">
        <v>23</v>
      </c>
      <c r="D12">
        <v>24</v>
      </c>
      <c r="E12" s="1">
        <v>44148</v>
      </c>
      <c r="F12" s="3">
        <v>62780</v>
      </c>
      <c r="G12" t="s">
        <v>13</v>
      </c>
    </row>
    <row r="13" spans="1:7" x14ac:dyDescent="0.3">
      <c r="A13" t="s">
        <v>24</v>
      </c>
      <c r="B13" t="s">
        <v>8</v>
      </c>
      <c r="C13" t="s">
        <v>23</v>
      </c>
      <c r="D13">
        <v>33</v>
      </c>
      <c r="E13" s="1">
        <v>44509</v>
      </c>
      <c r="F13" s="3">
        <v>53870</v>
      </c>
      <c r="G13" t="s">
        <v>13</v>
      </c>
    </row>
    <row r="14" spans="1:7" x14ac:dyDescent="0.3">
      <c r="A14" t="s">
        <v>25</v>
      </c>
      <c r="B14" t="s">
        <v>15</v>
      </c>
      <c r="C14" t="s">
        <v>26</v>
      </c>
      <c r="D14">
        <v>27</v>
      </c>
      <c r="E14" s="1">
        <v>44122</v>
      </c>
      <c r="F14" s="3">
        <v>119110</v>
      </c>
      <c r="G14" t="s">
        <v>13</v>
      </c>
    </row>
    <row r="15" spans="1:7" x14ac:dyDescent="0.3">
      <c r="A15" t="s">
        <v>27</v>
      </c>
      <c r="B15" t="s">
        <v>8</v>
      </c>
      <c r="C15" t="s">
        <v>23</v>
      </c>
      <c r="D15">
        <v>29</v>
      </c>
      <c r="E15" s="1">
        <v>44180</v>
      </c>
      <c r="F15" s="3">
        <v>112110</v>
      </c>
      <c r="G15" t="s">
        <v>18</v>
      </c>
    </row>
    <row r="16" spans="1:7" x14ac:dyDescent="0.3">
      <c r="A16" t="s">
        <v>28</v>
      </c>
      <c r="B16" t="s">
        <v>8</v>
      </c>
      <c r="C16" t="s">
        <v>9</v>
      </c>
      <c r="D16">
        <v>25</v>
      </c>
      <c r="E16" s="1">
        <v>44383</v>
      </c>
      <c r="F16" s="3">
        <v>65700</v>
      </c>
      <c r="G16" t="s">
        <v>13</v>
      </c>
    </row>
    <row r="17" spans="1:7" x14ac:dyDescent="0.3">
      <c r="A17" t="s">
        <v>29</v>
      </c>
      <c r="B17" t="s">
        <v>8</v>
      </c>
      <c r="C17" t="s">
        <v>23</v>
      </c>
      <c r="D17">
        <v>37</v>
      </c>
      <c r="E17" s="1">
        <v>44701</v>
      </c>
      <c r="F17" s="3">
        <v>69070</v>
      </c>
      <c r="G17" t="s">
        <v>13</v>
      </c>
    </row>
    <row r="18" spans="1:7" x14ac:dyDescent="0.3">
      <c r="A18" t="s">
        <v>30</v>
      </c>
      <c r="B18" t="s">
        <v>8</v>
      </c>
      <c r="C18" t="s">
        <v>23</v>
      </c>
      <c r="D18">
        <v>20</v>
      </c>
      <c r="E18" s="1">
        <v>44459</v>
      </c>
      <c r="F18" s="3">
        <v>107700</v>
      </c>
      <c r="G18" t="s">
        <v>13</v>
      </c>
    </row>
    <row r="19" spans="1:7" x14ac:dyDescent="0.3">
      <c r="A19" t="s">
        <v>31</v>
      </c>
      <c r="B19" t="s">
        <v>15</v>
      </c>
      <c r="C19" t="s">
        <v>23</v>
      </c>
      <c r="D19">
        <v>32</v>
      </c>
      <c r="E19" s="1">
        <v>44354</v>
      </c>
      <c r="F19" s="3">
        <v>43840</v>
      </c>
      <c r="G19" t="s">
        <v>10</v>
      </c>
    </row>
    <row r="20" spans="1:7" x14ac:dyDescent="0.3">
      <c r="A20" t="s">
        <v>32</v>
      </c>
      <c r="B20" t="s">
        <v>8</v>
      </c>
      <c r="C20" t="s">
        <v>12</v>
      </c>
      <c r="D20">
        <v>40</v>
      </c>
      <c r="E20" s="1">
        <v>44263</v>
      </c>
      <c r="F20" s="3">
        <v>99750</v>
      </c>
      <c r="G20" t="s">
        <v>13</v>
      </c>
    </row>
    <row r="21" spans="1:7" x14ac:dyDescent="0.3">
      <c r="A21" t="s">
        <v>33</v>
      </c>
      <c r="B21" t="s">
        <v>8</v>
      </c>
      <c r="C21" t="s">
        <v>12</v>
      </c>
      <c r="D21">
        <v>21</v>
      </c>
      <c r="E21" s="1">
        <v>44104</v>
      </c>
      <c r="F21" s="3">
        <v>37920</v>
      </c>
      <c r="G21" t="s">
        <v>13</v>
      </c>
    </row>
    <row r="22" spans="1:7" x14ac:dyDescent="0.3">
      <c r="A22" t="s">
        <v>34</v>
      </c>
      <c r="B22" t="s">
        <v>8</v>
      </c>
      <c r="C22" t="s">
        <v>12</v>
      </c>
      <c r="D22">
        <v>21</v>
      </c>
      <c r="E22" s="1">
        <v>44762</v>
      </c>
      <c r="F22" s="3">
        <v>57090</v>
      </c>
      <c r="G22" t="s">
        <v>13</v>
      </c>
    </row>
    <row r="23" spans="1:7" x14ac:dyDescent="0.3">
      <c r="A23" t="s">
        <v>35</v>
      </c>
      <c r="B23" t="s">
        <v>15</v>
      </c>
      <c r="C23" t="s">
        <v>23</v>
      </c>
      <c r="D23">
        <v>31</v>
      </c>
      <c r="E23" s="1">
        <v>44145</v>
      </c>
      <c r="F23" s="3">
        <v>41980</v>
      </c>
      <c r="G23" t="s">
        <v>13</v>
      </c>
    </row>
    <row r="24" spans="1:7" x14ac:dyDescent="0.3">
      <c r="A24" t="s">
        <v>36</v>
      </c>
      <c r="B24" t="s">
        <v>8</v>
      </c>
      <c r="C24" t="s">
        <v>26</v>
      </c>
      <c r="D24">
        <v>21</v>
      </c>
      <c r="E24" s="1">
        <v>44242</v>
      </c>
      <c r="F24" s="3">
        <v>75880</v>
      </c>
      <c r="G24" t="s">
        <v>13</v>
      </c>
    </row>
    <row r="25" spans="1:7" x14ac:dyDescent="0.3">
      <c r="A25" t="s">
        <v>37</v>
      </c>
      <c r="B25" t="s">
        <v>15</v>
      </c>
      <c r="C25" t="s">
        <v>17</v>
      </c>
      <c r="D25">
        <v>34</v>
      </c>
      <c r="E25" s="1">
        <v>44653</v>
      </c>
      <c r="F25" s="3">
        <v>58940</v>
      </c>
      <c r="G25" t="s">
        <v>13</v>
      </c>
    </row>
    <row r="26" spans="1:7" x14ac:dyDescent="0.3">
      <c r="A26" t="s">
        <v>38</v>
      </c>
      <c r="B26" t="s">
        <v>15</v>
      </c>
      <c r="C26" t="s">
        <v>17</v>
      </c>
      <c r="D26">
        <v>30</v>
      </c>
      <c r="E26" s="1">
        <v>44389</v>
      </c>
      <c r="F26" s="3">
        <v>67910</v>
      </c>
      <c r="G26" t="s">
        <v>18</v>
      </c>
    </row>
    <row r="27" spans="1:7" x14ac:dyDescent="0.3">
      <c r="A27" t="s">
        <v>39</v>
      </c>
      <c r="B27" t="s">
        <v>15</v>
      </c>
      <c r="C27" t="s">
        <v>23</v>
      </c>
      <c r="D27">
        <v>31</v>
      </c>
      <c r="E27" s="1">
        <v>44663</v>
      </c>
      <c r="F27" s="3">
        <v>58100</v>
      </c>
      <c r="G27" t="s">
        <v>13</v>
      </c>
    </row>
    <row r="28" spans="1:7" x14ac:dyDescent="0.3">
      <c r="A28" t="s">
        <v>40</v>
      </c>
      <c r="B28" t="s">
        <v>8</v>
      </c>
      <c r="C28" t="s">
        <v>17</v>
      </c>
      <c r="D28">
        <v>27</v>
      </c>
      <c r="E28" s="1">
        <v>44567</v>
      </c>
      <c r="F28" s="3">
        <v>48980</v>
      </c>
      <c r="G28" t="s">
        <v>13</v>
      </c>
    </row>
    <row r="29" spans="1:7" x14ac:dyDescent="0.3">
      <c r="A29" t="s">
        <v>41</v>
      </c>
      <c r="C29" t="s">
        <v>17</v>
      </c>
      <c r="D29">
        <v>30</v>
      </c>
      <c r="E29" s="1">
        <v>44597</v>
      </c>
      <c r="F29" s="3">
        <v>64000</v>
      </c>
      <c r="G29" t="s">
        <v>13</v>
      </c>
    </row>
    <row r="30" spans="1:7" x14ac:dyDescent="0.3">
      <c r="A30" t="s">
        <v>42</v>
      </c>
      <c r="B30" t="s">
        <v>15</v>
      </c>
      <c r="C30" t="s">
        <v>12</v>
      </c>
      <c r="D30">
        <v>42</v>
      </c>
      <c r="E30" s="1">
        <v>44779</v>
      </c>
      <c r="F30" s="3">
        <v>75000</v>
      </c>
      <c r="G30" t="s">
        <v>43</v>
      </c>
    </row>
    <row r="31" spans="1:7" x14ac:dyDescent="0.3">
      <c r="A31" t="s">
        <v>44</v>
      </c>
      <c r="B31" t="s">
        <v>15</v>
      </c>
      <c r="C31" t="s">
        <v>23</v>
      </c>
      <c r="D31">
        <v>40</v>
      </c>
      <c r="E31" s="1">
        <v>44337</v>
      </c>
      <c r="F31" s="3">
        <v>87620</v>
      </c>
      <c r="G31" t="s">
        <v>13</v>
      </c>
    </row>
    <row r="32" spans="1:7" x14ac:dyDescent="0.3">
      <c r="A32" t="s">
        <v>45</v>
      </c>
      <c r="B32" t="s">
        <v>15</v>
      </c>
      <c r="C32" t="s">
        <v>23</v>
      </c>
      <c r="D32">
        <v>29</v>
      </c>
      <c r="E32" s="1">
        <v>44023</v>
      </c>
      <c r="F32" s="3">
        <v>34980</v>
      </c>
      <c r="G32" t="s">
        <v>13</v>
      </c>
    </row>
    <row r="33" spans="1:7" x14ac:dyDescent="0.3">
      <c r="A33" t="s">
        <v>46</v>
      </c>
      <c r="B33" t="s">
        <v>15</v>
      </c>
      <c r="C33" t="s">
        <v>17</v>
      </c>
      <c r="D33">
        <v>28</v>
      </c>
      <c r="E33" s="1">
        <v>44185</v>
      </c>
      <c r="F33" s="3">
        <v>75970</v>
      </c>
      <c r="G33" t="s">
        <v>13</v>
      </c>
    </row>
    <row r="34" spans="1:7" x14ac:dyDescent="0.3">
      <c r="A34" t="s">
        <v>47</v>
      </c>
      <c r="B34" t="s">
        <v>15</v>
      </c>
      <c r="C34" t="s">
        <v>17</v>
      </c>
      <c r="D34">
        <v>34</v>
      </c>
      <c r="E34" s="1">
        <v>44612</v>
      </c>
      <c r="F34" s="3">
        <v>60130</v>
      </c>
      <c r="G34" t="s">
        <v>13</v>
      </c>
    </row>
    <row r="35" spans="1:7" x14ac:dyDescent="0.3">
      <c r="A35" t="s">
        <v>48</v>
      </c>
      <c r="B35" t="s">
        <v>15</v>
      </c>
      <c r="C35" t="s">
        <v>23</v>
      </c>
      <c r="D35">
        <v>33</v>
      </c>
      <c r="E35" s="1">
        <v>44374</v>
      </c>
      <c r="F35" s="3">
        <v>75480</v>
      </c>
      <c r="G35" t="s">
        <v>49</v>
      </c>
    </row>
    <row r="36" spans="1:7" x14ac:dyDescent="0.3">
      <c r="A36" t="s">
        <v>50</v>
      </c>
      <c r="B36" t="s">
        <v>8</v>
      </c>
      <c r="C36" t="s">
        <v>12</v>
      </c>
      <c r="D36">
        <v>33</v>
      </c>
      <c r="E36" s="1">
        <v>44164</v>
      </c>
      <c r="F36" s="3">
        <v>115920</v>
      </c>
      <c r="G36" t="s">
        <v>13</v>
      </c>
    </row>
    <row r="37" spans="1:7" x14ac:dyDescent="0.3">
      <c r="A37" t="s">
        <v>51</v>
      </c>
      <c r="B37" t="s">
        <v>15</v>
      </c>
      <c r="C37" t="s">
        <v>9</v>
      </c>
      <c r="D37">
        <v>36</v>
      </c>
      <c r="E37" s="1">
        <v>44494</v>
      </c>
      <c r="F37" s="3">
        <v>78540</v>
      </c>
      <c r="G37" t="s">
        <v>13</v>
      </c>
    </row>
    <row r="38" spans="1:7" x14ac:dyDescent="0.3">
      <c r="A38" t="s">
        <v>52</v>
      </c>
      <c r="B38" t="s">
        <v>8</v>
      </c>
      <c r="C38" t="s">
        <v>12</v>
      </c>
      <c r="D38">
        <v>25</v>
      </c>
      <c r="E38" s="1">
        <v>44726</v>
      </c>
      <c r="F38" s="3">
        <v>109190</v>
      </c>
      <c r="G38" t="s">
        <v>10</v>
      </c>
    </row>
    <row r="39" spans="1:7" x14ac:dyDescent="0.3">
      <c r="A39" t="s">
        <v>53</v>
      </c>
      <c r="B39" t="s">
        <v>15</v>
      </c>
      <c r="C39" t="s">
        <v>9</v>
      </c>
      <c r="D39">
        <v>34</v>
      </c>
      <c r="E39" s="1">
        <v>44721</v>
      </c>
      <c r="F39" s="3">
        <v>49630</v>
      </c>
      <c r="G39" t="s">
        <v>18</v>
      </c>
    </row>
    <row r="40" spans="1:7" x14ac:dyDescent="0.3">
      <c r="A40" t="s">
        <v>54</v>
      </c>
      <c r="B40" t="s">
        <v>15</v>
      </c>
      <c r="C40" t="s">
        <v>12</v>
      </c>
      <c r="D40">
        <v>28</v>
      </c>
      <c r="E40" s="1">
        <v>44630</v>
      </c>
      <c r="F40" s="3">
        <v>99970</v>
      </c>
      <c r="G40" t="s">
        <v>13</v>
      </c>
    </row>
    <row r="41" spans="1:7" x14ac:dyDescent="0.3">
      <c r="A41" t="s">
        <v>55</v>
      </c>
      <c r="B41" t="s">
        <v>15</v>
      </c>
      <c r="C41" t="s">
        <v>23</v>
      </c>
      <c r="D41">
        <v>33</v>
      </c>
      <c r="E41" s="1">
        <v>44190</v>
      </c>
      <c r="F41" s="3">
        <v>96140</v>
      </c>
      <c r="G41" t="s">
        <v>13</v>
      </c>
    </row>
    <row r="42" spans="1:7" x14ac:dyDescent="0.3">
      <c r="A42" t="s">
        <v>56</v>
      </c>
      <c r="B42" t="s">
        <v>8</v>
      </c>
      <c r="C42" t="s">
        <v>12</v>
      </c>
      <c r="D42">
        <v>31</v>
      </c>
      <c r="E42" s="1">
        <v>44724</v>
      </c>
      <c r="F42" s="3">
        <v>103550</v>
      </c>
      <c r="G42" t="s">
        <v>13</v>
      </c>
    </row>
    <row r="43" spans="1:7" x14ac:dyDescent="0.3">
      <c r="A43" t="s">
        <v>57</v>
      </c>
      <c r="B43" t="s">
        <v>8</v>
      </c>
      <c r="C43" t="s">
        <v>23</v>
      </c>
      <c r="D43">
        <v>31</v>
      </c>
      <c r="E43" s="1">
        <v>44511</v>
      </c>
      <c r="F43" s="3">
        <v>48950</v>
      </c>
      <c r="G43" t="s">
        <v>13</v>
      </c>
    </row>
    <row r="44" spans="1:7" x14ac:dyDescent="0.3">
      <c r="A44" t="s">
        <v>58</v>
      </c>
      <c r="B44" t="s">
        <v>8</v>
      </c>
      <c r="C44" t="s">
        <v>17</v>
      </c>
      <c r="D44">
        <v>24</v>
      </c>
      <c r="E44" s="1">
        <v>44436</v>
      </c>
      <c r="F44" s="3">
        <v>52610</v>
      </c>
      <c r="G44" t="s">
        <v>18</v>
      </c>
    </row>
    <row r="45" spans="1:7" x14ac:dyDescent="0.3">
      <c r="A45" t="s">
        <v>59</v>
      </c>
      <c r="B45" t="s">
        <v>15</v>
      </c>
      <c r="C45" t="s">
        <v>12</v>
      </c>
      <c r="D45">
        <v>36</v>
      </c>
      <c r="E45" s="1">
        <v>44529</v>
      </c>
      <c r="F45" s="3">
        <v>78390</v>
      </c>
      <c r="G45" t="s">
        <v>13</v>
      </c>
    </row>
    <row r="46" spans="1:7" x14ac:dyDescent="0.3">
      <c r="A46" t="s">
        <v>60</v>
      </c>
      <c r="B46" t="s">
        <v>15</v>
      </c>
      <c r="C46" t="s">
        <v>17</v>
      </c>
      <c r="D46">
        <v>33</v>
      </c>
      <c r="E46" s="1">
        <v>44809</v>
      </c>
      <c r="F46" s="3">
        <v>86570</v>
      </c>
      <c r="G46" t="s">
        <v>13</v>
      </c>
    </row>
    <row r="47" spans="1:7" x14ac:dyDescent="0.3">
      <c r="A47" t="s">
        <v>61</v>
      </c>
      <c r="B47" t="s">
        <v>15</v>
      </c>
      <c r="C47" t="s">
        <v>23</v>
      </c>
      <c r="D47">
        <v>27</v>
      </c>
      <c r="E47" s="1">
        <v>44686</v>
      </c>
      <c r="F47" s="3">
        <v>83750</v>
      </c>
      <c r="G47" t="s">
        <v>13</v>
      </c>
    </row>
    <row r="48" spans="1:7" x14ac:dyDescent="0.3">
      <c r="A48" t="s">
        <v>62</v>
      </c>
      <c r="B48" t="s">
        <v>15</v>
      </c>
      <c r="C48" t="s">
        <v>17</v>
      </c>
      <c r="D48">
        <v>34</v>
      </c>
      <c r="E48" s="1">
        <v>44445</v>
      </c>
      <c r="F48" s="3">
        <v>92450</v>
      </c>
      <c r="G48" t="s">
        <v>13</v>
      </c>
    </row>
    <row r="49" spans="1:7" x14ac:dyDescent="0.3">
      <c r="A49" t="s">
        <v>63</v>
      </c>
      <c r="B49" t="s">
        <v>8</v>
      </c>
      <c r="C49" t="s">
        <v>23</v>
      </c>
      <c r="D49">
        <v>20</v>
      </c>
      <c r="E49" s="1">
        <v>44183</v>
      </c>
      <c r="F49" s="3">
        <v>112650</v>
      </c>
      <c r="G49" t="s">
        <v>13</v>
      </c>
    </row>
    <row r="50" spans="1:7" x14ac:dyDescent="0.3">
      <c r="A50" t="s">
        <v>64</v>
      </c>
      <c r="B50" t="s">
        <v>8</v>
      </c>
      <c r="C50" t="s">
        <v>12</v>
      </c>
      <c r="D50">
        <v>20</v>
      </c>
      <c r="E50" s="1">
        <v>44744</v>
      </c>
      <c r="F50" s="3">
        <v>79570</v>
      </c>
      <c r="G50" t="s">
        <v>13</v>
      </c>
    </row>
    <row r="51" spans="1:7" x14ac:dyDescent="0.3">
      <c r="A51" t="s">
        <v>65</v>
      </c>
      <c r="B51" t="s">
        <v>15</v>
      </c>
      <c r="C51" t="s">
        <v>9</v>
      </c>
      <c r="D51">
        <v>20</v>
      </c>
      <c r="E51" s="1">
        <v>44537</v>
      </c>
      <c r="F51" s="3">
        <v>68900</v>
      </c>
      <c r="G51" t="s">
        <v>18</v>
      </c>
    </row>
    <row r="52" spans="1:7" x14ac:dyDescent="0.3">
      <c r="A52" t="s">
        <v>66</v>
      </c>
      <c r="B52" t="s">
        <v>15</v>
      </c>
      <c r="C52" t="s">
        <v>23</v>
      </c>
      <c r="D52">
        <v>25</v>
      </c>
      <c r="E52" s="1">
        <v>44694</v>
      </c>
      <c r="F52" s="3">
        <v>80700</v>
      </c>
      <c r="G52" t="s">
        <v>10</v>
      </c>
    </row>
    <row r="53" spans="1:7" x14ac:dyDescent="0.3">
      <c r="A53" t="s">
        <v>67</v>
      </c>
      <c r="B53" t="s">
        <v>8</v>
      </c>
      <c r="C53" t="s">
        <v>12</v>
      </c>
      <c r="D53">
        <v>19</v>
      </c>
      <c r="E53" s="1">
        <v>44277</v>
      </c>
      <c r="F53" s="3">
        <v>58960</v>
      </c>
      <c r="G53" t="s">
        <v>13</v>
      </c>
    </row>
    <row r="54" spans="1:7" x14ac:dyDescent="0.3">
      <c r="A54" t="s">
        <v>68</v>
      </c>
      <c r="B54" t="s">
        <v>8</v>
      </c>
      <c r="C54" t="s">
        <v>23</v>
      </c>
      <c r="D54">
        <v>36</v>
      </c>
      <c r="E54" s="1">
        <v>44019</v>
      </c>
      <c r="F54" s="3">
        <v>118840</v>
      </c>
      <c r="G54" t="s">
        <v>13</v>
      </c>
    </row>
    <row r="55" spans="1:7" x14ac:dyDescent="0.3">
      <c r="A55" t="s">
        <v>69</v>
      </c>
      <c r="B55" t="s">
        <v>8</v>
      </c>
      <c r="C55" t="s">
        <v>17</v>
      </c>
      <c r="D55">
        <v>28</v>
      </c>
      <c r="E55" s="1">
        <v>44041</v>
      </c>
      <c r="F55" s="3">
        <v>48170</v>
      </c>
      <c r="G55" t="s">
        <v>10</v>
      </c>
    </row>
    <row r="56" spans="1:7" x14ac:dyDescent="0.3">
      <c r="A56" t="s">
        <v>70</v>
      </c>
      <c r="B56" t="s">
        <v>15</v>
      </c>
      <c r="C56" t="s">
        <v>26</v>
      </c>
      <c r="D56">
        <v>32</v>
      </c>
      <c r="E56" s="1">
        <v>44400</v>
      </c>
      <c r="F56" s="3">
        <v>45510</v>
      </c>
      <c r="G56" t="s">
        <v>13</v>
      </c>
    </row>
    <row r="57" spans="1:7" x14ac:dyDescent="0.3">
      <c r="A57" t="s">
        <v>63</v>
      </c>
      <c r="B57" t="s">
        <v>8</v>
      </c>
      <c r="C57" t="s">
        <v>12</v>
      </c>
      <c r="D57">
        <v>34</v>
      </c>
      <c r="E57" s="1">
        <v>44703</v>
      </c>
      <c r="F57" s="3">
        <v>112650</v>
      </c>
      <c r="G57" t="s">
        <v>13</v>
      </c>
    </row>
    <row r="58" spans="1:7" x14ac:dyDescent="0.3">
      <c r="A58" t="s">
        <v>71</v>
      </c>
      <c r="B58" t="s">
        <v>15</v>
      </c>
      <c r="C58" t="s">
        <v>12</v>
      </c>
      <c r="D58">
        <v>36</v>
      </c>
      <c r="E58" s="1">
        <v>44085</v>
      </c>
      <c r="F58" s="3">
        <v>114890</v>
      </c>
      <c r="G58" t="s">
        <v>13</v>
      </c>
    </row>
    <row r="59" spans="1:7" x14ac:dyDescent="0.3">
      <c r="A59" t="s">
        <v>72</v>
      </c>
      <c r="B59" t="s">
        <v>8</v>
      </c>
      <c r="C59" t="s">
        <v>23</v>
      </c>
      <c r="D59">
        <v>30</v>
      </c>
      <c r="E59" s="1">
        <v>44850</v>
      </c>
      <c r="F59" s="3">
        <v>69710</v>
      </c>
      <c r="G59" t="s">
        <v>13</v>
      </c>
    </row>
    <row r="60" spans="1:7" x14ac:dyDescent="0.3">
      <c r="A60" t="s">
        <v>73</v>
      </c>
      <c r="B60" t="s">
        <v>8</v>
      </c>
      <c r="C60" t="s">
        <v>17</v>
      </c>
      <c r="D60">
        <v>36</v>
      </c>
      <c r="E60" s="1">
        <v>44333</v>
      </c>
      <c r="F60" s="3">
        <v>71380</v>
      </c>
      <c r="G60" t="s">
        <v>13</v>
      </c>
    </row>
    <row r="61" spans="1:7" x14ac:dyDescent="0.3">
      <c r="A61" t="s">
        <v>74</v>
      </c>
      <c r="B61" t="s">
        <v>15</v>
      </c>
      <c r="C61" t="s">
        <v>9</v>
      </c>
      <c r="D61">
        <v>38</v>
      </c>
      <c r="E61" s="1">
        <v>44377</v>
      </c>
      <c r="F61" s="3">
        <v>109160</v>
      </c>
      <c r="G61" t="s">
        <v>43</v>
      </c>
    </row>
    <row r="62" spans="1:7" x14ac:dyDescent="0.3">
      <c r="A62" t="s">
        <v>75</v>
      </c>
      <c r="B62" t="s">
        <v>8</v>
      </c>
      <c r="C62" t="s">
        <v>12</v>
      </c>
      <c r="D62">
        <v>27</v>
      </c>
      <c r="E62" s="1">
        <v>44609</v>
      </c>
      <c r="F62" s="3">
        <v>113280</v>
      </c>
      <c r="G62" t="s">
        <v>49</v>
      </c>
    </row>
    <row r="63" spans="1:7" x14ac:dyDescent="0.3">
      <c r="A63" t="s">
        <v>76</v>
      </c>
      <c r="B63" t="s">
        <v>8</v>
      </c>
      <c r="C63" t="s">
        <v>23</v>
      </c>
      <c r="D63">
        <v>30</v>
      </c>
      <c r="E63" s="1">
        <v>44273</v>
      </c>
      <c r="F63" s="3">
        <v>69120</v>
      </c>
      <c r="G63" t="s">
        <v>13</v>
      </c>
    </row>
    <row r="64" spans="1:7" x14ac:dyDescent="0.3">
      <c r="A64" t="s">
        <v>77</v>
      </c>
      <c r="B64" t="s">
        <v>15</v>
      </c>
      <c r="C64" t="s">
        <v>26</v>
      </c>
      <c r="D64">
        <v>37</v>
      </c>
      <c r="E64" s="1">
        <v>44451</v>
      </c>
      <c r="F64" s="3">
        <v>118100</v>
      </c>
      <c r="G64" t="s">
        <v>13</v>
      </c>
    </row>
    <row r="65" spans="1:7" x14ac:dyDescent="0.3">
      <c r="A65" t="s">
        <v>78</v>
      </c>
      <c r="B65" t="s">
        <v>15</v>
      </c>
      <c r="C65" t="s">
        <v>12</v>
      </c>
      <c r="D65">
        <v>22</v>
      </c>
      <c r="E65" s="1">
        <v>44450</v>
      </c>
      <c r="F65" s="3">
        <v>76900</v>
      </c>
      <c r="G65" t="s">
        <v>10</v>
      </c>
    </row>
    <row r="66" spans="1:7" x14ac:dyDescent="0.3">
      <c r="A66" t="s">
        <v>79</v>
      </c>
      <c r="B66" t="s">
        <v>15</v>
      </c>
      <c r="C66" t="s">
        <v>23</v>
      </c>
      <c r="D66">
        <v>43</v>
      </c>
      <c r="E66" s="1">
        <v>45045</v>
      </c>
      <c r="F66" s="3">
        <v>114870</v>
      </c>
      <c r="G66" t="s">
        <v>13</v>
      </c>
    </row>
    <row r="67" spans="1:7" x14ac:dyDescent="0.3">
      <c r="A67" t="s">
        <v>80</v>
      </c>
      <c r="C67" t="s">
        <v>23</v>
      </c>
      <c r="D67">
        <v>32</v>
      </c>
      <c r="E67" s="1">
        <v>44774</v>
      </c>
      <c r="F67" s="3">
        <v>91310</v>
      </c>
      <c r="G67" t="s">
        <v>13</v>
      </c>
    </row>
    <row r="68" spans="1:7" x14ac:dyDescent="0.3">
      <c r="A68" t="s">
        <v>81</v>
      </c>
      <c r="B68" t="s">
        <v>15</v>
      </c>
      <c r="C68" t="s">
        <v>12</v>
      </c>
      <c r="D68">
        <v>28</v>
      </c>
      <c r="E68" s="1">
        <v>44486</v>
      </c>
      <c r="F68" s="3">
        <v>104770</v>
      </c>
      <c r="G68" t="s">
        <v>13</v>
      </c>
    </row>
    <row r="69" spans="1:7" x14ac:dyDescent="0.3">
      <c r="A69" t="s">
        <v>82</v>
      </c>
      <c r="B69" t="s">
        <v>8</v>
      </c>
      <c r="C69" t="s">
        <v>9</v>
      </c>
      <c r="D69">
        <v>27</v>
      </c>
      <c r="E69" s="1">
        <v>44134</v>
      </c>
      <c r="F69" s="3">
        <v>54970</v>
      </c>
      <c r="G69" t="s">
        <v>13</v>
      </c>
    </row>
    <row r="70" spans="1:7" x14ac:dyDescent="0.3">
      <c r="A70" t="s">
        <v>83</v>
      </c>
      <c r="C70" t="s">
        <v>23</v>
      </c>
      <c r="D70">
        <v>26</v>
      </c>
      <c r="E70" s="1">
        <v>44271</v>
      </c>
      <c r="F70" s="3">
        <v>90700</v>
      </c>
      <c r="G70" t="s">
        <v>10</v>
      </c>
    </row>
    <row r="71" spans="1:7" x14ac:dyDescent="0.3">
      <c r="A71" t="s">
        <v>84</v>
      </c>
      <c r="B71" t="s">
        <v>15</v>
      </c>
      <c r="C71" t="s">
        <v>9</v>
      </c>
      <c r="D71">
        <v>38</v>
      </c>
      <c r="E71" s="1">
        <v>44329</v>
      </c>
      <c r="F71" s="3">
        <v>56870</v>
      </c>
      <c r="G71" t="s">
        <v>10</v>
      </c>
    </row>
    <row r="72" spans="1:7" x14ac:dyDescent="0.3">
      <c r="A72" t="s">
        <v>85</v>
      </c>
      <c r="B72" t="s">
        <v>15</v>
      </c>
      <c r="C72" t="s">
        <v>9</v>
      </c>
      <c r="D72">
        <v>25</v>
      </c>
      <c r="E72" s="1">
        <v>44205</v>
      </c>
      <c r="F72" s="3">
        <v>92700</v>
      </c>
      <c r="G72" t="s">
        <v>13</v>
      </c>
    </row>
    <row r="73" spans="1:7" x14ac:dyDescent="0.3">
      <c r="A73" t="s">
        <v>86</v>
      </c>
      <c r="B73" t="s">
        <v>15</v>
      </c>
      <c r="C73" t="s">
        <v>17</v>
      </c>
      <c r="D73">
        <v>21</v>
      </c>
      <c r="E73" s="1">
        <v>44317</v>
      </c>
      <c r="F73" s="3">
        <v>65920</v>
      </c>
      <c r="G73" t="s">
        <v>13</v>
      </c>
    </row>
    <row r="74" spans="1:7" x14ac:dyDescent="0.3">
      <c r="A74" t="s">
        <v>87</v>
      </c>
      <c r="B74" t="s">
        <v>8</v>
      </c>
      <c r="C74" t="s">
        <v>12</v>
      </c>
      <c r="D74">
        <v>26</v>
      </c>
      <c r="E74" s="1">
        <v>44225</v>
      </c>
      <c r="F74" s="3">
        <v>47360</v>
      </c>
      <c r="G74" t="s">
        <v>13</v>
      </c>
    </row>
    <row r="75" spans="1:7" x14ac:dyDescent="0.3">
      <c r="A75" t="s">
        <v>88</v>
      </c>
      <c r="B75" t="s">
        <v>8</v>
      </c>
      <c r="C75" t="s">
        <v>12</v>
      </c>
      <c r="D75">
        <v>30</v>
      </c>
      <c r="E75" s="1">
        <v>44666</v>
      </c>
      <c r="F75" s="3">
        <v>60570</v>
      </c>
      <c r="G75" t="s">
        <v>13</v>
      </c>
    </row>
    <row r="76" spans="1:7" x14ac:dyDescent="0.3">
      <c r="A76" t="s">
        <v>89</v>
      </c>
      <c r="B76" t="s">
        <v>15</v>
      </c>
      <c r="C76" t="s">
        <v>12</v>
      </c>
      <c r="D76">
        <v>28</v>
      </c>
      <c r="E76" s="1">
        <v>44649</v>
      </c>
      <c r="F76" s="3">
        <v>104120</v>
      </c>
      <c r="G76" t="s">
        <v>13</v>
      </c>
    </row>
    <row r="77" spans="1:7" x14ac:dyDescent="0.3">
      <c r="A77" t="s">
        <v>90</v>
      </c>
      <c r="B77" t="s">
        <v>8</v>
      </c>
      <c r="C77" t="s">
        <v>23</v>
      </c>
      <c r="D77">
        <v>37</v>
      </c>
      <c r="E77" s="1">
        <v>44338</v>
      </c>
      <c r="F77" s="3">
        <v>88050</v>
      </c>
      <c r="G77" t="s">
        <v>18</v>
      </c>
    </row>
    <row r="78" spans="1:7" x14ac:dyDescent="0.3">
      <c r="A78" t="s">
        <v>91</v>
      </c>
      <c r="B78" t="s">
        <v>8</v>
      </c>
      <c r="C78" t="s">
        <v>23</v>
      </c>
      <c r="D78">
        <v>24</v>
      </c>
      <c r="E78" s="1">
        <v>44686</v>
      </c>
      <c r="F78" s="3">
        <v>100420</v>
      </c>
      <c r="G78" t="s">
        <v>13</v>
      </c>
    </row>
    <row r="79" spans="1:7" x14ac:dyDescent="0.3">
      <c r="A79" t="s">
        <v>92</v>
      </c>
      <c r="B79" t="s">
        <v>15</v>
      </c>
      <c r="C79" t="s">
        <v>12</v>
      </c>
      <c r="D79">
        <v>30</v>
      </c>
      <c r="E79" s="1">
        <v>44850</v>
      </c>
      <c r="F79" s="3">
        <v>114180</v>
      </c>
      <c r="G79" t="s">
        <v>13</v>
      </c>
    </row>
    <row r="80" spans="1:7" x14ac:dyDescent="0.3">
      <c r="A80" t="s">
        <v>93</v>
      </c>
      <c r="B80" t="s">
        <v>15</v>
      </c>
      <c r="C80" t="s">
        <v>23</v>
      </c>
      <c r="D80">
        <v>21</v>
      </c>
      <c r="E80" s="1">
        <v>44678</v>
      </c>
      <c r="F80" s="3">
        <v>33920</v>
      </c>
      <c r="G80" t="s">
        <v>13</v>
      </c>
    </row>
    <row r="81" spans="1:7" x14ac:dyDescent="0.3">
      <c r="A81" t="s">
        <v>94</v>
      </c>
      <c r="B81" t="s">
        <v>8</v>
      </c>
      <c r="C81" t="s">
        <v>12</v>
      </c>
      <c r="D81">
        <v>23</v>
      </c>
      <c r="E81" s="1">
        <v>44440</v>
      </c>
      <c r="F81" s="3">
        <v>106460</v>
      </c>
      <c r="G81" t="s">
        <v>13</v>
      </c>
    </row>
    <row r="82" spans="1:7" x14ac:dyDescent="0.3">
      <c r="A82" t="s">
        <v>95</v>
      </c>
      <c r="B82" t="s">
        <v>8</v>
      </c>
      <c r="C82" t="s">
        <v>12</v>
      </c>
      <c r="D82">
        <v>35</v>
      </c>
      <c r="E82" s="1">
        <v>44727</v>
      </c>
      <c r="F82" s="3">
        <v>40400</v>
      </c>
      <c r="G82" t="s">
        <v>13</v>
      </c>
    </row>
    <row r="83" spans="1:7" x14ac:dyDescent="0.3">
      <c r="A83" t="s">
        <v>96</v>
      </c>
      <c r="B83" t="s">
        <v>8</v>
      </c>
      <c r="C83" t="s">
        <v>17</v>
      </c>
      <c r="D83">
        <v>27</v>
      </c>
      <c r="E83" s="1">
        <v>44236</v>
      </c>
      <c r="F83" s="3">
        <v>91650</v>
      </c>
      <c r="G83" t="s">
        <v>10</v>
      </c>
    </row>
    <row r="84" spans="1:7" x14ac:dyDescent="0.3">
      <c r="A84" t="s">
        <v>97</v>
      </c>
      <c r="B84" t="s">
        <v>8</v>
      </c>
      <c r="C84" t="s">
        <v>9</v>
      </c>
      <c r="D84">
        <v>43</v>
      </c>
      <c r="E84" s="1">
        <v>44620</v>
      </c>
      <c r="F84" s="3">
        <v>36040</v>
      </c>
      <c r="G84" t="s">
        <v>13</v>
      </c>
    </row>
    <row r="85" spans="1:7" x14ac:dyDescent="0.3">
      <c r="A85" t="s">
        <v>98</v>
      </c>
      <c r="B85" t="s">
        <v>15</v>
      </c>
      <c r="C85" t="s">
        <v>23</v>
      </c>
      <c r="D85">
        <v>40</v>
      </c>
      <c r="E85" s="1">
        <v>44381</v>
      </c>
      <c r="F85" s="3">
        <v>104410</v>
      </c>
      <c r="G85" t="s">
        <v>13</v>
      </c>
    </row>
    <row r="86" spans="1:7" x14ac:dyDescent="0.3">
      <c r="A86" t="s">
        <v>99</v>
      </c>
      <c r="B86" t="s">
        <v>8</v>
      </c>
      <c r="C86" t="s">
        <v>17</v>
      </c>
      <c r="D86">
        <v>30</v>
      </c>
      <c r="E86" s="1">
        <v>44606</v>
      </c>
      <c r="F86" s="3">
        <v>96800</v>
      </c>
      <c r="G86" t="s">
        <v>13</v>
      </c>
    </row>
    <row r="87" spans="1:7" x14ac:dyDescent="0.3">
      <c r="A87" t="s">
        <v>100</v>
      </c>
      <c r="B87" t="s">
        <v>15</v>
      </c>
      <c r="C87" t="s">
        <v>17</v>
      </c>
      <c r="D87">
        <v>34</v>
      </c>
      <c r="E87" s="1">
        <v>44459</v>
      </c>
      <c r="F87" s="3">
        <v>85000</v>
      </c>
      <c r="G87" t="s">
        <v>13</v>
      </c>
    </row>
    <row r="88" spans="1:7" x14ac:dyDescent="0.3">
      <c r="A88" t="s">
        <v>101</v>
      </c>
      <c r="B88" t="s">
        <v>8</v>
      </c>
      <c r="C88" t="s">
        <v>9</v>
      </c>
      <c r="D88">
        <v>28</v>
      </c>
      <c r="E88" s="1">
        <v>44820</v>
      </c>
      <c r="F88" s="3">
        <v>43510</v>
      </c>
      <c r="G88" t="s">
        <v>49</v>
      </c>
    </row>
    <row r="89" spans="1:7" x14ac:dyDescent="0.3">
      <c r="A89" t="s">
        <v>102</v>
      </c>
      <c r="B89" t="s">
        <v>8</v>
      </c>
      <c r="C89" t="s">
        <v>17</v>
      </c>
      <c r="D89">
        <v>33</v>
      </c>
      <c r="E89" s="1">
        <v>44243</v>
      </c>
      <c r="F89" s="3">
        <v>59430</v>
      </c>
      <c r="G89" t="s">
        <v>13</v>
      </c>
    </row>
    <row r="90" spans="1:7" x14ac:dyDescent="0.3">
      <c r="A90" t="s">
        <v>103</v>
      </c>
      <c r="B90" t="s">
        <v>15</v>
      </c>
      <c r="C90" t="s">
        <v>17</v>
      </c>
      <c r="D90">
        <v>33</v>
      </c>
      <c r="E90" s="1">
        <v>44067</v>
      </c>
      <c r="F90" s="3">
        <v>65360</v>
      </c>
      <c r="G90" t="s">
        <v>13</v>
      </c>
    </row>
    <row r="91" spans="1:7" x14ac:dyDescent="0.3">
      <c r="A91" t="s">
        <v>104</v>
      </c>
      <c r="B91" t="s">
        <v>15</v>
      </c>
      <c r="C91" t="s">
        <v>12</v>
      </c>
      <c r="D91">
        <v>32</v>
      </c>
      <c r="E91" s="1">
        <v>44611</v>
      </c>
      <c r="F91" s="3">
        <v>41570</v>
      </c>
      <c r="G91" t="s">
        <v>13</v>
      </c>
    </row>
    <row r="92" spans="1:7" x14ac:dyDescent="0.3">
      <c r="A92" t="s">
        <v>105</v>
      </c>
      <c r="B92" t="s">
        <v>15</v>
      </c>
      <c r="C92" t="s">
        <v>23</v>
      </c>
      <c r="D92">
        <v>33</v>
      </c>
      <c r="E92" s="1">
        <v>44312</v>
      </c>
      <c r="F92" s="3">
        <v>75280</v>
      </c>
      <c r="G92" t="s">
        <v>13</v>
      </c>
    </row>
    <row r="93" spans="1:7" x14ac:dyDescent="0.3">
      <c r="A93" t="s">
        <v>106</v>
      </c>
      <c r="B93" t="s">
        <v>8</v>
      </c>
      <c r="C93" t="s">
        <v>9</v>
      </c>
      <c r="D93">
        <v>33</v>
      </c>
      <c r="E93" s="1">
        <v>44385</v>
      </c>
      <c r="F93" s="3">
        <v>74550</v>
      </c>
      <c r="G93" t="s">
        <v>13</v>
      </c>
    </row>
    <row r="94" spans="1:7" x14ac:dyDescent="0.3">
      <c r="A94" t="s">
        <v>107</v>
      </c>
      <c r="B94" t="s">
        <v>8</v>
      </c>
      <c r="C94" t="s">
        <v>12</v>
      </c>
      <c r="D94">
        <v>30</v>
      </c>
      <c r="E94" s="1">
        <v>44701</v>
      </c>
      <c r="F94" s="3">
        <v>67950</v>
      </c>
      <c r="G94" t="s">
        <v>13</v>
      </c>
    </row>
    <row r="95" spans="1:7" x14ac:dyDescent="0.3">
      <c r="A95" t="s">
        <v>108</v>
      </c>
      <c r="B95" t="s">
        <v>8</v>
      </c>
      <c r="C95" t="s">
        <v>17</v>
      </c>
      <c r="D95">
        <v>42</v>
      </c>
      <c r="E95" s="1">
        <v>44731</v>
      </c>
      <c r="F95" s="3">
        <v>70270</v>
      </c>
      <c r="G95" t="s">
        <v>18</v>
      </c>
    </row>
    <row r="96" spans="1:7" x14ac:dyDescent="0.3">
      <c r="A96" t="s">
        <v>109</v>
      </c>
      <c r="B96" t="s">
        <v>8</v>
      </c>
      <c r="C96" t="s">
        <v>12</v>
      </c>
      <c r="D96">
        <v>26</v>
      </c>
      <c r="E96" s="1">
        <v>44411</v>
      </c>
      <c r="F96" s="3">
        <v>53540</v>
      </c>
      <c r="G96" t="s">
        <v>13</v>
      </c>
    </row>
    <row r="97" spans="1:7" x14ac:dyDescent="0.3">
      <c r="A97" t="s">
        <v>7</v>
      </c>
      <c r="B97" t="s">
        <v>8</v>
      </c>
      <c r="C97" t="s">
        <v>9</v>
      </c>
      <c r="D97">
        <v>22</v>
      </c>
      <c r="E97" s="1">
        <v>44446</v>
      </c>
      <c r="F97" s="3">
        <v>112780</v>
      </c>
      <c r="G97" t="s">
        <v>10</v>
      </c>
    </row>
    <row r="98" spans="1:7" x14ac:dyDescent="0.3">
      <c r="A98" t="s">
        <v>11</v>
      </c>
      <c r="B98" t="s">
        <v>8</v>
      </c>
      <c r="C98" t="s">
        <v>12</v>
      </c>
      <c r="D98">
        <v>46</v>
      </c>
      <c r="E98" s="1">
        <v>44758</v>
      </c>
      <c r="F98" s="3">
        <v>70610</v>
      </c>
      <c r="G98" t="s">
        <v>13</v>
      </c>
    </row>
    <row r="99" spans="1:7" x14ac:dyDescent="0.3">
      <c r="A99" t="s">
        <v>14</v>
      </c>
      <c r="B99" t="s">
        <v>15</v>
      </c>
      <c r="C99" t="s">
        <v>9</v>
      </c>
      <c r="D99">
        <v>28</v>
      </c>
      <c r="E99" s="1">
        <v>44357</v>
      </c>
      <c r="F99" s="3">
        <v>53240</v>
      </c>
      <c r="G99" t="s">
        <v>13</v>
      </c>
    </row>
    <row r="100" spans="1:7" x14ac:dyDescent="0.3">
      <c r="A100" t="s">
        <v>16</v>
      </c>
      <c r="C100" t="s">
        <v>17</v>
      </c>
      <c r="D100">
        <v>37</v>
      </c>
      <c r="E100" s="1">
        <v>44146</v>
      </c>
      <c r="F100" s="3">
        <v>115440</v>
      </c>
      <c r="G100" t="s">
        <v>18</v>
      </c>
    </row>
    <row r="101" spans="1:7" x14ac:dyDescent="0.3">
      <c r="A101" t="s">
        <v>19</v>
      </c>
      <c r="B101" t="s">
        <v>8</v>
      </c>
      <c r="C101" t="s">
        <v>9</v>
      </c>
      <c r="D101">
        <v>32</v>
      </c>
      <c r="E101" s="1">
        <v>44465</v>
      </c>
      <c r="F101" s="3">
        <v>53540</v>
      </c>
      <c r="G101" t="s">
        <v>13</v>
      </c>
    </row>
    <row r="102" spans="1:7" x14ac:dyDescent="0.3">
      <c r="A102" t="s">
        <v>20</v>
      </c>
      <c r="B102" t="s">
        <v>15</v>
      </c>
      <c r="C102" t="s">
        <v>12</v>
      </c>
      <c r="D102">
        <v>30</v>
      </c>
      <c r="E102" s="1">
        <v>44861</v>
      </c>
      <c r="F102" s="3">
        <v>112570</v>
      </c>
      <c r="G102" t="s">
        <v>13</v>
      </c>
    </row>
    <row r="103" spans="1:7" x14ac:dyDescent="0.3">
      <c r="A103" t="s">
        <v>21</v>
      </c>
      <c r="B103" t="s">
        <v>8</v>
      </c>
      <c r="C103" t="s">
        <v>12</v>
      </c>
      <c r="D103">
        <v>33</v>
      </c>
      <c r="E103" s="1">
        <v>44701</v>
      </c>
      <c r="F103" s="3">
        <v>48530</v>
      </c>
      <c r="G103" t="s">
        <v>10</v>
      </c>
    </row>
    <row r="104" spans="1:7" x14ac:dyDescent="0.3">
      <c r="A104" t="s">
        <v>22</v>
      </c>
      <c r="B104" t="s">
        <v>15</v>
      </c>
      <c r="C104" t="s">
        <v>23</v>
      </c>
      <c r="D104">
        <v>24</v>
      </c>
      <c r="E104" s="1">
        <v>44148</v>
      </c>
      <c r="G104" t="s">
        <v>13</v>
      </c>
    </row>
    <row r="105" spans="1:7" x14ac:dyDescent="0.3">
      <c r="A105" t="s">
        <v>203</v>
      </c>
      <c r="D105">
        <f>SUBTOTAL(101,Table2[Age])</f>
        <v>30.52</v>
      </c>
      <c r="F105" s="3">
        <f>SUBTOTAL(109,Table2[Salary])</f>
        <v>7684430</v>
      </c>
      <c r="G105">
        <f>SUBTOTAL(103,Table2[Rating])</f>
        <v>100</v>
      </c>
    </row>
  </sheetData>
  <mergeCells count="1">
    <mergeCell ref="A1:G1"/>
  </mergeCells>
  <conditionalFormatting sqref="A5:A104">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233FE-7CC6-4A37-B9E0-9EF39877C134}">
  <dimension ref="A1:G115"/>
  <sheetViews>
    <sheetView workbookViewId="0">
      <selection activeCell="K20" sqref="K20"/>
    </sheetView>
  </sheetViews>
  <sheetFormatPr defaultRowHeight="14.4" x14ac:dyDescent="0.3"/>
  <cols>
    <col min="1" max="1" width="27.21875" bestFit="1" customWidth="1"/>
    <col min="2" max="2" width="9" customWidth="1"/>
    <col min="5" max="5" width="12.6640625" customWidth="1"/>
    <col min="6" max="6" width="13" customWidth="1"/>
    <col min="7" max="7" width="13.21875" style="16" bestFit="1" customWidth="1"/>
    <col min="12" max="12" width="10.44140625" customWidth="1"/>
  </cols>
  <sheetData>
    <row r="1" spans="1:7" x14ac:dyDescent="0.3">
      <c r="A1" t="s">
        <v>0</v>
      </c>
      <c r="B1" t="s">
        <v>1</v>
      </c>
      <c r="C1" t="s">
        <v>3</v>
      </c>
      <c r="D1" t="s">
        <v>6</v>
      </c>
      <c r="E1" t="s">
        <v>4</v>
      </c>
      <c r="F1" t="s">
        <v>2</v>
      </c>
      <c r="G1" s="16" t="s">
        <v>5</v>
      </c>
    </row>
    <row r="2" spans="1:7" x14ac:dyDescent="0.3">
      <c r="A2" t="s">
        <v>110</v>
      </c>
      <c r="B2" t="s">
        <v>8</v>
      </c>
      <c r="C2">
        <v>20</v>
      </c>
      <c r="D2" t="s">
        <v>13</v>
      </c>
      <c r="E2" s="1">
        <v>44122</v>
      </c>
      <c r="F2" t="s">
        <v>23</v>
      </c>
      <c r="G2" s="16">
        <v>112650</v>
      </c>
    </row>
    <row r="3" spans="1:7" x14ac:dyDescent="0.3">
      <c r="A3" t="s">
        <v>111</v>
      </c>
      <c r="B3" t="s">
        <v>15</v>
      </c>
      <c r="C3">
        <v>32</v>
      </c>
      <c r="D3" t="s">
        <v>10</v>
      </c>
      <c r="E3" s="1">
        <v>44293</v>
      </c>
      <c r="F3" t="s">
        <v>23</v>
      </c>
      <c r="G3" s="16">
        <v>43840</v>
      </c>
    </row>
    <row r="4" spans="1:7" x14ac:dyDescent="0.3">
      <c r="A4" t="s">
        <v>112</v>
      </c>
      <c r="B4" t="s">
        <v>8</v>
      </c>
      <c r="C4">
        <v>31</v>
      </c>
      <c r="D4" t="s">
        <v>13</v>
      </c>
      <c r="E4" s="1">
        <v>44663</v>
      </c>
      <c r="F4" t="s">
        <v>12</v>
      </c>
      <c r="G4" s="16">
        <v>103550</v>
      </c>
    </row>
    <row r="5" spans="1:7" x14ac:dyDescent="0.3">
      <c r="A5" t="s">
        <v>113</v>
      </c>
      <c r="B5" t="s">
        <v>15</v>
      </c>
      <c r="C5">
        <v>32</v>
      </c>
      <c r="D5" t="s">
        <v>13</v>
      </c>
      <c r="E5" s="1">
        <v>44339</v>
      </c>
      <c r="F5" t="s">
        <v>26</v>
      </c>
      <c r="G5" s="16">
        <v>45510</v>
      </c>
    </row>
    <row r="6" spans="1:7" x14ac:dyDescent="0.3">
      <c r="A6" t="s">
        <v>114</v>
      </c>
      <c r="C6">
        <v>37</v>
      </c>
      <c r="D6" t="s">
        <v>18</v>
      </c>
      <c r="E6" s="1">
        <v>44085</v>
      </c>
      <c r="F6" t="s">
        <v>17</v>
      </c>
      <c r="G6" s="16">
        <v>115440</v>
      </c>
    </row>
    <row r="7" spans="1:7" x14ac:dyDescent="0.3">
      <c r="A7" t="s">
        <v>115</v>
      </c>
      <c r="B7" t="s">
        <v>15</v>
      </c>
      <c r="C7">
        <v>38</v>
      </c>
      <c r="D7" t="s">
        <v>10</v>
      </c>
      <c r="E7" s="1">
        <v>44268</v>
      </c>
      <c r="F7" t="s">
        <v>9</v>
      </c>
      <c r="G7" s="16">
        <v>56870</v>
      </c>
    </row>
    <row r="8" spans="1:7" x14ac:dyDescent="0.3">
      <c r="A8" t="s">
        <v>116</v>
      </c>
      <c r="B8" t="s">
        <v>15</v>
      </c>
      <c r="C8">
        <v>25</v>
      </c>
      <c r="D8" t="s">
        <v>13</v>
      </c>
      <c r="E8" s="1">
        <v>44144</v>
      </c>
      <c r="F8" t="s">
        <v>9</v>
      </c>
      <c r="G8" s="16">
        <v>92700</v>
      </c>
    </row>
    <row r="9" spans="1:7" x14ac:dyDescent="0.3">
      <c r="A9" t="s">
        <v>117</v>
      </c>
      <c r="C9">
        <v>32</v>
      </c>
      <c r="D9" t="s">
        <v>13</v>
      </c>
      <c r="E9" s="1">
        <v>44713</v>
      </c>
      <c r="F9" t="s">
        <v>23</v>
      </c>
      <c r="G9" s="16">
        <v>91310</v>
      </c>
    </row>
    <row r="10" spans="1:7" x14ac:dyDescent="0.3">
      <c r="A10" t="s">
        <v>118</v>
      </c>
      <c r="B10" t="s">
        <v>8</v>
      </c>
      <c r="C10">
        <v>33</v>
      </c>
      <c r="D10" t="s">
        <v>13</v>
      </c>
      <c r="E10" s="1">
        <v>44324</v>
      </c>
      <c r="F10" t="s">
        <v>9</v>
      </c>
      <c r="G10" s="16">
        <v>74550</v>
      </c>
    </row>
    <row r="11" spans="1:7" x14ac:dyDescent="0.3">
      <c r="A11" t="s">
        <v>119</v>
      </c>
      <c r="B11" t="s">
        <v>8</v>
      </c>
      <c r="C11">
        <v>25</v>
      </c>
      <c r="D11" t="s">
        <v>10</v>
      </c>
      <c r="E11" s="1">
        <v>44665</v>
      </c>
      <c r="F11" t="s">
        <v>12</v>
      </c>
      <c r="G11" s="16">
        <v>109190</v>
      </c>
    </row>
    <row r="12" spans="1:7" x14ac:dyDescent="0.3">
      <c r="A12" t="s">
        <v>120</v>
      </c>
      <c r="B12" t="s">
        <v>15</v>
      </c>
      <c r="C12">
        <v>40</v>
      </c>
      <c r="D12" t="s">
        <v>13</v>
      </c>
      <c r="E12" s="1">
        <v>44320</v>
      </c>
      <c r="F12" t="s">
        <v>23</v>
      </c>
      <c r="G12" s="16">
        <v>104410</v>
      </c>
    </row>
    <row r="13" spans="1:7" x14ac:dyDescent="0.3">
      <c r="A13" t="s">
        <v>121</v>
      </c>
      <c r="B13" t="s">
        <v>8</v>
      </c>
      <c r="C13">
        <v>30</v>
      </c>
      <c r="D13" t="s">
        <v>13</v>
      </c>
      <c r="E13" s="1">
        <v>44544</v>
      </c>
      <c r="F13" t="s">
        <v>17</v>
      </c>
      <c r="G13" s="16">
        <v>96800</v>
      </c>
    </row>
    <row r="14" spans="1:7" x14ac:dyDescent="0.3">
      <c r="A14" t="s">
        <v>122</v>
      </c>
      <c r="B14" t="s">
        <v>8</v>
      </c>
      <c r="C14">
        <v>28</v>
      </c>
      <c r="D14" t="s">
        <v>10</v>
      </c>
      <c r="E14" s="1">
        <v>43980</v>
      </c>
      <c r="F14" t="s">
        <v>17</v>
      </c>
      <c r="G14" s="16">
        <v>48170</v>
      </c>
    </row>
    <row r="15" spans="1:7" x14ac:dyDescent="0.3">
      <c r="A15" t="s">
        <v>123</v>
      </c>
      <c r="B15" t="s">
        <v>8</v>
      </c>
      <c r="C15">
        <v>21</v>
      </c>
      <c r="D15" t="s">
        <v>13</v>
      </c>
      <c r="E15" s="1">
        <v>44042</v>
      </c>
      <c r="F15" t="s">
        <v>12</v>
      </c>
      <c r="G15" s="16">
        <v>37920</v>
      </c>
    </row>
    <row r="16" spans="1:7" x14ac:dyDescent="0.3">
      <c r="A16" t="s">
        <v>124</v>
      </c>
      <c r="B16" t="s">
        <v>8</v>
      </c>
      <c r="C16">
        <v>34</v>
      </c>
      <c r="D16" t="s">
        <v>13</v>
      </c>
      <c r="E16" s="1">
        <v>44642</v>
      </c>
      <c r="F16" t="s">
        <v>12</v>
      </c>
      <c r="G16" s="16">
        <v>112650</v>
      </c>
    </row>
    <row r="17" spans="1:7" x14ac:dyDescent="0.3">
      <c r="A17" t="s">
        <v>125</v>
      </c>
      <c r="B17" t="s">
        <v>15</v>
      </c>
      <c r="C17">
        <v>34</v>
      </c>
      <c r="D17" t="s">
        <v>18</v>
      </c>
      <c r="E17" s="1">
        <v>44660</v>
      </c>
      <c r="F17" t="s">
        <v>9</v>
      </c>
      <c r="G17" s="16">
        <v>49630</v>
      </c>
    </row>
    <row r="18" spans="1:7" x14ac:dyDescent="0.3">
      <c r="A18" t="s">
        <v>126</v>
      </c>
      <c r="B18" t="s">
        <v>8</v>
      </c>
      <c r="C18">
        <v>36</v>
      </c>
      <c r="D18" t="s">
        <v>13</v>
      </c>
      <c r="E18" s="1">
        <v>43958</v>
      </c>
      <c r="F18" t="s">
        <v>23</v>
      </c>
      <c r="G18" s="16">
        <v>118840</v>
      </c>
    </row>
    <row r="19" spans="1:7" x14ac:dyDescent="0.3">
      <c r="A19" t="s">
        <v>127</v>
      </c>
      <c r="B19" t="s">
        <v>8</v>
      </c>
      <c r="C19">
        <v>30</v>
      </c>
      <c r="D19" t="s">
        <v>13</v>
      </c>
      <c r="E19" s="1">
        <v>44789</v>
      </c>
      <c r="F19" t="s">
        <v>23</v>
      </c>
      <c r="G19" s="16">
        <v>69710</v>
      </c>
    </row>
    <row r="20" spans="1:7" x14ac:dyDescent="0.3">
      <c r="A20" t="s">
        <v>128</v>
      </c>
      <c r="B20" t="s">
        <v>8</v>
      </c>
      <c r="C20">
        <v>20</v>
      </c>
      <c r="D20" t="s">
        <v>13</v>
      </c>
      <c r="E20" s="1">
        <v>44683</v>
      </c>
      <c r="F20" t="s">
        <v>12</v>
      </c>
      <c r="G20" s="16">
        <v>79570</v>
      </c>
    </row>
    <row r="21" spans="1:7" x14ac:dyDescent="0.3">
      <c r="A21" t="s">
        <v>129</v>
      </c>
      <c r="B21" t="s">
        <v>15</v>
      </c>
      <c r="C21">
        <v>22</v>
      </c>
      <c r="D21" t="s">
        <v>10</v>
      </c>
      <c r="E21" s="1">
        <v>44388</v>
      </c>
      <c r="F21" t="s">
        <v>12</v>
      </c>
      <c r="G21" s="16">
        <v>76900</v>
      </c>
    </row>
    <row r="22" spans="1:7" x14ac:dyDescent="0.3">
      <c r="A22" t="s">
        <v>130</v>
      </c>
      <c r="B22" t="s">
        <v>8</v>
      </c>
      <c r="C22">
        <v>27</v>
      </c>
      <c r="D22" t="s">
        <v>13</v>
      </c>
      <c r="E22" s="1">
        <v>44073</v>
      </c>
      <c r="F22" t="s">
        <v>9</v>
      </c>
      <c r="G22" s="16">
        <v>54970</v>
      </c>
    </row>
    <row r="23" spans="1:7" x14ac:dyDescent="0.3">
      <c r="A23" t="s">
        <v>131</v>
      </c>
      <c r="B23" t="s">
        <v>8</v>
      </c>
      <c r="C23">
        <v>37</v>
      </c>
      <c r="D23" t="s">
        <v>18</v>
      </c>
      <c r="E23" s="1">
        <v>44277</v>
      </c>
      <c r="F23" t="s">
        <v>23</v>
      </c>
      <c r="G23" s="16">
        <v>88050</v>
      </c>
    </row>
    <row r="24" spans="1:7" x14ac:dyDescent="0.3">
      <c r="A24" t="s">
        <v>132</v>
      </c>
      <c r="B24" t="s">
        <v>8</v>
      </c>
      <c r="C24">
        <v>43</v>
      </c>
      <c r="D24" t="s">
        <v>13</v>
      </c>
      <c r="E24" s="1">
        <v>44558</v>
      </c>
      <c r="F24" t="s">
        <v>9</v>
      </c>
      <c r="G24" s="16">
        <v>36040</v>
      </c>
    </row>
    <row r="25" spans="1:7" x14ac:dyDescent="0.3">
      <c r="A25" t="s">
        <v>133</v>
      </c>
      <c r="B25" t="s">
        <v>15</v>
      </c>
      <c r="C25">
        <v>42</v>
      </c>
      <c r="D25" t="s">
        <v>43</v>
      </c>
      <c r="E25" s="1">
        <v>44718</v>
      </c>
      <c r="F25" t="s">
        <v>12</v>
      </c>
      <c r="G25" s="16">
        <v>75000</v>
      </c>
    </row>
    <row r="26" spans="1:7" x14ac:dyDescent="0.3">
      <c r="A26" t="s">
        <v>134</v>
      </c>
      <c r="B26" t="s">
        <v>8</v>
      </c>
      <c r="C26">
        <v>35</v>
      </c>
      <c r="D26" t="s">
        <v>13</v>
      </c>
      <c r="E26" s="1">
        <v>44666</v>
      </c>
      <c r="F26" t="s">
        <v>12</v>
      </c>
      <c r="G26" s="16">
        <v>40400</v>
      </c>
    </row>
    <row r="27" spans="1:7" x14ac:dyDescent="0.3">
      <c r="A27" t="s">
        <v>135</v>
      </c>
      <c r="B27" t="s">
        <v>8</v>
      </c>
      <c r="C27">
        <v>24</v>
      </c>
      <c r="D27" t="s">
        <v>13</v>
      </c>
      <c r="E27" s="1">
        <v>44625</v>
      </c>
      <c r="F27" t="s">
        <v>23</v>
      </c>
      <c r="G27" s="16">
        <v>100420</v>
      </c>
    </row>
    <row r="28" spans="1:7" x14ac:dyDescent="0.3">
      <c r="A28" t="s">
        <v>136</v>
      </c>
      <c r="B28" t="s">
        <v>15</v>
      </c>
      <c r="C28">
        <v>31</v>
      </c>
      <c r="D28" t="s">
        <v>13</v>
      </c>
      <c r="E28" s="1">
        <v>44604</v>
      </c>
      <c r="F28" t="s">
        <v>23</v>
      </c>
      <c r="G28" s="16">
        <v>58100</v>
      </c>
    </row>
    <row r="29" spans="1:7" x14ac:dyDescent="0.3">
      <c r="A29" t="s">
        <v>137</v>
      </c>
      <c r="B29" t="s">
        <v>15</v>
      </c>
      <c r="C29">
        <v>44</v>
      </c>
      <c r="D29" t="s">
        <v>13</v>
      </c>
      <c r="E29" s="1">
        <v>44985</v>
      </c>
      <c r="F29" t="s">
        <v>23</v>
      </c>
      <c r="G29" s="16">
        <v>114870</v>
      </c>
    </row>
    <row r="30" spans="1:7" x14ac:dyDescent="0.3">
      <c r="A30" t="s">
        <v>138</v>
      </c>
      <c r="B30" t="s">
        <v>15</v>
      </c>
      <c r="C30">
        <v>32</v>
      </c>
      <c r="D30" t="s">
        <v>13</v>
      </c>
      <c r="E30" s="1">
        <v>44549</v>
      </c>
      <c r="F30" t="s">
        <v>12</v>
      </c>
      <c r="G30" s="16">
        <v>41570</v>
      </c>
    </row>
    <row r="31" spans="1:7" x14ac:dyDescent="0.3">
      <c r="A31" t="s">
        <v>139</v>
      </c>
      <c r="B31" t="s">
        <v>15</v>
      </c>
      <c r="C31">
        <v>30</v>
      </c>
      <c r="D31" t="s">
        <v>13</v>
      </c>
      <c r="E31" s="1">
        <v>44800</v>
      </c>
      <c r="F31" t="s">
        <v>12</v>
      </c>
      <c r="G31" s="16">
        <v>112570</v>
      </c>
    </row>
    <row r="32" spans="1:7" x14ac:dyDescent="0.3">
      <c r="A32" t="s">
        <v>140</v>
      </c>
      <c r="B32" t="s">
        <v>8</v>
      </c>
      <c r="C32">
        <v>26</v>
      </c>
      <c r="D32" t="s">
        <v>13</v>
      </c>
      <c r="E32" s="1">
        <v>44164</v>
      </c>
      <c r="F32" t="s">
        <v>12</v>
      </c>
      <c r="G32" s="16">
        <v>47360</v>
      </c>
    </row>
    <row r="33" spans="1:7" x14ac:dyDescent="0.3">
      <c r="A33" t="s">
        <v>141</v>
      </c>
      <c r="B33" t="s">
        <v>15</v>
      </c>
      <c r="C33">
        <v>21</v>
      </c>
      <c r="D33" t="s">
        <v>13</v>
      </c>
      <c r="E33" s="1">
        <v>44256</v>
      </c>
      <c r="F33" t="s">
        <v>17</v>
      </c>
      <c r="G33" s="16">
        <v>65920</v>
      </c>
    </row>
    <row r="34" spans="1:7" x14ac:dyDescent="0.3">
      <c r="A34" t="s">
        <v>142</v>
      </c>
      <c r="B34" t="s">
        <v>15</v>
      </c>
      <c r="C34">
        <v>28</v>
      </c>
      <c r="D34" t="s">
        <v>13</v>
      </c>
      <c r="E34" s="1">
        <v>44571</v>
      </c>
      <c r="F34" t="s">
        <v>12</v>
      </c>
      <c r="G34" s="16">
        <v>99970</v>
      </c>
    </row>
    <row r="35" spans="1:7" x14ac:dyDescent="0.3">
      <c r="A35" t="s">
        <v>143</v>
      </c>
      <c r="B35" t="s">
        <v>15</v>
      </c>
      <c r="C35">
        <v>25</v>
      </c>
      <c r="D35" t="s">
        <v>10</v>
      </c>
      <c r="E35" s="1">
        <v>44633</v>
      </c>
      <c r="F35" t="s">
        <v>23</v>
      </c>
      <c r="G35" s="16">
        <v>80700</v>
      </c>
    </row>
    <row r="36" spans="1:7" x14ac:dyDescent="0.3">
      <c r="A36" t="s">
        <v>144</v>
      </c>
      <c r="B36" t="s">
        <v>8</v>
      </c>
      <c r="C36">
        <v>24</v>
      </c>
      <c r="D36" t="s">
        <v>18</v>
      </c>
      <c r="E36" s="1">
        <v>44375</v>
      </c>
      <c r="F36" t="s">
        <v>17</v>
      </c>
      <c r="G36" s="16">
        <v>52610</v>
      </c>
    </row>
    <row r="37" spans="1:7" x14ac:dyDescent="0.3">
      <c r="A37" t="s">
        <v>145</v>
      </c>
      <c r="B37" t="s">
        <v>8</v>
      </c>
      <c r="C37">
        <v>29</v>
      </c>
      <c r="D37" t="s">
        <v>18</v>
      </c>
      <c r="E37" s="1">
        <v>44119</v>
      </c>
      <c r="F37" t="s">
        <v>23</v>
      </c>
      <c r="G37" s="16">
        <v>112110</v>
      </c>
    </row>
    <row r="38" spans="1:7" x14ac:dyDescent="0.3">
      <c r="A38" t="s">
        <v>146</v>
      </c>
      <c r="B38" t="s">
        <v>15</v>
      </c>
      <c r="C38">
        <v>27</v>
      </c>
      <c r="D38" t="s">
        <v>13</v>
      </c>
      <c r="E38" s="1">
        <v>44061</v>
      </c>
      <c r="F38" t="s">
        <v>26</v>
      </c>
      <c r="G38" s="16">
        <v>119110</v>
      </c>
    </row>
    <row r="39" spans="1:7" x14ac:dyDescent="0.3">
      <c r="A39" t="s">
        <v>147</v>
      </c>
      <c r="B39" t="s">
        <v>8</v>
      </c>
      <c r="C39">
        <v>22</v>
      </c>
      <c r="D39" t="s">
        <v>10</v>
      </c>
      <c r="E39" s="1">
        <v>44384</v>
      </c>
      <c r="F39" t="s">
        <v>9</v>
      </c>
      <c r="G39" s="16">
        <v>112780</v>
      </c>
    </row>
    <row r="40" spans="1:7" x14ac:dyDescent="0.3">
      <c r="A40" t="s">
        <v>148</v>
      </c>
      <c r="B40" t="s">
        <v>15</v>
      </c>
      <c r="C40">
        <v>36</v>
      </c>
      <c r="D40" t="s">
        <v>13</v>
      </c>
      <c r="E40" s="1">
        <v>44023</v>
      </c>
      <c r="F40" t="s">
        <v>12</v>
      </c>
      <c r="G40" s="16">
        <v>114890</v>
      </c>
    </row>
    <row r="41" spans="1:7" x14ac:dyDescent="0.3">
      <c r="A41" t="s">
        <v>149</v>
      </c>
      <c r="B41" t="s">
        <v>8</v>
      </c>
      <c r="C41">
        <v>27</v>
      </c>
      <c r="D41" t="s">
        <v>13</v>
      </c>
      <c r="E41" s="1">
        <v>44506</v>
      </c>
      <c r="F41" t="s">
        <v>17</v>
      </c>
      <c r="G41" s="16">
        <v>48980</v>
      </c>
    </row>
    <row r="42" spans="1:7" x14ac:dyDescent="0.3">
      <c r="A42" t="s">
        <v>150</v>
      </c>
      <c r="B42" t="s">
        <v>8</v>
      </c>
      <c r="C42">
        <v>21</v>
      </c>
      <c r="D42" t="s">
        <v>13</v>
      </c>
      <c r="E42" s="1">
        <v>44180</v>
      </c>
      <c r="F42" t="s">
        <v>26</v>
      </c>
      <c r="G42" s="16">
        <v>75880</v>
      </c>
    </row>
    <row r="43" spans="1:7" x14ac:dyDescent="0.3">
      <c r="A43" t="s">
        <v>151</v>
      </c>
      <c r="B43" t="s">
        <v>15</v>
      </c>
      <c r="C43">
        <v>28</v>
      </c>
      <c r="D43" t="s">
        <v>13</v>
      </c>
      <c r="E43" s="1">
        <v>44296</v>
      </c>
      <c r="F43" t="s">
        <v>9</v>
      </c>
      <c r="G43" s="16">
        <v>53240</v>
      </c>
    </row>
    <row r="44" spans="1:7" x14ac:dyDescent="0.3">
      <c r="A44" t="s">
        <v>152</v>
      </c>
      <c r="B44" t="s">
        <v>15</v>
      </c>
      <c r="C44">
        <v>34</v>
      </c>
      <c r="D44" t="s">
        <v>13</v>
      </c>
      <c r="E44" s="1">
        <v>44397</v>
      </c>
      <c r="F44" t="s">
        <v>17</v>
      </c>
      <c r="G44" s="16">
        <v>85000</v>
      </c>
    </row>
    <row r="45" spans="1:7" x14ac:dyDescent="0.3">
      <c r="A45" t="s">
        <v>153</v>
      </c>
      <c r="B45" t="s">
        <v>15</v>
      </c>
      <c r="C45">
        <v>21</v>
      </c>
      <c r="D45" t="s">
        <v>13</v>
      </c>
      <c r="E45" s="1">
        <v>44619</v>
      </c>
      <c r="F45" t="s">
        <v>23</v>
      </c>
      <c r="G45" s="16">
        <v>33920</v>
      </c>
    </row>
    <row r="46" spans="1:7" x14ac:dyDescent="0.3">
      <c r="A46" t="s">
        <v>154</v>
      </c>
      <c r="B46" t="s">
        <v>15</v>
      </c>
      <c r="C46">
        <v>33</v>
      </c>
      <c r="D46" t="s">
        <v>13</v>
      </c>
      <c r="E46" s="1">
        <v>44253</v>
      </c>
      <c r="F46" t="s">
        <v>23</v>
      </c>
      <c r="G46" s="16">
        <v>75280</v>
      </c>
    </row>
    <row r="47" spans="1:7" x14ac:dyDescent="0.3">
      <c r="A47" t="s">
        <v>155</v>
      </c>
      <c r="B47" t="s">
        <v>15</v>
      </c>
      <c r="C47">
        <v>34</v>
      </c>
      <c r="D47" t="s">
        <v>13</v>
      </c>
      <c r="E47" s="1">
        <v>44594</v>
      </c>
      <c r="F47" t="s">
        <v>17</v>
      </c>
      <c r="G47" s="16">
        <v>58940</v>
      </c>
    </row>
    <row r="48" spans="1:7" x14ac:dyDescent="0.3">
      <c r="A48" t="s">
        <v>156</v>
      </c>
      <c r="B48" t="s">
        <v>15</v>
      </c>
      <c r="C48">
        <v>28</v>
      </c>
      <c r="D48" t="s">
        <v>13</v>
      </c>
      <c r="E48" s="1">
        <v>44425</v>
      </c>
      <c r="F48" t="s">
        <v>12</v>
      </c>
      <c r="G48" s="16">
        <v>104770</v>
      </c>
    </row>
    <row r="49" spans="1:7" x14ac:dyDescent="0.3">
      <c r="A49" t="s">
        <v>157</v>
      </c>
      <c r="B49" t="s">
        <v>8</v>
      </c>
      <c r="C49">
        <v>21</v>
      </c>
      <c r="D49" t="s">
        <v>13</v>
      </c>
      <c r="E49" s="1">
        <v>44701</v>
      </c>
      <c r="F49" t="s">
        <v>12</v>
      </c>
      <c r="G49" s="16">
        <v>57090</v>
      </c>
    </row>
    <row r="50" spans="1:7" x14ac:dyDescent="0.3">
      <c r="A50" t="s">
        <v>158</v>
      </c>
      <c r="B50" t="s">
        <v>8</v>
      </c>
      <c r="C50">
        <v>27</v>
      </c>
      <c r="D50" t="s">
        <v>10</v>
      </c>
      <c r="E50" s="1">
        <v>44174</v>
      </c>
      <c r="F50" t="s">
        <v>17</v>
      </c>
      <c r="G50" s="16">
        <v>91650</v>
      </c>
    </row>
    <row r="51" spans="1:7" x14ac:dyDescent="0.3">
      <c r="A51" t="s">
        <v>159</v>
      </c>
      <c r="B51" t="s">
        <v>8</v>
      </c>
      <c r="C51">
        <v>42</v>
      </c>
      <c r="D51" t="s">
        <v>18</v>
      </c>
      <c r="E51" s="1">
        <v>44670</v>
      </c>
      <c r="F51" t="s">
        <v>17</v>
      </c>
      <c r="G51" s="16">
        <v>70270</v>
      </c>
    </row>
    <row r="52" spans="1:7" x14ac:dyDescent="0.3">
      <c r="A52" t="s">
        <v>160</v>
      </c>
      <c r="B52" t="s">
        <v>15</v>
      </c>
      <c r="C52">
        <v>28</v>
      </c>
      <c r="D52" t="s">
        <v>13</v>
      </c>
      <c r="E52" s="1">
        <v>44124</v>
      </c>
      <c r="F52" t="s">
        <v>17</v>
      </c>
      <c r="G52" s="16">
        <v>75970</v>
      </c>
    </row>
    <row r="53" spans="1:7" x14ac:dyDescent="0.3">
      <c r="A53" t="s">
        <v>161</v>
      </c>
      <c r="C53">
        <v>27</v>
      </c>
      <c r="D53" t="s">
        <v>10</v>
      </c>
      <c r="E53" s="1">
        <v>44212</v>
      </c>
      <c r="F53" t="s">
        <v>23</v>
      </c>
      <c r="G53" s="16">
        <v>90700</v>
      </c>
    </row>
    <row r="54" spans="1:7" x14ac:dyDescent="0.3">
      <c r="A54" t="s">
        <v>162</v>
      </c>
      <c r="B54" t="s">
        <v>8</v>
      </c>
      <c r="C54">
        <v>30</v>
      </c>
      <c r="D54" t="s">
        <v>13</v>
      </c>
      <c r="E54" s="1">
        <v>44607</v>
      </c>
      <c r="F54" t="s">
        <v>12</v>
      </c>
      <c r="G54" s="16">
        <v>60570</v>
      </c>
    </row>
    <row r="55" spans="1:7" x14ac:dyDescent="0.3">
      <c r="A55" t="s">
        <v>163</v>
      </c>
      <c r="B55" t="s">
        <v>8</v>
      </c>
      <c r="C55">
        <v>33</v>
      </c>
      <c r="D55" t="s">
        <v>13</v>
      </c>
      <c r="E55" s="1">
        <v>44103</v>
      </c>
      <c r="F55" t="s">
        <v>12</v>
      </c>
      <c r="G55" s="16">
        <v>115920</v>
      </c>
    </row>
    <row r="56" spans="1:7" x14ac:dyDescent="0.3">
      <c r="A56" t="s">
        <v>164</v>
      </c>
      <c r="B56" t="s">
        <v>15</v>
      </c>
      <c r="C56">
        <v>33</v>
      </c>
      <c r="D56" t="s">
        <v>13</v>
      </c>
      <c r="E56" s="1">
        <v>44006</v>
      </c>
      <c r="F56" t="s">
        <v>17</v>
      </c>
      <c r="G56" s="16">
        <v>65360</v>
      </c>
    </row>
    <row r="57" spans="1:7" x14ac:dyDescent="0.3">
      <c r="A57" t="s">
        <v>165</v>
      </c>
      <c r="C57">
        <v>30</v>
      </c>
      <c r="D57" t="s">
        <v>13</v>
      </c>
      <c r="E57" s="1">
        <v>44535</v>
      </c>
      <c r="F57" t="s">
        <v>17</v>
      </c>
      <c r="G57" s="16">
        <v>64000</v>
      </c>
    </row>
    <row r="58" spans="1:7" x14ac:dyDescent="0.3">
      <c r="A58" t="s">
        <v>166</v>
      </c>
      <c r="B58" t="s">
        <v>15</v>
      </c>
      <c r="C58">
        <v>34</v>
      </c>
      <c r="D58" t="s">
        <v>13</v>
      </c>
      <c r="E58" s="1">
        <v>44383</v>
      </c>
      <c r="F58" t="s">
        <v>17</v>
      </c>
      <c r="G58" s="16">
        <v>92450</v>
      </c>
    </row>
    <row r="59" spans="1:7" x14ac:dyDescent="0.3">
      <c r="A59" t="s">
        <v>167</v>
      </c>
      <c r="B59" t="s">
        <v>8</v>
      </c>
      <c r="C59">
        <v>31</v>
      </c>
      <c r="D59" t="s">
        <v>13</v>
      </c>
      <c r="E59" s="1">
        <v>44450</v>
      </c>
      <c r="F59" t="s">
        <v>23</v>
      </c>
      <c r="G59" s="16">
        <v>48950</v>
      </c>
    </row>
    <row r="60" spans="1:7" x14ac:dyDescent="0.3">
      <c r="A60" t="s">
        <v>168</v>
      </c>
      <c r="B60" t="s">
        <v>15</v>
      </c>
      <c r="C60">
        <v>27</v>
      </c>
      <c r="D60" t="s">
        <v>13</v>
      </c>
      <c r="E60" s="1">
        <v>44625</v>
      </c>
      <c r="F60" t="s">
        <v>23</v>
      </c>
      <c r="G60" s="16">
        <v>83750</v>
      </c>
    </row>
    <row r="61" spans="1:7" x14ac:dyDescent="0.3">
      <c r="A61" t="s">
        <v>169</v>
      </c>
      <c r="B61" t="s">
        <v>15</v>
      </c>
      <c r="C61">
        <v>40</v>
      </c>
      <c r="D61" t="s">
        <v>13</v>
      </c>
      <c r="E61" s="1">
        <v>44276</v>
      </c>
      <c r="F61" t="s">
        <v>23</v>
      </c>
      <c r="G61" s="16">
        <v>87620</v>
      </c>
    </row>
    <row r="62" spans="1:7" x14ac:dyDescent="0.3">
      <c r="A62" t="s">
        <v>170</v>
      </c>
      <c r="B62" t="s">
        <v>15</v>
      </c>
      <c r="C62">
        <v>20</v>
      </c>
      <c r="D62" t="s">
        <v>18</v>
      </c>
      <c r="E62" s="1">
        <v>44476</v>
      </c>
      <c r="F62" t="s">
        <v>9</v>
      </c>
      <c r="G62" s="16">
        <v>68900</v>
      </c>
    </row>
    <row r="63" spans="1:7" x14ac:dyDescent="0.3">
      <c r="A63" t="s">
        <v>171</v>
      </c>
      <c r="B63" t="s">
        <v>8</v>
      </c>
      <c r="C63">
        <v>32</v>
      </c>
      <c r="D63" t="s">
        <v>13</v>
      </c>
      <c r="E63" s="1">
        <v>44403</v>
      </c>
      <c r="F63" t="s">
        <v>9</v>
      </c>
      <c r="G63" s="16">
        <v>53540</v>
      </c>
    </row>
    <row r="64" spans="1:7" x14ac:dyDescent="0.3">
      <c r="A64" t="s">
        <v>172</v>
      </c>
      <c r="B64" t="s">
        <v>8</v>
      </c>
      <c r="C64">
        <v>28</v>
      </c>
      <c r="D64" t="s">
        <v>49</v>
      </c>
      <c r="E64" s="1">
        <v>44758</v>
      </c>
      <c r="F64" t="s">
        <v>9</v>
      </c>
      <c r="G64" s="16">
        <v>43510</v>
      </c>
    </row>
    <row r="65" spans="1:7" x14ac:dyDescent="0.3">
      <c r="A65" t="s">
        <v>173</v>
      </c>
      <c r="B65" t="s">
        <v>15</v>
      </c>
      <c r="C65">
        <v>38</v>
      </c>
      <c r="D65" t="s">
        <v>43</v>
      </c>
      <c r="E65" s="1">
        <v>44316</v>
      </c>
      <c r="F65" t="s">
        <v>9</v>
      </c>
      <c r="G65" s="16">
        <v>109160</v>
      </c>
    </row>
    <row r="66" spans="1:7" x14ac:dyDescent="0.3">
      <c r="A66" t="s">
        <v>174</v>
      </c>
      <c r="B66" t="s">
        <v>8</v>
      </c>
      <c r="C66">
        <v>40</v>
      </c>
      <c r="D66" t="s">
        <v>13</v>
      </c>
      <c r="E66" s="1">
        <v>44204</v>
      </c>
      <c r="F66" t="s">
        <v>12</v>
      </c>
      <c r="G66" s="16">
        <v>99750</v>
      </c>
    </row>
    <row r="67" spans="1:7" x14ac:dyDescent="0.3">
      <c r="A67" t="s">
        <v>175</v>
      </c>
      <c r="B67" t="s">
        <v>15</v>
      </c>
      <c r="C67">
        <v>31</v>
      </c>
      <c r="D67" t="s">
        <v>13</v>
      </c>
      <c r="E67" s="1">
        <v>44084</v>
      </c>
      <c r="F67" t="s">
        <v>23</v>
      </c>
      <c r="G67" s="16">
        <v>41980</v>
      </c>
    </row>
    <row r="68" spans="1:7" x14ac:dyDescent="0.3">
      <c r="A68" t="s">
        <v>176</v>
      </c>
      <c r="B68" t="s">
        <v>8</v>
      </c>
      <c r="C68">
        <v>36</v>
      </c>
      <c r="D68" t="s">
        <v>13</v>
      </c>
      <c r="E68" s="1">
        <v>44272</v>
      </c>
      <c r="F68" t="s">
        <v>17</v>
      </c>
      <c r="G68" s="16">
        <v>71380</v>
      </c>
    </row>
    <row r="69" spans="1:7" x14ac:dyDescent="0.3">
      <c r="A69" t="s">
        <v>177</v>
      </c>
      <c r="B69" t="s">
        <v>8</v>
      </c>
      <c r="C69">
        <v>27</v>
      </c>
      <c r="D69" t="s">
        <v>49</v>
      </c>
      <c r="E69" s="1">
        <v>44547</v>
      </c>
      <c r="F69" t="s">
        <v>12</v>
      </c>
      <c r="G69" s="16">
        <v>113280</v>
      </c>
    </row>
    <row r="70" spans="1:7" x14ac:dyDescent="0.3">
      <c r="A70" t="s">
        <v>178</v>
      </c>
      <c r="B70" t="s">
        <v>15</v>
      </c>
      <c r="C70">
        <v>33</v>
      </c>
      <c r="D70" t="s">
        <v>13</v>
      </c>
      <c r="E70" s="1">
        <v>44747</v>
      </c>
      <c r="F70" t="s">
        <v>17</v>
      </c>
      <c r="G70" s="16">
        <v>86570</v>
      </c>
    </row>
    <row r="71" spans="1:7" x14ac:dyDescent="0.3">
      <c r="A71" t="s">
        <v>179</v>
      </c>
      <c r="B71" t="s">
        <v>8</v>
      </c>
      <c r="C71">
        <v>26</v>
      </c>
      <c r="D71" t="s">
        <v>13</v>
      </c>
      <c r="E71" s="1">
        <v>44350</v>
      </c>
      <c r="F71" t="s">
        <v>12</v>
      </c>
      <c r="G71" s="16">
        <v>53540</v>
      </c>
    </row>
    <row r="72" spans="1:7" x14ac:dyDescent="0.3">
      <c r="A72" t="s">
        <v>180</v>
      </c>
      <c r="B72" t="s">
        <v>8</v>
      </c>
      <c r="C72">
        <v>37</v>
      </c>
      <c r="D72" t="s">
        <v>13</v>
      </c>
      <c r="E72" s="1">
        <v>44640</v>
      </c>
      <c r="F72" t="s">
        <v>23</v>
      </c>
      <c r="G72" s="16">
        <v>69070</v>
      </c>
    </row>
    <row r="73" spans="1:7" x14ac:dyDescent="0.3">
      <c r="A73" t="s">
        <v>181</v>
      </c>
      <c r="B73" t="s">
        <v>15</v>
      </c>
      <c r="C73">
        <v>30</v>
      </c>
      <c r="D73" t="s">
        <v>18</v>
      </c>
      <c r="E73" s="1">
        <v>44328</v>
      </c>
      <c r="F73" t="s">
        <v>17</v>
      </c>
      <c r="G73" s="16">
        <v>67910</v>
      </c>
    </row>
    <row r="74" spans="1:7" x14ac:dyDescent="0.3">
      <c r="A74" t="s">
        <v>182</v>
      </c>
      <c r="B74" t="s">
        <v>8</v>
      </c>
      <c r="C74">
        <v>30</v>
      </c>
      <c r="D74" t="s">
        <v>13</v>
      </c>
      <c r="E74" s="1">
        <v>44214</v>
      </c>
      <c r="F74" t="s">
        <v>23</v>
      </c>
      <c r="G74" s="16">
        <v>69120</v>
      </c>
    </row>
    <row r="75" spans="1:7" x14ac:dyDescent="0.3">
      <c r="A75" t="s">
        <v>183</v>
      </c>
      <c r="B75" t="s">
        <v>15</v>
      </c>
      <c r="C75">
        <v>34</v>
      </c>
      <c r="D75" t="s">
        <v>13</v>
      </c>
      <c r="E75" s="1">
        <v>44550</v>
      </c>
      <c r="F75" t="s">
        <v>17</v>
      </c>
      <c r="G75" s="16">
        <v>60130</v>
      </c>
    </row>
    <row r="76" spans="1:7" x14ac:dyDescent="0.3">
      <c r="A76" t="s">
        <v>184</v>
      </c>
      <c r="B76" t="s">
        <v>8</v>
      </c>
      <c r="C76">
        <v>23</v>
      </c>
      <c r="D76" t="s">
        <v>13</v>
      </c>
      <c r="E76" s="1">
        <v>44378</v>
      </c>
      <c r="F76" t="s">
        <v>12</v>
      </c>
      <c r="G76" s="16">
        <v>106460</v>
      </c>
    </row>
    <row r="77" spans="1:7" x14ac:dyDescent="0.3">
      <c r="A77" t="s">
        <v>185</v>
      </c>
      <c r="B77" t="s">
        <v>15</v>
      </c>
      <c r="C77">
        <v>37</v>
      </c>
      <c r="D77" t="s">
        <v>13</v>
      </c>
      <c r="E77" s="1">
        <v>44389</v>
      </c>
      <c r="F77" t="s">
        <v>26</v>
      </c>
      <c r="G77" s="16">
        <v>118100</v>
      </c>
    </row>
    <row r="78" spans="1:7" x14ac:dyDescent="0.3">
      <c r="A78" t="s">
        <v>186</v>
      </c>
      <c r="B78" t="s">
        <v>15</v>
      </c>
      <c r="C78">
        <v>36</v>
      </c>
      <c r="D78" t="s">
        <v>13</v>
      </c>
      <c r="E78" s="1">
        <v>44468</v>
      </c>
      <c r="F78" t="s">
        <v>12</v>
      </c>
      <c r="G78" s="16">
        <v>78390</v>
      </c>
    </row>
    <row r="79" spans="1:7" x14ac:dyDescent="0.3">
      <c r="A79" t="s">
        <v>187</v>
      </c>
      <c r="B79" t="s">
        <v>15</v>
      </c>
      <c r="C79">
        <v>30</v>
      </c>
      <c r="D79" t="s">
        <v>13</v>
      </c>
      <c r="E79" s="1">
        <v>44789</v>
      </c>
      <c r="F79" t="s">
        <v>12</v>
      </c>
      <c r="G79" s="16">
        <v>114180</v>
      </c>
    </row>
    <row r="80" spans="1:7" x14ac:dyDescent="0.3">
      <c r="A80" t="s">
        <v>188</v>
      </c>
      <c r="B80" t="s">
        <v>15</v>
      </c>
      <c r="C80">
        <v>28</v>
      </c>
      <c r="D80" t="s">
        <v>13</v>
      </c>
      <c r="E80" s="1">
        <v>44590</v>
      </c>
      <c r="F80" t="s">
        <v>12</v>
      </c>
      <c r="G80" s="16">
        <v>104120</v>
      </c>
    </row>
    <row r="81" spans="1:7" x14ac:dyDescent="0.3">
      <c r="A81" t="s">
        <v>189</v>
      </c>
      <c r="B81" t="s">
        <v>8</v>
      </c>
      <c r="C81">
        <v>30</v>
      </c>
      <c r="D81" t="s">
        <v>13</v>
      </c>
      <c r="E81" s="1">
        <v>44640</v>
      </c>
      <c r="F81" t="s">
        <v>12</v>
      </c>
      <c r="G81" s="16">
        <v>67950</v>
      </c>
    </row>
    <row r="82" spans="1:7" x14ac:dyDescent="0.3">
      <c r="A82" t="s">
        <v>190</v>
      </c>
      <c r="B82" t="s">
        <v>15</v>
      </c>
      <c r="C82">
        <v>29</v>
      </c>
      <c r="D82" t="s">
        <v>13</v>
      </c>
      <c r="E82" s="1">
        <v>43962</v>
      </c>
      <c r="F82" t="s">
        <v>23</v>
      </c>
      <c r="G82" s="16">
        <v>34980</v>
      </c>
    </row>
    <row r="83" spans="1:7" x14ac:dyDescent="0.3">
      <c r="A83" t="s">
        <v>191</v>
      </c>
      <c r="B83" t="s">
        <v>15</v>
      </c>
      <c r="C83">
        <v>24</v>
      </c>
      <c r="D83" t="s">
        <v>13</v>
      </c>
      <c r="E83" s="1">
        <v>44087</v>
      </c>
      <c r="F83" t="s">
        <v>23</v>
      </c>
      <c r="G83" s="16">
        <v>62780</v>
      </c>
    </row>
    <row r="84" spans="1:7" x14ac:dyDescent="0.3">
      <c r="A84" t="s">
        <v>192</v>
      </c>
      <c r="B84" t="s">
        <v>8</v>
      </c>
      <c r="C84">
        <v>20</v>
      </c>
      <c r="D84" t="s">
        <v>13</v>
      </c>
      <c r="E84" s="1">
        <v>44397</v>
      </c>
      <c r="F84" t="s">
        <v>23</v>
      </c>
      <c r="G84" s="16">
        <v>107700</v>
      </c>
    </row>
    <row r="85" spans="1:7" x14ac:dyDescent="0.3">
      <c r="A85" t="s">
        <v>193</v>
      </c>
      <c r="B85" t="s">
        <v>8</v>
      </c>
      <c r="C85">
        <v>25</v>
      </c>
      <c r="D85" t="s">
        <v>13</v>
      </c>
      <c r="E85" s="1">
        <v>44322</v>
      </c>
      <c r="F85" t="s">
        <v>9</v>
      </c>
      <c r="G85" s="16">
        <v>65700</v>
      </c>
    </row>
    <row r="86" spans="1:7" x14ac:dyDescent="0.3">
      <c r="A86" t="s">
        <v>194</v>
      </c>
      <c r="B86" t="s">
        <v>15</v>
      </c>
      <c r="C86">
        <v>33</v>
      </c>
      <c r="D86" t="s">
        <v>49</v>
      </c>
      <c r="E86" s="1">
        <v>44313</v>
      </c>
      <c r="F86" t="s">
        <v>23</v>
      </c>
      <c r="G86" s="16">
        <v>75480</v>
      </c>
    </row>
    <row r="87" spans="1:7" x14ac:dyDescent="0.3">
      <c r="A87" t="s">
        <v>195</v>
      </c>
      <c r="B87" t="s">
        <v>8</v>
      </c>
      <c r="C87">
        <v>33</v>
      </c>
      <c r="D87" t="s">
        <v>13</v>
      </c>
      <c r="E87" s="1">
        <v>44448</v>
      </c>
      <c r="F87" t="s">
        <v>23</v>
      </c>
      <c r="G87" s="16">
        <v>53870</v>
      </c>
    </row>
    <row r="88" spans="1:7" x14ac:dyDescent="0.3">
      <c r="A88" t="s">
        <v>196</v>
      </c>
      <c r="B88" t="s">
        <v>15</v>
      </c>
      <c r="C88">
        <v>36</v>
      </c>
      <c r="D88" t="s">
        <v>13</v>
      </c>
      <c r="E88" s="1">
        <v>44433</v>
      </c>
      <c r="F88" t="s">
        <v>9</v>
      </c>
      <c r="G88" s="16">
        <v>78540</v>
      </c>
    </row>
    <row r="89" spans="1:7" x14ac:dyDescent="0.3">
      <c r="A89" t="s">
        <v>197</v>
      </c>
      <c r="B89" t="s">
        <v>8</v>
      </c>
      <c r="C89">
        <v>19</v>
      </c>
      <c r="D89" t="s">
        <v>13</v>
      </c>
      <c r="E89" s="1">
        <v>44218</v>
      </c>
      <c r="F89" t="s">
        <v>12</v>
      </c>
      <c r="G89" s="16">
        <v>58960</v>
      </c>
    </row>
    <row r="90" spans="1:7" x14ac:dyDescent="0.3">
      <c r="A90" t="s">
        <v>198</v>
      </c>
      <c r="B90" t="s">
        <v>8</v>
      </c>
      <c r="C90">
        <v>46</v>
      </c>
      <c r="D90" t="s">
        <v>13</v>
      </c>
      <c r="E90" s="1">
        <v>44697</v>
      </c>
      <c r="F90" t="s">
        <v>12</v>
      </c>
      <c r="G90" s="16">
        <v>70610</v>
      </c>
    </row>
    <row r="91" spans="1:7" x14ac:dyDescent="0.3">
      <c r="A91" t="s">
        <v>199</v>
      </c>
      <c r="B91" t="s">
        <v>8</v>
      </c>
      <c r="C91">
        <v>33</v>
      </c>
      <c r="D91" t="s">
        <v>13</v>
      </c>
      <c r="E91" s="1">
        <v>44181</v>
      </c>
      <c r="F91" t="s">
        <v>17</v>
      </c>
      <c r="G91" s="16">
        <v>59430</v>
      </c>
    </row>
    <row r="92" spans="1:7" x14ac:dyDescent="0.3">
      <c r="A92" t="s">
        <v>200</v>
      </c>
      <c r="B92" t="s">
        <v>8</v>
      </c>
      <c r="C92">
        <v>33</v>
      </c>
      <c r="D92" t="s">
        <v>10</v>
      </c>
      <c r="E92" s="1">
        <v>44640</v>
      </c>
      <c r="F92" t="s">
        <v>12</v>
      </c>
      <c r="G92" s="16">
        <v>48530</v>
      </c>
    </row>
    <row r="93" spans="1:7" x14ac:dyDescent="0.3">
      <c r="A93" t="s">
        <v>201</v>
      </c>
      <c r="B93" t="s">
        <v>15</v>
      </c>
      <c r="C93">
        <v>33</v>
      </c>
      <c r="D93" t="s">
        <v>13</v>
      </c>
      <c r="E93" s="1">
        <v>44129</v>
      </c>
      <c r="F93" t="s">
        <v>23</v>
      </c>
      <c r="G93" s="16">
        <v>96140</v>
      </c>
    </row>
    <row r="94" spans="1:7" x14ac:dyDescent="0.3">
      <c r="A94" t="s">
        <v>110</v>
      </c>
      <c r="B94" t="s">
        <v>8</v>
      </c>
      <c r="C94">
        <v>20</v>
      </c>
      <c r="D94" t="s">
        <v>13</v>
      </c>
      <c r="E94" s="1">
        <v>44122</v>
      </c>
      <c r="F94" t="s">
        <v>23</v>
      </c>
      <c r="G94" s="16">
        <v>112650</v>
      </c>
    </row>
    <row r="95" spans="1:7" x14ac:dyDescent="0.3">
      <c r="A95" t="s">
        <v>111</v>
      </c>
      <c r="B95" t="s">
        <v>15</v>
      </c>
      <c r="C95">
        <v>32</v>
      </c>
      <c r="D95" t="s">
        <v>10</v>
      </c>
      <c r="E95" s="1">
        <v>44293</v>
      </c>
      <c r="F95" t="s">
        <v>23</v>
      </c>
      <c r="G95" s="16">
        <v>43840</v>
      </c>
    </row>
    <row r="96" spans="1:7" x14ac:dyDescent="0.3">
      <c r="A96" t="s">
        <v>112</v>
      </c>
      <c r="B96" t="s">
        <v>8</v>
      </c>
      <c r="C96">
        <v>31</v>
      </c>
      <c r="D96" t="s">
        <v>13</v>
      </c>
      <c r="E96" s="1">
        <v>44663</v>
      </c>
      <c r="F96" t="s">
        <v>12</v>
      </c>
      <c r="G96" s="16">
        <v>103550</v>
      </c>
    </row>
    <row r="97" spans="1:7" x14ac:dyDescent="0.3">
      <c r="A97" t="s">
        <v>113</v>
      </c>
      <c r="B97" t="s">
        <v>15</v>
      </c>
      <c r="C97">
        <v>32</v>
      </c>
      <c r="D97" t="s">
        <v>13</v>
      </c>
      <c r="E97" s="1">
        <v>44339</v>
      </c>
      <c r="F97" t="s">
        <v>26</v>
      </c>
      <c r="G97" s="16">
        <v>45510</v>
      </c>
    </row>
    <row r="98" spans="1:7" x14ac:dyDescent="0.3">
      <c r="A98" t="s">
        <v>114</v>
      </c>
      <c r="C98">
        <v>37</v>
      </c>
      <c r="D98" t="s">
        <v>18</v>
      </c>
      <c r="E98" s="1">
        <v>44085</v>
      </c>
      <c r="F98" t="s">
        <v>17</v>
      </c>
      <c r="G98" s="16">
        <v>115440</v>
      </c>
    </row>
    <row r="99" spans="1:7" x14ac:dyDescent="0.3">
      <c r="A99" t="s">
        <v>115</v>
      </c>
      <c r="B99" t="s">
        <v>15</v>
      </c>
      <c r="C99">
        <v>38</v>
      </c>
      <c r="D99" t="s">
        <v>10</v>
      </c>
      <c r="E99" s="1">
        <v>44268</v>
      </c>
      <c r="F99" t="s">
        <v>9</v>
      </c>
      <c r="G99" s="16">
        <v>56870</v>
      </c>
    </row>
    <row r="100" spans="1:7" x14ac:dyDescent="0.3">
      <c r="A100" t="s">
        <v>116</v>
      </c>
      <c r="B100" t="s">
        <v>15</v>
      </c>
      <c r="C100">
        <v>25</v>
      </c>
      <c r="D100" t="s">
        <v>13</v>
      </c>
      <c r="E100" s="1">
        <v>44144</v>
      </c>
      <c r="F100" t="s">
        <v>9</v>
      </c>
      <c r="G100" s="16">
        <v>92700</v>
      </c>
    </row>
    <row r="101" spans="1:7" x14ac:dyDescent="0.3">
      <c r="A101" t="s">
        <v>117</v>
      </c>
      <c r="C101">
        <v>32</v>
      </c>
      <c r="D101" t="s">
        <v>13</v>
      </c>
      <c r="E101" s="1">
        <v>44713</v>
      </c>
      <c r="F101" t="s">
        <v>23</v>
      </c>
      <c r="G101" s="16">
        <v>91310</v>
      </c>
    </row>
    <row r="102" spans="1:7" x14ac:dyDescent="0.3">
      <c r="A102" t="s">
        <v>118</v>
      </c>
      <c r="B102" t="s">
        <v>8</v>
      </c>
      <c r="C102">
        <v>33</v>
      </c>
      <c r="D102" t="s">
        <v>13</v>
      </c>
      <c r="E102" s="1">
        <v>44324</v>
      </c>
      <c r="F102" t="s">
        <v>9</v>
      </c>
      <c r="G102" s="16">
        <v>74550</v>
      </c>
    </row>
    <row r="103" spans="1:7" x14ac:dyDescent="0.3">
      <c r="A103" t="s">
        <v>119</v>
      </c>
      <c r="B103" t="s">
        <v>8</v>
      </c>
      <c r="C103">
        <v>25</v>
      </c>
      <c r="D103" t="s">
        <v>10</v>
      </c>
      <c r="E103" s="1">
        <v>44665</v>
      </c>
      <c r="F103" t="s">
        <v>12</v>
      </c>
      <c r="G103" s="16">
        <v>109190</v>
      </c>
    </row>
    <row r="104" spans="1:7" x14ac:dyDescent="0.3">
      <c r="A104" t="s">
        <v>120</v>
      </c>
      <c r="B104" t="s">
        <v>15</v>
      </c>
      <c r="C104">
        <v>40</v>
      </c>
      <c r="D104" t="s">
        <v>13</v>
      </c>
      <c r="E104" s="1">
        <v>44320</v>
      </c>
      <c r="F104" t="s">
        <v>23</v>
      </c>
      <c r="G104" s="16">
        <v>104410</v>
      </c>
    </row>
    <row r="105" spans="1:7" x14ac:dyDescent="0.3">
      <c r="A105" t="s">
        <v>121</v>
      </c>
      <c r="B105" t="s">
        <v>8</v>
      </c>
      <c r="C105">
        <v>30</v>
      </c>
      <c r="D105" t="s">
        <v>13</v>
      </c>
      <c r="E105" s="1">
        <v>44544</v>
      </c>
      <c r="F105" t="s">
        <v>17</v>
      </c>
      <c r="G105" s="16">
        <v>96800</v>
      </c>
    </row>
    <row r="106" spans="1:7" x14ac:dyDescent="0.3">
      <c r="A106" t="s">
        <v>122</v>
      </c>
      <c r="B106" t="s">
        <v>8</v>
      </c>
      <c r="C106">
        <v>28</v>
      </c>
      <c r="D106" t="s">
        <v>10</v>
      </c>
      <c r="E106" s="1">
        <v>43980</v>
      </c>
      <c r="F106" t="s">
        <v>17</v>
      </c>
      <c r="G106" s="16">
        <v>48170</v>
      </c>
    </row>
    <row r="107" spans="1:7" x14ac:dyDescent="0.3">
      <c r="A107" t="s">
        <v>123</v>
      </c>
      <c r="B107" t="s">
        <v>8</v>
      </c>
      <c r="C107">
        <v>21</v>
      </c>
      <c r="D107" t="s">
        <v>13</v>
      </c>
      <c r="E107" s="1">
        <v>44042</v>
      </c>
      <c r="F107" t="s">
        <v>12</v>
      </c>
      <c r="G107" s="16">
        <v>37920</v>
      </c>
    </row>
    <row r="108" spans="1:7" x14ac:dyDescent="0.3">
      <c r="A108" t="s">
        <v>124</v>
      </c>
      <c r="B108" t="s">
        <v>8</v>
      </c>
      <c r="C108">
        <v>34</v>
      </c>
      <c r="D108" t="s">
        <v>13</v>
      </c>
      <c r="E108" s="1">
        <v>44642</v>
      </c>
      <c r="F108" t="s">
        <v>12</v>
      </c>
      <c r="G108" s="16">
        <v>112650</v>
      </c>
    </row>
    <row r="109" spans="1:7" x14ac:dyDescent="0.3">
      <c r="A109" t="s">
        <v>125</v>
      </c>
      <c r="B109" t="s">
        <v>15</v>
      </c>
      <c r="C109">
        <v>34</v>
      </c>
      <c r="D109" t="s">
        <v>18</v>
      </c>
      <c r="E109" s="1">
        <v>44660</v>
      </c>
      <c r="F109" t="s">
        <v>9</v>
      </c>
      <c r="G109" s="16">
        <v>49630</v>
      </c>
    </row>
    <row r="110" spans="1:7" x14ac:dyDescent="0.3">
      <c r="A110" t="s">
        <v>126</v>
      </c>
      <c r="B110" t="s">
        <v>8</v>
      </c>
      <c r="C110">
        <v>36</v>
      </c>
      <c r="D110" t="s">
        <v>13</v>
      </c>
      <c r="E110" s="1">
        <v>43958</v>
      </c>
      <c r="F110" t="s">
        <v>23</v>
      </c>
      <c r="G110" s="16">
        <v>118840</v>
      </c>
    </row>
    <row r="111" spans="1:7" x14ac:dyDescent="0.3">
      <c r="A111" t="s">
        <v>127</v>
      </c>
      <c r="B111" t="s">
        <v>8</v>
      </c>
      <c r="C111">
        <v>30</v>
      </c>
      <c r="D111" t="s">
        <v>13</v>
      </c>
      <c r="E111" s="1">
        <v>44789</v>
      </c>
      <c r="F111" t="s">
        <v>23</v>
      </c>
      <c r="G111" s="16">
        <v>69710</v>
      </c>
    </row>
    <row r="112" spans="1:7" x14ac:dyDescent="0.3">
      <c r="A112" t="s">
        <v>128</v>
      </c>
      <c r="B112" t="s">
        <v>8</v>
      </c>
      <c r="C112">
        <v>20</v>
      </c>
      <c r="D112" t="s">
        <v>13</v>
      </c>
      <c r="E112" s="1">
        <v>44683</v>
      </c>
      <c r="F112" t="s">
        <v>12</v>
      </c>
      <c r="G112" s="16">
        <v>79570</v>
      </c>
    </row>
    <row r="113" spans="1:7" x14ac:dyDescent="0.3">
      <c r="A113" t="s">
        <v>129</v>
      </c>
      <c r="B113" t="s">
        <v>15</v>
      </c>
      <c r="C113">
        <v>22</v>
      </c>
      <c r="D113" t="s">
        <v>10</v>
      </c>
      <c r="E113" s="1">
        <v>44388</v>
      </c>
      <c r="F113" t="s">
        <v>12</v>
      </c>
      <c r="G113" s="16">
        <v>76900</v>
      </c>
    </row>
    <row r="115" spans="1:7" x14ac:dyDescent="0.3">
      <c r="A115" t="s">
        <v>203</v>
      </c>
      <c r="C115">
        <f>SUBTOTAL(101,Table3[Age])</f>
        <v>30.375</v>
      </c>
      <c r="G115" s="16">
        <f>SUBTOTAL(109,Table3[Salary])</f>
        <v>8757930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E51B3-5773-47AA-BD02-09587AAE0E36}">
  <sheetPr>
    <tabColor theme="4"/>
  </sheetPr>
  <dimension ref="A1:V184"/>
  <sheetViews>
    <sheetView tabSelected="1" topLeftCell="D1" workbookViewId="0">
      <selection activeCell="T10" sqref="T10"/>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6.77734375" style="4" bestFit="1" customWidth="1"/>
    <col min="6" max="6" width="13.33203125" bestFit="1" customWidth="1"/>
    <col min="7" max="7" width="11.44140625" style="45" bestFit="1" customWidth="1"/>
    <col min="8" max="8" width="10" bestFit="1" customWidth="1"/>
    <col min="9" max="9" width="10.33203125" style="5" bestFit="1" customWidth="1"/>
    <col min="10" max="10" width="8.44140625" bestFit="1" customWidth="1"/>
    <col min="11" max="11" width="8.33203125" customWidth="1"/>
    <col min="12" max="12" width="17.6640625" customWidth="1"/>
    <col min="13" max="13" width="10.33203125" bestFit="1" customWidth="1"/>
    <col min="14" max="14" width="12.5546875" customWidth="1"/>
    <col min="15" max="15" width="8.33203125" customWidth="1"/>
    <col min="16" max="16" width="9.33203125" customWidth="1"/>
  </cols>
  <sheetData>
    <row r="1" spans="1:22" x14ac:dyDescent="0.3">
      <c r="A1" t="s">
        <v>0</v>
      </c>
      <c r="B1" t="s">
        <v>1</v>
      </c>
      <c r="C1" t="s">
        <v>3</v>
      </c>
      <c r="D1" t="s">
        <v>6</v>
      </c>
      <c r="E1" s="4" t="s">
        <v>4</v>
      </c>
      <c r="F1" t="s">
        <v>2</v>
      </c>
      <c r="G1" s="45" t="s">
        <v>5</v>
      </c>
      <c r="H1" t="s">
        <v>205</v>
      </c>
      <c r="I1" s="5" t="s">
        <v>214</v>
      </c>
      <c r="J1" s="45" t="s">
        <v>228</v>
      </c>
      <c r="K1" t="s">
        <v>234</v>
      </c>
    </row>
    <row r="2" spans="1:22" x14ac:dyDescent="0.3">
      <c r="A2" t="s">
        <v>110</v>
      </c>
      <c r="B2" t="s">
        <v>8</v>
      </c>
      <c r="C2">
        <v>20</v>
      </c>
      <c r="D2" t="s">
        <v>13</v>
      </c>
      <c r="E2" s="4">
        <v>44122</v>
      </c>
      <c r="F2" t="s">
        <v>23</v>
      </c>
      <c r="G2" s="45">
        <v>112650</v>
      </c>
      <c r="H2" t="s">
        <v>204</v>
      </c>
      <c r="I2" s="5">
        <f ca="1">(TODAY()-Staff[[#This Row],[Date Joined]])/365</f>
        <v>3.9616438356164383</v>
      </c>
      <c r="J2" s="45">
        <f ca="1">ROUNDUP(IF(Staff[[#This Row],[Tenure]],3%,2%)*Staff[[#This Row],[Salary]],0)</f>
        <v>3380</v>
      </c>
      <c r="K2">
        <f>_xlfn.XLOOKUP(Staff[[#This Row],[Rating]],Sheet2!$B$3:$B$7,Sheet2!$C$3:$C$7)</f>
        <v>3</v>
      </c>
    </row>
    <row r="3" spans="1:22" ht="18" x14ac:dyDescent="0.35">
      <c r="A3" t="s">
        <v>111</v>
      </c>
      <c r="B3" t="s">
        <v>15</v>
      </c>
      <c r="C3">
        <v>32</v>
      </c>
      <c r="D3" t="s">
        <v>10</v>
      </c>
      <c r="E3" s="4">
        <v>44293</v>
      </c>
      <c r="F3" t="s">
        <v>23</v>
      </c>
      <c r="G3" s="45">
        <v>43840</v>
      </c>
      <c r="H3" t="s">
        <v>204</v>
      </c>
      <c r="I3" s="5">
        <f ca="1">(TODAY()-Staff[[#This Row],[Date Joined]])/365</f>
        <v>3.493150684931507</v>
      </c>
      <c r="J3" s="45">
        <f ca="1">ROUNDUP(IF(Staff[[#This Row],[Tenure]],3%,2%)*Staff[[#This Row],[Salary]],0)</f>
        <v>1316</v>
      </c>
      <c r="K3">
        <f>_xlfn.XLOOKUP(Staff[[#This Row],[Rating]],Sheet2!$B$3:$B$7,Sheet2!$C$3:$C$7)</f>
        <v>4</v>
      </c>
      <c r="N3" s="21">
        <v>1</v>
      </c>
      <c r="O3" s="11" t="s">
        <v>216</v>
      </c>
      <c r="P3" s="12"/>
      <c r="Q3" s="13"/>
      <c r="R3" s="64"/>
      <c r="S3" s="64"/>
      <c r="T3" s="64"/>
      <c r="U3" s="64"/>
      <c r="V3" s="6"/>
    </row>
    <row r="4" spans="1:22" x14ac:dyDescent="0.3">
      <c r="A4" t="s">
        <v>112</v>
      </c>
      <c r="B4" t="s">
        <v>8</v>
      </c>
      <c r="C4">
        <v>31</v>
      </c>
      <c r="D4" t="s">
        <v>13</v>
      </c>
      <c r="E4" s="4">
        <v>44663</v>
      </c>
      <c r="F4" t="s">
        <v>12</v>
      </c>
      <c r="G4" s="45">
        <v>103550</v>
      </c>
      <c r="H4" t="s">
        <v>204</v>
      </c>
      <c r="I4" s="5">
        <f ca="1">(TODAY()-Staff[[#This Row],[Date Joined]])/365</f>
        <v>2.4794520547945207</v>
      </c>
      <c r="J4" s="45">
        <f ca="1">ROUNDUP(IF(Staff[[#This Row],[Tenure]],3%,2%)*Staff[[#This Row],[Salary]],0)</f>
        <v>3107</v>
      </c>
      <c r="K4">
        <f>_xlfn.XLOOKUP(Staff[[#This Row],[Rating]],Sheet2!$B$3:$B$7,Sheet2!$C$3:$C$7)</f>
        <v>3</v>
      </c>
      <c r="O4" s="8"/>
      <c r="P4" s="8"/>
      <c r="Q4" s="9" t="s">
        <v>215</v>
      </c>
      <c r="R4" s="64"/>
      <c r="S4" s="64"/>
      <c r="T4" s="64"/>
      <c r="U4" s="64"/>
    </row>
    <row r="5" spans="1:22" x14ac:dyDescent="0.3">
      <c r="A5" t="s">
        <v>113</v>
      </c>
      <c r="B5" t="s">
        <v>15</v>
      </c>
      <c r="C5">
        <v>32</v>
      </c>
      <c r="D5" t="s">
        <v>13</v>
      </c>
      <c r="E5" s="4">
        <v>44339</v>
      </c>
      <c r="F5" t="s">
        <v>26</v>
      </c>
      <c r="G5" s="45">
        <v>45510</v>
      </c>
      <c r="H5" t="s">
        <v>204</v>
      </c>
      <c r="I5" s="5">
        <f ca="1">(TODAY()-Staff[[#This Row],[Date Joined]])/365</f>
        <v>3.3671232876712329</v>
      </c>
      <c r="J5" s="45">
        <f ca="1">ROUNDUP(IF(Staff[[#This Row],[Tenure]],3%,2%)*Staff[[#This Row],[Salary]],0)</f>
        <v>1366</v>
      </c>
      <c r="K5">
        <f>_xlfn.XLOOKUP(Staff[[#This Row],[Rating]],Sheet2!$B$3:$B$7,Sheet2!$C$3:$C$7)</f>
        <v>3</v>
      </c>
      <c r="O5" s="8" t="s">
        <v>208</v>
      </c>
      <c r="P5" s="8">
        <f>COUNTA(Staff[Name])</f>
        <v>183</v>
      </c>
      <c r="Q5" s="8"/>
    </row>
    <row r="6" spans="1:22" x14ac:dyDescent="0.3">
      <c r="A6" t="s">
        <v>114</v>
      </c>
      <c r="B6" t="s">
        <v>206</v>
      </c>
      <c r="C6">
        <v>37</v>
      </c>
      <c r="D6" t="s">
        <v>18</v>
      </c>
      <c r="E6" s="4">
        <v>44085</v>
      </c>
      <c r="F6" t="s">
        <v>17</v>
      </c>
      <c r="G6" s="45">
        <v>115440</v>
      </c>
      <c r="H6" t="s">
        <v>204</v>
      </c>
      <c r="I6" s="5">
        <f ca="1">(TODAY()-Staff[[#This Row],[Date Joined]])/365</f>
        <v>4.0630136986301366</v>
      </c>
      <c r="J6" s="45">
        <f ca="1">ROUNDUP(IF(Staff[[#This Row],[Tenure]],3%,2%)*Staff[[#This Row],[Salary]],0)</f>
        <v>3464</v>
      </c>
      <c r="K6">
        <f>_xlfn.XLOOKUP(Staff[[#This Row],[Rating]],Sheet2!$B$3:$B$7,Sheet2!$C$3:$C$7)</f>
        <v>2</v>
      </c>
      <c r="O6" s="8" t="s">
        <v>209</v>
      </c>
      <c r="P6" s="15">
        <f>AVERAGE(Staff[Salary])</f>
        <v>77173.715846994543</v>
      </c>
      <c r="Q6" s="8">
        <f>MEDIAN(Staff[Salary])</f>
        <v>75000</v>
      </c>
    </row>
    <row r="7" spans="1:22" x14ac:dyDescent="0.3">
      <c r="A7" t="s">
        <v>115</v>
      </c>
      <c r="B7" t="s">
        <v>15</v>
      </c>
      <c r="C7">
        <v>38</v>
      </c>
      <c r="D7" t="s">
        <v>10</v>
      </c>
      <c r="E7" s="4">
        <v>44268</v>
      </c>
      <c r="F7" t="s">
        <v>9</v>
      </c>
      <c r="G7" s="45">
        <v>56870</v>
      </c>
      <c r="H7" t="s">
        <v>204</v>
      </c>
      <c r="I7" s="5">
        <f ca="1">(TODAY()-Staff[[#This Row],[Date Joined]])/365</f>
        <v>3.5616438356164384</v>
      </c>
      <c r="J7" s="45">
        <f ca="1">ROUNDUP(IF(Staff[[#This Row],[Tenure]],3%,2%)*Staff[[#This Row],[Salary]],0)</f>
        <v>1707</v>
      </c>
      <c r="K7">
        <f>_xlfn.XLOOKUP(Staff[[#This Row],[Rating]],Sheet2!$B$3:$B$7,Sheet2!$C$3:$C$7)</f>
        <v>4</v>
      </c>
      <c r="O7" s="8" t="s">
        <v>210</v>
      </c>
      <c r="P7" s="15">
        <f>AVERAGE(Staff[Age])</f>
        <v>30.42622950819672</v>
      </c>
      <c r="Q7" s="8">
        <f>MEDIAN(Staff[Age])</f>
        <v>30</v>
      </c>
    </row>
    <row r="8" spans="1:22" x14ac:dyDescent="0.3">
      <c r="A8" t="s">
        <v>116</v>
      </c>
      <c r="B8" t="s">
        <v>15</v>
      </c>
      <c r="C8">
        <v>25</v>
      </c>
      <c r="D8" t="s">
        <v>13</v>
      </c>
      <c r="E8" s="4">
        <v>44144</v>
      </c>
      <c r="F8" t="s">
        <v>9</v>
      </c>
      <c r="G8" s="45">
        <v>92700</v>
      </c>
      <c r="H8" t="s">
        <v>204</v>
      </c>
      <c r="I8" s="5">
        <f ca="1">(TODAY()-Staff[[#This Row],[Date Joined]])/365</f>
        <v>3.9013698630136986</v>
      </c>
      <c r="J8" s="45">
        <f ca="1">ROUNDUP(IF(Staff[[#This Row],[Tenure]],3%,2%)*Staff[[#This Row],[Salary]],0)</f>
        <v>2781</v>
      </c>
      <c r="K8">
        <f>_xlfn.XLOOKUP(Staff[[#This Row],[Rating]],Sheet2!$B$3:$B$7,Sheet2!$C$3:$C$7)</f>
        <v>3</v>
      </c>
      <c r="O8" s="8" t="s">
        <v>211</v>
      </c>
      <c r="P8" s="15">
        <f ca="1">AVERAGE(Staff[Tenure])</f>
        <v>3.1094992140130242</v>
      </c>
      <c r="Q8" s="8"/>
    </row>
    <row r="9" spans="1:22" x14ac:dyDescent="0.3">
      <c r="A9" t="s">
        <v>117</v>
      </c>
      <c r="B9" t="s">
        <v>206</v>
      </c>
      <c r="C9">
        <v>32</v>
      </c>
      <c r="D9" t="s">
        <v>13</v>
      </c>
      <c r="E9" s="4">
        <v>44713</v>
      </c>
      <c r="F9" t="s">
        <v>23</v>
      </c>
      <c r="G9" s="45">
        <v>91310</v>
      </c>
      <c r="H9" t="s">
        <v>204</v>
      </c>
      <c r="I9" s="5">
        <f ca="1">(TODAY()-Staff[[#This Row],[Date Joined]])/365</f>
        <v>2.3424657534246576</v>
      </c>
      <c r="J9" s="45">
        <f ca="1">ROUNDUP(IF(Staff[[#This Row],[Tenure]],3%,2%)*Staff[[#This Row],[Salary]],0)</f>
        <v>2740</v>
      </c>
      <c r="K9">
        <f>_xlfn.XLOOKUP(Staff[[#This Row],[Rating]],Sheet2!$B$3:$B$7,Sheet2!$C$3:$C$7)</f>
        <v>3</v>
      </c>
      <c r="O9" s="8" t="s">
        <v>212</v>
      </c>
      <c r="P9" s="8"/>
      <c r="Q9" s="8"/>
    </row>
    <row r="10" spans="1:22" x14ac:dyDescent="0.3">
      <c r="A10" t="s">
        <v>118</v>
      </c>
      <c r="B10" t="s">
        <v>8</v>
      </c>
      <c r="C10">
        <v>33</v>
      </c>
      <c r="D10" t="s">
        <v>13</v>
      </c>
      <c r="E10" s="4">
        <v>44324</v>
      </c>
      <c r="F10" t="s">
        <v>9</v>
      </c>
      <c r="G10" s="45">
        <v>74550</v>
      </c>
      <c r="H10" t="s">
        <v>204</v>
      </c>
      <c r="I10" s="5">
        <f ca="1">(TODAY()-Staff[[#This Row],[Date Joined]])/365</f>
        <v>3.408219178082192</v>
      </c>
      <c r="J10" s="45">
        <f ca="1">ROUNDUP(IF(Staff[[#This Row],[Tenure]],3%,2%)*Staff[[#This Row],[Salary]],0)</f>
        <v>2237</v>
      </c>
      <c r="K10">
        <f>_xlfn.XLOOKUP(Staff[[#This Row],[Rating]],Sheet2!$B$3:$B$7,Sheet2!$C$3:$C$7)</f>
        <v>3</v>
      </c>
      <c r="O10" s="8" t="s">
        <v>212</v>
      </c>
      <c r="P10" s="8">
        <f>COUNTIFS(Staff[Gender],"Female")</f>
        <v>86</v>
      </c>
      <c r="Q10" s="8"/>
    </row>
    <row r="11" spans="1:22" x14ac:dyDescent="0.3">
      <c r="A11" t="s">
        <v>119</v>
      </c>
      <c r="B11" t="s">
        <v>8</v>
      </c>
      <c r="C11">
        <v>25</v>
      </c>
      <c r="D11" t="s">
        <v>10</v>
      </c>
      <c r="E11" s="4">
        <v>44665</v>
      </c>
      <c r="F11" t="s">
        <v>12</v>
      </c>
      <c r="G11" s="45">
        <v>109190</v>
      </c>
      <c r="H11" t="s">
        <v>204</v>
      </c>
      <c r="I11" s="5">
        <f ca="1">(TODAY()-Staff[[#This Row],[Date Joined]])/365</f>
        <v>2.473972602739726</v>
      </c>
      <c r="J11" s="45">
        <f ca="1">ROUNDUP(IF(Staff[[#This Row],[Tenure]],3%,2%)*Staff[[#This Row],[Salary]],0)</f>
        <v>3276</v>
      </c>
      <c r="K11">
        <f>_xlfn.XLOOKUP(Staff[[#This Row],[Rating]],Sheet2!$B$3:$B$7,Sheet2!$C$3:$C$7)</f>
        <v>4</v>
      </c>
      <c r="O11" s="8" t="s">
        <v>213</v>
      </c>
      <c r="P11" s="10">
        <f>P10/P5</f>
        <v>0.46994535519125685</v>
      </c>
      <c r="Q11" s="8"/>
    </row>
    <row r="12" spans="1:22" x14ac:dyDescent="0.3">
      <c r="A12" t="s">
        <v>120</v>
      </c>
      <c r="B12" t="s">
        <v>15</v>
      </c>
      <c r="C12">
        <v>40</v>
      </c>
      <c r="D12" t="s">
        <v>13</v>
      </c>
      <c r="E12" s="4">
        <v>44320</v>
      </c>
      <c r="F12" t="s">
        <v>23</v>
      </c>
      <c r="G12" s="45">
        <v>104410</v>
      </c>
      <c r="H12" t="s">
        <v>204</v>
      </c>
      <c r="I12" s="5">
        <f ca="1">(TODAY()-Staff[[#This Row],[Date Joined]])/365</f>
        <v>3.419178082191781</v>
      </c>
      <c r="J12" s="45">
        <f ca="1">ROUNDUP(IF(Staff[[#This Row],[Tenure]],3%,2%)*Staff[[#This Row],[Salary]],0)</f>
        <v>3133</v>
      </c>
      <c r="K12">
        <f>_xlfn.XLOOKUP(Staff[[#This Row],[Rating]],Sheet2!$B$3:$B$7,Sheet2!$C$3:$C$7)</f>
        <v>3</v>
      </c>
    </row>
    <row r="13" spans="1:22" x14ac:dyDescent="0.3">
      <c r="A13" t="s">
        <v>121</v>
      </c>
      <c r="B13" t="s">
        <v>8</v>
      </c>
      <c r="C13">
        <v>30</v>
      </c>
      <c r="D13" t="s">
        <v>13</v>
      </c>
      <c r="E13" s="4">
        <v>44544</v>
      </c>
      <c r="F13" t="s">
        <v>17</v>
      </c>
      <c r="G13" s="45">
        <v>96800</v>
      </c>
      <c r="H13" t="s">
        <v>204</v>
      </c>
      <c r="I13" s="5">
        <f ca="1">(TODAY()-Staff[[#This Row],[Date Joined]])/365</f>
        <v>2.8054794520547945</v>
      </c>
      <c r="J13" s="45">
        <f ca="1">ROUNDUP(IF(Staff[[#This Row],[Tenure]],3%,2%)*Staff[[#This Row],[Salary]],0)</f>
        <v>2904</v>
      </c>
      <c r="K13">
        <f>_xlfn.XLOOKUP(Staff[[#This Row],[Rating]],Sheet2!$B$3:$B$7,Sheet2!$C$3:$C$7)</f>
        <v>3</v>
      </c>
    </row>
    <row r="14" spans="1:22" ht="18" x14ac:dyDescent="0.3">
      <c r="A14" t="s">
        <v>122</v>
      </c>
      <c r="B14" t="s">
        <v>8</v>
      </c>
      <c r="C14">
        <v>28</v>
      </c>
      <c r="D14" t="s">
        <v>10</v>
      </c>
      <c r="E14" s="4">
        <v>43980</v>
      </c>
      <c r="F14" t="s">
        <v>17</v>
      </c>
      <c r="G14" s="45">
        <v>48170</v>
      </c>
      <c r="H14" t="s">
        <v>204</v>
      </c>
      <c r="I14" s="5">
        <f ca="1">(TODAY()-Staff[[#This Row],[Date Joined]])/365</f>
        <v>4.3506849315068497</v>
      </c>
      <c r="J14" s="45">
        <f ca="1">ROUNDUP(IF(Staff[[#This Row],[Tenure]],3%,2%)*Staff[[#This Row],[Salary]],0)</f>
        <v>1446</v>
      </c>
      <c r="K14">
        <f>_xlfn.XLOOKUP(Staff[[#This Row],[Rating]],Sheet2!$B$3:$B$7,Sheet2!$C$3:$C$7)</f>
        <v>4</v>
      </c>
      <c r="N14" s="20">
        <v>2</v>
      </c>
    </row>
    <row r="15" spans="1:22" x14ac:dyDescent="0.3">
      <c r="A15" t="s">
        <v>123</v>
      </c>
      <c r="B15" t="s">
        <v>8</v>
      </c>
      <c r="C15">
        <v>21</v>
      </c>
      <c r="D15" t="s">
        <v>13</v>
      </c>
      <c r="E15" s="4">
        <v>44042</v>
      </c>
      <c r="F15" t="s">
        <v>12</v>
      </c>
      <c r="G15" s="45">
        <v>37920</v>
      </c>
      <c r="H15" t="s">
        <v>204</v>
      </c>
      <c r="I15" s="5">
        <f ca="1">(TODAY()-Staff[[#This Row],[Date Joined]])/365</f>
        <v>4.1808219178082195</v>
      </c>
      <c r="J15" s="45">
        <f ca="1">ROUNDUP(IF(Staff[[#This Row],[Tenure]],3%,2%)*Staff[[#This Row],[Salary]],0)</f>
        <v>1138</v>
      </c>
      <c r="K15">
        <f>_xlfn.XLOOKUP(Staff[[#This Row],[Rating]],Sheet2!$B$3:$B$7,Sheet2!$C$3:$C$7)</f>
        <v>3</v>
      </c>
      <c r="O15" s="14" t="s">
        <v>117</v>
      </c>
    </row>
    <row r="16" spans="1:22" x14ac:dyDescent="0.3">
      <c r="A16" t="s">
        <v>124</v>
      </c>
      <c r="B16" t="s">
        <v>8</v>
      </c>
      <c r="C16">
        <v>34</v>
      </c>
      <c r="D16" t="s">
        <v>13</v>
      </c>
      <c r="E16" s="4">
        <v>44642</v>
      </c>
      <c r="F16" t="s">
        <v>12</v>
      </c>
      <c r="G16" s="45">
        <v>112650</v>
      </c>
      <c r="H16" t="s">
        <v>204</v>
      </c>
      <c r="I16" s="5">
        <f ca="1">(TODAY()-Staff[[#This Row],[Date Joined]])/365</f>
        <v>2.536986301369863</v>
      </c>
      <c r="J16" s="45">
        <f ca="1">ROUNDUP(IF(Staff[[#This Row],[Tenure]],3%,2%)*Staff[[#This Row],[Salary]],0)</f>
        <v>3380</v>
      </c>
      <c r="K16">
        <f>_xlfn.XLOOKUP(Staff[[#This Row],[Rating]],Sheet2!$B$3:$B$7,Sheet2!$C$3:$C$7)</f>
        <v>3</v>
      </c>
      <c r="P16" s="7"/>
    </row>
    <row r="17" spans="1:16" x14ac:dyDescent="0.3">
      <c r="A17" t="s">
        <v>125</v>
      </c>
      <c r="B17" t="s">
        <v>15</v>
      </c>
      <c r="C17">
        <v>34</v>
      </c>
      <c r="D17" t="s">
        <v>18</v>
      </c>
      <c r="E17" s="4">
        <v>44660</v>
      </c>
      <c r="F17" t="s">
        <v>9</v>
      </c>
      <c r="G17" s="45">
        <v>49630</v>
      </c>
      <c r="H17" t="s">
        <v>204</v>
      </c>
      <c r="I17" s="5">
        <f ca="1">(TODAY()-Staff[[#This Row],[Date Joined]])/365</f>
        <v>2.4876712328767123</v>
      </c>
      <c r="J17" s="45">
        <f ca="1">ROUNDUP(IF(Staff[[#This Row],[Tenure]],3%,2%)*Staff[[#This Row],[Salary]],0)</f>
        <v>1489</v>
      </c>
      <c r="K17">
        <f>_xlfn.XLOOKUP(Staff[[#This Row],[Rating]],Sheet2!$B$3:$B$7,Sheet2!$C$3:$C$7)</f>
        <v>2</v>
      </c>
      <c r="O17" s="8" t="s">
        <v>1</v>
      </c>
      <c r="P17" s="17" t="str" cm="1">
        <f t="array" aca="1" ref="P17:P24" ca="1">TRANSPOSE(_xlfn.XLOOKUP(O15,Staff[Name],Staff[[Gender]:[Tenure]]))</f>
        <v>Other</v>
      </c>
    </row>
    <row r="18" spans="1:16" x14ac:dyDescent="0.3">
      <c r="A18" t="s">
        <v>126</v>
      </c>
      <c r="B18" t="s">
        <v>8</v>
      </c>
      <c r="C18">
        <v>36</v>
      </c>
      <c r="D18" t="s">
        <v>13</v>
      </c>
      <c r="E18" s="4">
        <v>43958</v>
      </c>
      <c r="F18" t="s">
        <v>23</v>
      </c>
      <c r="G18" s="45">
        <v>118840</v>
      </c>
      <c r="H18" t="s">
        <v>204</v>
      </c>
      <c r="I18" s="5">
        <f ca="1">(TODAY()-Staff[[#This Row],[Date Joined]])/365</f>
        <v>4.4109589041095889</v>
      </c>
      <c r="J18" s="45">
        <f ca="1">ROUNDUP(IF(Staff[[#This Row],[Tenure]],3%,2%)*Staff[[#This Row],[Salary]],0)</f>
        <v>3566</v>
      </c>
      <c r="K18">
        <f>_xlfn.XLOOKUP(Staff[[#This Row],[Rating]],Sheet2!$B$3:$B$7,Sheet2!$C$3:$C$7)</f>
        <v>3</v>
      </c>
      <c r="O18" s="8" t="s">
        <v>3</v>
      </c>
      <c r="P18" s="17">
        <f ca="1"/>
        <v>32</v>
      </c>
    </row>
    <row r="19" spans="1:16" x14ac:dyDescent="0.3">
      <c r="A19" t="s">
        <v>127</v>
      </c>
      <c r="B19" t="s">
        <v>8</v>
      </c>
      <c r="C19">
        <v>30</v>
      </c>
      <c r="D19" t="s">
        <v>13</v>
      </c>
      <c r="E19" s="4">
        <v>44789</v>
      </c>
      <c r="F19" t="s">
        <v>23</v>
      </c>
      <c r="G19" s="45">
        <v>69710</v>
      </c>
      <c r="H19" t="s">
        <v>204</v>
      </c>
      <c r="I19" s="5">
        <f ca="1">(TODAY()-Staff[[#This Row],[Date Joined]])/365</f>
        <v>2.1342465753424658</v>
      </c>
      <c r="J19" s="45">
        <f ca="1">ROUNDUP(IF(Staff[[#This Row],[Tenure]],3%,2%)*Staff[[#This Row],[Salary]],0)</f>
        <v>2092</v>
      </c>
      <c r="K19">
        <f>_xlfn.XLOOKUP(Staff[[#This Row],[Rating]],Sheet2!$B$3:$B$7,Sheet2!$C$3:$C$7)</f>
        <v>3</v>
      </c>
      <c r="O19" s="8" t="s">
        <v>6</v>
      </c>
      <c r="P19" s="17" t="str">
        <f ca="1"/>
        <v>Average</v>
      </c>
    </row>
    <row r="20" spans="1:16" x14ac:dyDescent="0.3">
      <c r="A20" t="s">
        <v>128</v>
      </c>
      <c r="B20" t="s">
        <v>8</v>
      </c>
      <c r="C20">
        <v>20</v>
      </c>
      <c r="D20" t="s">
        <v>13</v>
      </c>
      <c r="E20" s="4">
        <v>44683</v>
      </c>
      <c r="F20" t="s">
        <v>12</v>
      </c>
      <c r="G20" s="45">
        <v>79570</v>
      </c>
      <c r="H20" t="s">
        <v>204</v>
      </c>
      <c r="I20" s="5">
        <f ca="1">(TODAY()-Staff[[#This Row],[Date Joined]])/365</f>
        <v>2.4246575342465753</v>
      </c>
      <c r="J20" s="45">
        <f ca="1">ROUNDUP(IF(Staff[[#This Row],[Tenure]],3%,2%)*Staff[[#This Row],[Salary]],0)</f>
        <v>2388</v>
      </c>
      <c r="K20">
        <f>_xlfn.XLOOKUP(Staff[[#This Row],[Rating]],Sheet2!$B$3:$B$7,Sheet2!$C$3:$C$7)</f>
        <v>3</v>
      </c>
      <c r="O20" s="8" t="s">
        <v>4</v>
      </c>
      <c r="P20" s="18">
        <f ca="1"/>
        <v>44713</v>
      </c>
    </row>
    <row r="21" spans="1:16" x14ac:dyDescent="0.3">
      <c r="A21" t="s">
        <v>129</v>
      </c>
      <c r="B21" t="s">
        <v>15</v>
      </c>
      <c r="C21">
        <v>22</v>
      </c>
      <c r="D21" t="s">
        <v>10</v>
      </c>
      <c r="E21" s="4">
        <v>44388</v>
      </c>
      <c r="F21" t="s">
        <v>12</v>
      </c>
      <c r="G21" s="45">
        <v>76900</v>
      </c>
      <c r="H21" t="s">
        <v>204</v>
      </c>
      <c r="I21" s="5">
        <f ca="1">(TODAY()-Staff[[#This Row],[Date Joined]])/365</f>
        <v>3.2328767123287672</v>
      </c>
      <c r="J21" s="45">
        <f ca="1">ROUNDUP(IF(Staff[[#This Row],[Tenure]],3%,2%)*Staff[[#This Row],[Salary]],0)</f>
        <v>2307</v>
      </c>
      <c r="K21">
        <f>_xlfn.XLOOKUP(Staff[[#This Row],[Rating]],Sheet2!$B$3:$B$7,Sheet2!$C$3:$C$7)</f>
        <v>4</v>
      </c>
      <c r="O21" s="8" t="s">
        <v>2</v>
      </c>
      <c r="P21" s="17" t="str">
        <f ca="1"/>
        <v>Website</v>
      </c>
    </row>
    <row r="22" spans="1:16" x14ac:dyDescent="0.3">
      <c r="A22" t="s">
        <v>130</v>
      </c>
      <c r="B22" t="s">
        <v>8</v>
      </c>
      <c r="C22">
        <v>27</v>
      </c>
      <c r="D22" t="s">
        <v>13</v>
      </c>
      <c r="E22" s="4">
        <v>44073</v>
      </c>
      <c r="F22" t="s">
        <v>9</v>
      </c>
      <c r="G22" s="45">
        <v>54970</v>
      </c>
      <c r="H22" t="s">
        <v>204</v>
      </c>
      <c r="I22" s="5">
        <f ca="1">(TODAY()-Staff[[#This Row],[Date Joined]])/365</f>
        <v>4.095890410958904</v>
      </c>
      <c r="J22" s="45">
        <f ca="1">ROUNDUP(IF(Staff[[#This Row],[Tenure]],3%,2%)*Staff[[#This Row],[Salary]],0)</f>
        <v>1650</v>
      </c>
      <c r="K22">
        <f>_xlfn.XLOOKUP(Staff[[#This Row],[Rating]],Sheet2!$B$3:$B$7,Sheet2!$C$3:$C$7)</f>
        <v>3</v>
      </c>
      <c r="O22" s="8" t="s">
        <v>217</v>
      </c>
      <c r="P22" s="17">
        <f ca="1"/>
        <v>91310</v>
      </c>
    </row>
    <row r="23" spans="1:16" x14ac:dyDescent="0.3">
      <c r="A23" t="s">
        <v>131</v>
      </c>
      <c r="B23" t="s">
        <v>8</v>
      </c>
      <c r="C23">
        <v>37</v>
      </c>
      <c r="D23" t="s">
        <v>18</v>
      </c>
      <c r="E23" s="4">
        <v>44277</v>
      </c>
      <c r="F23" t="s">
        <v>23</v>
      </c>
      <c r="G23" s="45">
        <v>88050</v>
      </c>
      <c r="H23" t="s">
        <v>204</v>
      </c>
      <c r="I23" s="5">
        <f ca="1">(TODAY()-Staff[[#This Row],[Date Joined]])/365</f>
        <v>3.536986301369863</v>
      </c>
      <c r="J23" s="45">
        <f ca="1">ROUNDUP(IF(Staff[[#This Row],[Tenure]],3%,2%)*Staff[[#This Row],[Salary]],0)</f>
        <v>2642</v>
      </c>
      <c r="K23">
        <f>_xlfn.XLOOKUP(Staff[[#This Row],[Rating]],Sheet2!$B$3:$B$7,Sheet2!$C$3:$C$7)</f>
        <v>2</v>
      </c>
      <c r="O23" s="8" t="s">
        <v>205</v>
      </c>
      <c r="P23" s="17" t="str">
        <f ca="1"/>
        <v>IND</v>
      </c>
    </row>
    <row r="24" spans="1:16" x14ac:dyDescent="0.3">
      <c r="A24" t="s">
        <v>132</v>
      </c>
      <c r="B24" t="s">
        <v>8</v>
      </c>
      <c r="C24">
        <v>43</v>
      </c>
      <c r="D24" t="s">
        <v>13</v>
      </c>
      <c r="E24" s="4">
        <v>44558</v>
      </c>
      <c r="F24" t="s">
        <v>9</v>
      </c>
      <c r="G24" s="45">
        <v>36040</v>
      </c>
      <c r="H24" t="s">
        <v>204</v>
      </c>
      <c r="I24" s="5">
        <f ca="1">(TODAY()-Staff[[#This Row],[Date Joined]])/365</f>
        <v>2.7671232876712328</v>
      </c>
      <c r="J24" s="45">
        <f ca="1">ROUNDUP(IF(Staff[[#This Row],[Tenure]],3%,2%)*Staff[[#This Row],[Salary]],0)</f>
        <v>1082</v>
      </c>
      <c r="K24">
        <f>_xlfn.XLOOKUP(Staff[[#This Row],[Rating]],Sheet2!$B$3:$B$7,Sheet2!$C$3:$C$7)</f>
        <v>3</v>
      </c>
      <c r="O24" s="8" t="s">
        <v>214</v>
      </c>
      <c r="P24" s="8">
        <f ca="1"/>
        <v>2.3424657534246576</v>
      </c>
    </row>
    <row r="25" spans="1:16" x14ac:dyDescent="0.3">
      <c r="A25" t="s">
        <v>133</v>
      </c>
      <c r="B25" t="s">
        <v>15</v>
      </c>
      <c r="C25">
        <v>42</v>
      </c>
      <c r="D25" t="s">
        <v>43</v>
      </c>
      <c r="E25" s="4">
        <v>44718</v>
      </c>
      <c r="F25" t="s">
        <v>12</v>
      </c>
      <c r="G25" s="45">
        <v>75000</v>
      </c>
      <c r="H25" t="s">
        <v>204</v>
      </c>
      <c r="I25" s="5">
        <f ca="1">(TODAY()-Staff[[#This Row],[Date Joined]])/365</f>
        <v>2.3287671232876712</v>
      </c>
      <c r="J25" s="45">
        <f ca="1">ROUNDUP(IF(Staff[[#This Row],[Tenure]],3%,2%)*Staff[[#This Row],[Salary]],0)</f>
        <v>2250</v>
      </c>
      <c r="K25">
        <f>_xlfn.XLOOKUP(Staff[[#This Row],[Rating]],Sheet2!$B$3:$B$7,Sheet2!$C$3:$C$7)</f>
        <v>5</v>
      </c>
    </row>
    <row r="26" spans="1:16" x14ac:dyDescent="0.3">
      <c r="A26" t="s">
        <v>134</v>
      </c>
      <c r="B26" t="s">
        <v>8</v>
      </c>
      <c r="C26">
        <v>35</v>
      </c>
      <c r="D26" t="s">
        <v>13</v>
      </c>
      <c r="E26" s="4">
        <v>44666</v>
      </c>
      <c r="F26" t="s">
        <v>12</v>
      </c>
      <c r="G26" s="45">
        <v>40400</v>
      </c>
      <c r="H26" t="s">
        <v>204</v>
      </c>
      <c r="I26" s="5">
        <f ca="1">(TODAY()-Staff[[#This Row],[Date Joined]])/365</f>
        <v>2.4712328767123286</v>
      </c>
      <c r="J26" s="45">
        <f ca="1">ROUNDUP(IF(Staff[[#This Row],[Tenure]],3%,2%)*Staff[[#This Row],[Salary]],0)</f>
        <v>1212</v>
      </c>
      <c r="K26">
        <f>_xlfn.XLOOKUP(Staff[[#This Row],[Rating]],Sheet2!$B$3:$B$7,Sheet2!$C$3:$C$7)</f>
        <v>3</v>
      </c>
    </row>
    <row r="27" spans="1:16" x14ac:dyDescent="0.3">
      <c r="A27" t="s">
        <v>135</v>
      </c>
      <c r="B27" t="s">
        <v>8</v>
      </c>
      <c r="C27">
        <v>24</v>
      </c>
      <c r="D27" t="s">
        <v>13</v>
      </c>
      <c r="E27" s="4">
        <v>44625</v>
      </c>
      <c r="F27" t="s">
        <v>23</v>
      </c>
      <c r="G27" s="45">
        <v>100420</v>
      </c>
      <c r="H27" t="s">
        <v>204</v>
      </c>
      <c r="I27" s="5">
        <f ca="1">(TODAY()-Staff[[#This Row],[Date Joined]])/365</f>
        <v>2.5835616438356164</v>
      </c>
      <c r="J27" s="45">
        <f ca="1">ROUNDUP(IF(Staff[[#This Row],[Tenure]],3%,2%)*Staff[[#This Row],[Salary]],0)</f>
        <v>3013</v>
      </c>
      <c r="K27">
        <f>_xlfn.XLOOKUP(Staff[[#This Row],[Rating]],Sheet2!$B$3:$B$7,Sheet2!$C$3:$C$7)</f>
        <v>3</v>
      </c>
    </row>
    <row r="28" spans="1:16" x14ac:dyDescent="0.3">
      <c r="A28" t="s">
        <v>136</v>
      </c>
      <c r="B28" t="s">
        <v>15</v>
      </c>
      <c r="C28">
        <v>31</v>
      </c>
      <c r="D28" t="s">
        <v>13</v>
      </c>
      <c r="E28" s="4">
        <v>44604</v>
      </c>
      <c r="F28" t="s">
        <v>23</v>
      </c>
      <c r="G28" s="45">
        <v>58100</v>
      </c>
      <c r="H28" t="s">
        <v>204</v>
      </c>
      <c r="I28" s="5">
        <f ca="1">(TODAY()-Staff[[#This Row],[Date Joined]])/365</f>
        <v>2.6410958904109587</v>
      </c>
      <c r="J28" s="45">
        <f ca="1">ROUNDUP(IF(Staff[[#This Row],[Tenure]],3%,2%)*Staff[[#This Row],[Salary]],0)</f>
        <v>1743</v>
      </c>
      <c r="K28">
        <f>_xlfn.XLOOKUP(Staff[[#This Row],[Rating]],Sheet2!$B$3:$B$7,Sheet2!$C$3:$C$7)</f>
        <v>3</v>
      </c>
    </row>
    <row r="29" spans="1:16" x14ac:dyDescent="0.3">
      <c r="A29" t="s">
        <v>137</v>
      </c>
      <c r="B29" t="s">
        <v>15</v>
      </c>
      <c r="C29">
        <v>44</v>
      </c>
      <c r="D29" t="s">
        <v>13</v>
      </c>
      <c r="E29" s="4">
        <v>44985</v>
      </c>
      <c r="F29" t="s">
        <v>23</v>
      </c>
      <c r="G29" s="45">
        <v>114870</v>
      </c>
      <c r="H29" t="s">
        <v>204</v>
      </c>
      <c r="I29" s="5">
        <f ca="1">(TODAY()-Staff[[#This Row],[Date Joined]])/365</f>
        <v>1.5972602739726027</v>
      </c>
      <c r="J29" s="45">
        <f ca="1">ROUNDUP(IF(Staff[[#This Row],[Tenure]],3%,2%)*Staff[[#This Row],[Salary]],0)</f>
        <v>3447</v>
      </c>
      <c r="K29">
        <f>_xlfn.XLOOKUP(Staff[[#This Row],[Rating]],Sheet2!$B$3:$B$7,Sheet2!$C$3:$C$7)</f>
        <v>3</v>
      </c>
    </row>
    <row r="30" spans="1:16" x14ac:dyDescent="0.3">
      <c r="A30" t="s">
        <v>138</v>
      </c>
      <c r="B30" t="s">
        <v>15</v>
      </c>
      <c r="C30">
        <v>32</v>
      </c>
      <c r="D30" t="s">
        <v>13</v>
      </c>
      <c r="E30" s="4">
        <v>44549</v>
      </c>
      <c r="F30" t="s">
        <v>12</v>
      </c>
      <c r="G30" s="45">
        <v>41570</v>
      </c>
      <c r="H30" t="s">
        <v>204</v>
      </c>
      <c r="I30" s="5">
        <f ca="1">(TODAY()-Staff[[#This Row],[Date Joined]])/365</f>
        <v>2.7917808219178082</v>
      </c>
      <c r="J30" s="45">
        <f ca="1">ROUNDUP(IF(Staff[[#This Row],[Tenure]],3%,2%)*Staff[[#This Row],[Salary]],0)</f>
        <v>1248</v>
      </c>
      <c r="K30">
        <f>_xlfn.XLOOKUP(Staff[[#This Row],[Rating]],Sheet2!$B$3:$B$7,Sheet2!$C$3:$C$7)</f>
        <v>3</v>
      </c>
    </row>
    <row r="31" spans="1:16" x14ac:dyDescent="0.3">
      <c r="A31" t="s">
        <v>139</v>
      </c>
      <c r="B31" t="s">
        <v>15</v>
      </c>
      <c r="C31">
        <v>30</v>
      </c>
      <c r="D31" t="s">
        <v>13</v>
      </c>
      <c r="E31" s="4">
        <v>44800</v>
      </c>
      <c r="F31" t="s">
        <v>12</v>
      </c>
      <c r="G31" s="45">
        <v>112570</v>
      </c>
      <c r="H31" t="s">
        <v>204</v>
      </c>
      <c r="I31" s="5">
        <f ca="1">(TODAY()-Staff[[#This Row],[Date Joined]])/365</f>
        <v>2.1041095890410957</v>
      </c>
      <c r="J31" s="45">
        <f ca="1">ROUNDUP(IF(Staff[[#This Row],[Tenure]],3%,2%)*Staff[[#This Row],[Salary]],0)</f>
        <v>3378</v>
      </c>
      <c r="K31">
        <f>_xlfn.XLOOKUP(Staff[[#This Row],[Rating]],Sheet2!$B$3:$B$7,Sheet2!$C$3:$C$7)</f>
        <v>3</v>
      </c>
    </row>
    <row r="32" spans="1:16" x14ac:dyDescent="0.3">
      <c r="A32" t="s">
        <v>140</v>
      </c>
      <c r="B32" t="s">
        <v>8</v>
      </c>
      <c r="C32">
        <v>26</v>
      </c>
      <c r="D32" t="s">
        <v>13</v>
      </c>
      <c r="E32" s="4">
        <v>44164</v>
      </c>
      <c r="F32" t="s">
        <v>12</v>
      </c>
      <c r="G32" s="45">
        <v>47360</v>
      </c>
      <c r="H32" t="s">
        <v>204</v>
      </c>
      <c r="I32" s="5">
        <f ca="1">(TODAY()-Staff[[#This Row],[Date Joined]])/365</f>
        <v>3.8465753424657536</v>
      </c>
      <c r="J32" s="45">
        <f ca="1">ROUNDUP(IF(Staff[[#This Row],[Tenure]],3%,2%)*Staff[[#This Row],[Salary]],0)</f>
        <v>1421</v>
      </c>
      <c r="K32">
        <f>_xlfn.XLOOKUP(Staff[[#This Row],[Rating]],Sheet2!$B$3:$B$7,Sheet2!$C$3:$C$7)</f>
        <v>3</v>
      </c>
    </row>
    <row r="33" spans="1:11" x14ac:dyDescent="0.3">
      <c r="A33" t="s">
        <v>141</v>
      </c>
      <c r="B33" t="s">
        <v>15</v>
      </c>
      <c r="C33">
        <v>21</v>
      </c>
      <c r="D33" t="s">
        <v>13</v>
      </c>
      <c r="E33" s="4">
        <v>44256</v>
      </c>
      <c r="F33" t="s">
        <v>17</v>
      </c>
      <c r="G33" s="45">
        <v>65920</v>
      </c>
      <c r="H33" t="s">
        <v>204</v>
      </c>
      <c r="I33" s="5">
        <f ca="1">(TODAY()-Staff[[#This Row],[Date Joined]])/365</f>
        <v>3.5945205479452054</v>
      </c>
      <c r="J33" s="45">
        <f ca="1">ROUNDUP(IF(Staff[[#This Row],[Tenure]],3%,2%)*Staff[[#This Row],[Salary]],0)</f>
        <v>1978</v>
      </c>
      <c r="K33">
        <f>_xlfn.XLOOKUP(Staff[[#This Row],[Rating]],Sheet2!$B$3:$B$7,Sheet2!$C$3:$C$7)</f>
        <v>3</v>
      </c>
    </row>
    <row r="34" spans="1:11" x14ac:dyDescent="0.3">
      <c r="A34" t="s">
        <v>142</v>
      </c>
      <c r="B34" t="s">
        <v>15</v>
      </c>
      <c r="C34">
        <v>28</v>
      </c>
      <c r="D34" t="s">
        <v>13</v>
      </c>
      <c r="E34" s="4">
        <v>44571</v>
      </c>
      <c r="F34" t="s">
        <v>12</v>
      </c>
      <c r="G34" s="45">
        <v>99970</v>
      </c>
      <c r="H34" t="s">
        <v>204</v>
      </c>
      <c r="I34" s="5">
        <f ca="1">(TODAY()-Staff[[#This Row],[Date Joined]])/365</f>
        <v>2.7315068493150685</v>
      </c>
      <c r="J34" s="45">
        <f ca="1">ROUNDUP(IF(Staff[[#This Row],[Tenure]],3%,2%)*Staff[[#This Row],[Salary]],0)</f>
        <v>3000</v>
      </c>
      <c r="K34">
        <f>_xlfn.XLOOKUP(Staff[[#This Row],[Rating]],Sheet2!$B$3:$B$7,Sheet2!$C$3:$C$7)</f>
        <v>3</v>
      </c>
    </row>
    <row r="35" spans="1:11" x14ac:dyDescent="0.3">
      <c r="A35" t="s">
        <v>143</v>
      </c>
      <c r="B35" t="s">
        <v>15</v>
      </c>
      <c r="C35">
        <v>25</v>
      </c>
      <c r="D35" t="s">
        <v>10</v>
      </c>
      <c r="E35" s="4">
        <v>44633</v>
      </c>
      <c r="F35" t="s">
        <v>23</v>
      </c>
      <c r="G35" s="45">
        <v>80700</v>
      </c>
      <c r="H35" t="s">
        <v>204</v>
      </c>
      <c r="I35" s="5">
        <f ca="1">(TODAY()-Staff[[#This Row],[Date Joined]])/365</f>
        <v>2.5616438356164384</v>
      </c>
      <c r="J35" s="45">
        <f ca="1">ROUNDUP(IF(Staff[[#This Row],[Tenure]],3%,2%)*Staff[[#This Row],[Salary]],0)</f>
        <v>2421</v>
      </c>
      <c r="K35">
        <f>_xlfn.XLOOKUP(Staff[[#This Row],[Rating]],Sheet2!$B$3:$B$7,Sheet2!$C$3:$C$7)</f>
        <v>4</v>
      </c>
    </row>
    <row r="36" spans="1:11" x14ac:dyDescent="0.3">
      <c r="A36" t="s">
        <v>144</v>
      </c>
      <c r="B36" t="s">
        <v>8</v>
      </c>
      <c r="C36">
        <v>24</v>
      </c>
      <c r="D36" t="s">
        <v>18</v>
      </c>
      <c r="E36" s="4">
        <v>44375</v>
      </c>
      <c r="F36" t="s">
        <v>17</v>
      </c>
      <c r="G36" s="45">
        <v>52610</v>
      </c>
      <c r="H36" t="s">
        <v>204</v>
      </c>
      <c r="I36" s="5">
        <f ca="1">(TODAY()-Staff[[#This Row],[Date Joined]])/365</f>
        <v>3.2684931506849315</v>
      </c>
      <c r="J36" s="45">
        <f ca="1">ROUNDUP(IF(Staff[[#This Row],[Tenure]],3%,2%)*Staff[[#This Row],[Salary]],0)</f>
        <v>1579</v>
      </c>
      <c r="K36">
        <f>_xlfn.XLOOKUP(Staff[[#This Row],[Rating]],Sheet2!$B$3:$B$7,Sheet2!$C$3:$C$7)</f>
        <v>2</v>
      </c>
    </row>
    <row r="37" spans="1:11" x14ac:dyDescent="0.3">
      <c r="A37" t="s">
        <v>145</v>
      </c>
      <c r="B37" t="s">
        <v>8</v>
      </c>
      <c r="C37">
        <v>29</v>
      </c>
      <c r="D37" t="s">
        <v>18</v>
      </c>
      <c r="E37" s="4">
        <v>44119</v>
      </c>
      <c r="F37" t="s">
        <v>23</v>
      </c>
      <c r="G37" s="45">
        <v>112110</v>
      </c>
      <c r="H37" t="s">
        <v>204</v>
      </c>
      <c r="I37" s="5">
        <f ca="1">(TODAY()-Staff[[#This Row],[Date Joined]])/365</f>
        <v>3.9698630136986299</v>
      </c>
      <c r="J37" s="45">
        <f ca="1">ROUNDUP(IF(Staff[[#This Row],[Tenure]],3%,2%)*Staff[[#This Row],[Salary]],0)</f>
        <v>3364</v>
      </c>
      <c r="K37">
        <f>_xlfn.XLOOKUP(Staff[[#This Row],[Rating]],Sheet2!$B$3:$B$7,Sheet2!$C$3:$C$7)</f>
        <v>2</v>
      </c>
    </row>
    <row r="38" spans="1:11" x14ac:dyDescent="0.3">
      <c r="A38" t="s">
        <v>146</v>
      </c>
      <c r="B38" t="s">
        <v>15</v>
      </c>
      <c r="C38">
        <v>27</v>
      </c>
      <c r="D38" t="s">
        <v>13</v>
      </c>
      <c r="E38" s="4">
        <v>44061</v>
      </c>
      <c r="F38" t="s">
        <v>26</v>
      </c>
      <c r="G38" s="45">
        <v>119110</v>
      </c>
      <c r="H38" t="s">
        <v>204</v>
      </c>
      <c r="I38" s="5">
        <f ca="1">(TODAY()-Staff[[#This Row],[Date Joined]])/365</f>
        <v>4.1287671232876715</v>
      </c>
      <c r="J38" s="45">
        <f ca="1">ROUNDUP(IF(Staff[[#This Row],[Tenure]],3%,2%)*Staff[[#This Row],[Salary]],0)</f>
        <v>3574</v>
      </c>
      <c r="K38">
        <f>_xlfn.XLOOKUP(Staff[[#This Row],[Rating]],Sheet2!$B$3:$B$7,Sheet2!$C$3:$C$7)</f>
        <v>3</v>
      </c>
    </row>
    <row r="39" spans="1:11" x14ac:dyDescent="0.3">
      <c r="A39" t="s">
        <v>147</v>
      </c>
      <c r="B39" t="s">
        <v>8</v>
      </c>
      <c r="C39">
        <v>22</v>
      </c>
      <c r="D39" t="s">
        <v>10</v>
      </c>
      <c r="E39" s="4">
        <v>44384</v>
      </c>
      <c r="F39" t="s">
        <v>9</v>
      </c>
      <c r="G39" s="45">
        <v>112780</v>
      </c>
      <c r="H39" t="s">
        <v>204</v>
      </c>
      <c r="I39" s="5">
        <f ca="1">(TODAY()-Staff[[#This Row],[Date Joined]])/365</f>
        <v>3.2438356164383562</v>
      </c>
      <c r="J39" s="45">
        <f ca="1">ROUNDUP(IF(Staff[[#This Row],[Tenure]],3%,2%)*Staff[[#This Row],[Salary]],0)</f>
        <v>3384</v>
      </c>
      <c r="K39">
        <f>_xlfn.XLOOKUP(Staff[[#This Row],[Rating]],Sheet2!$B$3:$B$7,Sheet2!$C$3:$C$7)</f>
        <v>4</v>
      </c>
    </row>
    <row r="40" spans="1:11" x14ac:dyDescent="0.3">
      <c r="A40" t="s">
        <v>148</v>
      </c>
      <c r="B40" t="s">
        <v>15</v>
      </c>
      <c r="C40">
        <v>36</v>
      </c>
      <c r="D40" t="s">
        <v>13</v>
      </c>
      <c r="E40" s="4">
        <v>44023</v>
      </c>
      <c r="F40" t="s">
        <v>12</v>
      </c>
      <c r="G40" s="45">
        <v>114890</v>
      </c>
      <c r="H40" t="s">
        <v>204</v>
      </c>
      <c r="I40" s="5">
        <f ca="1">(TODAY()-Staff[[#This Row],[Date Joined]])/365</f>
        <v>4.2328767123287667</v>
      </c>
      <c r="J40" s="45">
        <f ca="1">ROUNDUP(IF(Staff[[#This Row],[Tenure]],3%,2%)*Staff[[#This Row],[Salary]],0)</f>
        <v>3447</v>
      </c>
      <c r="K40">
        <f>_xlfn.XLOOKUP(Staff[[#This Row],[Rating]],Sheet2!$B$3:$B$7,Sheet2!$C$3:$C$7)</f>
        <v>3</v>
      </c>
    </row>
    <row r="41" spans="1:11" x14ac:dyDescent="0.3">
      <c r="A41" t="s">
        <v>149</v>
      </c>
      <c r="B41" t="s">
        <v>8</v>
      </c>
      <c r="C41">
        <v>27</v>
      </c>
      <c r="D41" t="s">
        <v>13</v>
      </c>
      <c r="E41" s="4">
        <v>44506</v>
      </c>
      <c r="F41" t="s">
        <v>17</v>
      </c>
      <c r="G41" s="45">
        <v>48980</v>
      </c>
      <c r="H41" t="s">
        <v>204</v>
      </c>
      <c r="I41" s="5">
        <f ca="1">(TODAY()-Staff[[#This Row],[Date Joined]])/365</f>
        <v>2.9095890410958902</v>
      </c>
      <c r="J41" s="45">
        <f ca="1">ROUNDUP(IF(Staff[[#This Row],[Tenure]],3%,2%)*Staff[[#This Row],[Salary]],0)</f>
        <v>1470</v>
      </c>
      <c r="K41">
        <f>_xlfn.XLOOKUP(Staff[[#This Row],[Rating]],Sheet2!$B$3:$B$7,Sheet2!$C$3:$C$7)</f>
        <v>3</v>
      </c>
    </row>
    <row r="42" spans="1:11" x14ac:dyDescent="0.3">
      <c r="A42" t="s">
        <v>150</v>
      </c>
      <c r="B42" t="s">
        <v>8</v>
      </c>
      <c r="C42">
        <v>21</v>
      </c>
      <c r="D42" t="s">
        <v>13</v>
      </c>
      <c r="E42" s="4">
        <v>44180</v>
      </c>
      <c r="F42" t="s">
        <v>26</v>
      </c>
      <c r="G42" s="45">
        <v>75880</v>
      </c>
      <c r="H42" t="s">
        <v>204</v>
      </c>
      <c r="I42" s="5">
        <f ca="1">(TODAY()-Staff[[#This Row],[Date Joined]])/365</f>
        <v>3.8027397260273972</v>
      </c>
      <c r="J42" s="45">
        <f ca="1">ROUNDUP(IF(Staff[[#This Row],[Tenure]],3%,2%)*Staff[[#This Row],[Salary]],0)</f>
        <v>2277</v>
      </c>
      <c r="K42">
        <f>_xlfn.XLOOKUP(Staff[[#This Row],[Rating]],Sheet2!$B$3:$B$7,Sheet2!$C$3:$C$7)</f>
        <v>3</v>
      </c>
    </row>
    <row r="43" spans="1:11" x14ac:dyDescent="0.3">
      <c r="A43" t="s">
        <v>151</v>
      </c>
      <c r="B43" t="s">
        <v>15</v>
      </c>
      <c r="C43">
        <v>28</v>
      </c>
      <c r="D43" t="s">
        <v>13</v>
      </c>
      <c r="E43" s="4">
        <v>44296</v>
      </c>
      <c r="F43" t="s">
        <v>9</v>
      </c>
      <c r="G43" s="45">
        <v>53240</v>
      </c>
      <c r="H43" t="s">
        <v>204</v>
      </c>
      <c r="I43" s="5">
        <f ca="1">(TODAY()-Staff[[#This Row],[Date Joined]])/365</f>
        <v>3.484931506849315</v>
      </c>
      <c r="J43" s="45">
        <f ca="1">ROUNDUP(IF(Staff[[#This Row],[Tenure]],3%,2%)*Staff[[#This Row],[Salary]],0)</f>
        <v>1598</v>
      </c>
      <c r="K43">
        <f>_xlfn.XLOOKUP(Staff[[#This Row],[Rating]],Sheet2!$B$3:$B$7,Sheet2!$C$3:$C$7)</f>
        <v>3</v>
      </c>
    </row>
    <row r="44" spans="1:11" x14ac:dyDescent="0.3">
      <c r="A44" t="s">
        <v>152</v>
      </c>
      <c r="B44" t="s">
        <v>15</v>
      </c>
      <c r="C44">
        <v>34</v>
      </c>
      <c r="D44" t="s">
        <v>13</v>
      </c>
      <c r="E44" s="4">
        <v>44397</v>
      </c>
      <c r="F44" t="s">
        <v>17</v>
      </c>
      <c r="G44" s="45">
        <v>85000</v>
      </c>
      <c r="H44" t="s">
        <v>204</v>
      </c>
      <c r="I44" s="5">
        <f ca="1">(TODAY()-Staff[[#This Row],[Date Joined]])/365</f>
        <v>3.2082191780821918</v>
      </c>
      <c r="J44" s="45">
        <f ca="1">ROUNDUP(IF(Staff[[#This Row],[Tenure]],3%,2%)*Staff[[#This Row],[Salary]],0)</f>
        <v>2550</v>
      </c>
      <c r="K44">
        <f>_xlfn.XLOOKUP(Staff[[#This Row],[Rating]],Sheet2!$B$3:$B$7,Sheet2!$C$3:$C$7)</f>
        <v>3</v>
      </c>
    </row>
    <row r="45" spans="1:11" x14ac:dyDescent="0.3">
      <c r="A45" t="s">
        <v>153</v>
      </c>
      <c r="B45" t="s">
        <v>15</v>
      </c>
      <c r="C45">
        <v>21</v>
      </c>
      <c r="D45" t="s">
        <v>13</v>
      </c>
      <c r="E45" s="4">
        <v>44619</v>
      </c>
      <c r="F45" t="s">
        <v>23</v>
      </c>
      <c r="G45" s="45">
        <v>33920</v>
      </c>
      <c r="H45" t="s">
        <v>204</v>
      </c>
      <c r="I45" s="5">
        <f ca="1">(TODAY()-Staff[[#This Row],[Date Joined]])/365</f>
        <v>2.6</v>
      </c>
      <c r="J45" s="45">
        <f ca="1">ROUNDUP(IF(Staff[[#This Row],[Tenure]],3%,2%)*Staff[[#This Row],[Salary]],0)</f>
        <v>1018</v>
      </c>
      <c r="K45">
        <f>_xlfn.XLOOKUP(Staff[[#This Row],[Rating]],Sheet2!$B$3:$B$7,Sheet2!$C$3:$C$7)</f>
        <v>3</v>
      </c>
    </row>
    <row r="46" spans="1:11" x14ac:dyDescent="0.3">
      <c r="A46" t="s">
        <v>154</v>
      </c>
      <c r="B46" t="s">
        <v>15</v>
      </c>
      <c r="C46">
        <v>33</v>
      </c>
      <c r="D46" t="s">
        <v>13</v>
      </c>
      <c r="E46" s="4">
        <v>44253</v>
      </c>
      <c r="F46" t="s">
        <v>23</v>
      </c>
      <c r="G46" s="45">
        <v>75280</v>
      </c>
      <c r="H46" t="s">
        <v>204</v>
      </c>
      <c r="I46" s="5">
        <f ca="1">(TODAY()-Staff[[#This Row],[Date Joined]])/365</f>
        <v>3.6027397260273974</v>
      </c>
      <c r="J46" s="45">
        <f ca="1">ROUNDUP(IF(Staff[[#This Row],[Tenure]],3%,2%)*Staff[[#This Row],[Salary]],0)</f>
        <v>2259</v>
      </c>
      <c r="K46">
        <f>_xlfn.XLOOKUP(Staff[[#This Row],[Rating]],Sheet2!$B$3:$B$7,Sheet2!$C$3:$C$7)</f>
        <v>3</v>
      </c>
    </row>
    <row r="47" spans="1:11" x14ac:dyDescent="0.3">
      <c r="A47" t="s">
        <v>155</v>
      </c>
      <c r="B47" t="s">
        <v>15</v>
      </c>
      <c r="C47">
        <v>34</v>
      </c>
      <c r="D47" t="s">
        <v>13</v>
      </c>
      <c r="E47" s="4">
        <v>44594</v>
      </c>
      <c r="F47" t="s">
        <v>17</v>
      </c>
      <c r="G47" s="45">
        <v>58940</v>
      </c>
      <c r="H47" t="s">
        <v>204</v>
      </c>
      <c r="I47" s="5">
        <f ca="1">(TODAY()-Staff[[#This Row],[Date Joined]])/365</f>
        <v>2.6684931506849314</v>
      </c>
      <c r="J47" s="45">
        <f ca="1">ROUNDUP(IF(Staff[[#This Row],[Tenure]],3%,2%)*Staff[[#This Row],[Salary]],0)</f>
        <v>1769</v>
      </c>
      <c r="K47">
        <f>_xlfn.XLOOKUP(Staff[[#This Row],[Rating]],Sheet2!$B$3:$B$7,Sheet2!$C$3:$C$7)</f>
        <v>3</v>
      </c>
    </row>
    <row r="48" spans="1:11" x14ac:dyDescent="0.3">
      <c r="A48" t="s">
        <v>156</v>
      </c>
      <c r="B48" t="s">
        <v>15</v>
      </c>
      <c r="C48">
        <v>28</v>
      </c>
      <c r="D48" t="s">
        <v>13</v>
      </c>
      <c r="E48" s="4">
        <v>44425</v>
      </c>
      <c r="F48" t="s">
        <v>12</v>
      </c>
      <c r="G48" s="45">
        <v>104770</v>
      </c>
      <c r="H48" t="s">
        <v>204</v>
      </c>
      <c r="I48" s="5">
        <f ca="1">(TODAY()-Staff[[#This Row],[Date Joined]])/365</f>
        <v>3.1315068493150684</v>
      </c>
      <c r="J48" s="45">
        <f ca="1">ROUNDUP(IF(Staff[[#This Row],[Tenure]],3%,2%)*Staff[[#This Row],[Salary]],0)</f>
        <v>3144</v>
      </c>
      <c r="K48">
        <f>_xlfn.XLOOKUP(Staff[[#This Row],[Rating]],Sheet2!$B$3:$B$7,Sheet2!$C$3:$C$7)</f>
        <v>3</v>
      </c>
    </row>
    <row r="49" spans="1:11" x14ac:dyDescent="0.3">
      <c r="A49" t="s">
        <v>157</v>
      </c>
      <c r="B49" t="s">
        <v>8</v>
      </c>
      <c r="C49">
        <v>21</v>
      </c>
      <c r="D49" t="s">
        <v>13</v>
      </c>
      <c r="E49" s="4">
        <v>44701</v>
      </c>
      <c r="F49" t="s">
        <v>12</v>
      </c>
      <c r="G49" s="45">
        <v>57090</v>
      </c>
      <c r="H49" t="s">
        <v>204</v>
      </c>
      <c r="I49" s="5">
        <f ca="1">(TODAY()-Staff[[#This Row],[Date Joined]])/365</f>
        <v>2.3753424657534246</v>
      </c>
      <c r="J49" s="45">
        <f ca="1">ROUNDUP(IF(Staff[[#This Row],[Tenure]],3%,2%)*Staff[[#This Row],[Salary]],0)</f>
        <v>1713</v>
      </c>
      <c r="K49">
        <f>_xlfn.XLOOKUP(Staff[[#This Row],[Rating]],Sheet2!$B$3:$B$7,Sheet2!$C$3:$C$7)</f>
        <v>3</v>
      </c>
    </row>
    <row r="50" spans="1:11" x14ac:dyDescent="0.3">
      <c r="A50" t="s">
        <v>158</v>
      </c>
      <c r="B50" t="s">
        <v>8</v>
      </c>
      <c r="C50">
        <v>27</v>
      </c>
      <c r="D50" t="s">
        <v>10</v>
      </c>
      <c r="E50" s="4">
        <v>44174</v>
      </c>
      <c r="F50" t="s">
        <v>17</v>
      </c>
      <c r="G50" s="45">
        <v>91650</v>
      </c>
      <c r="H50" t="s">
        <v>204</v>
      </c>
      <c r="I50" s="5">
        <f ca="1">(TODAY()-Staff[[#This Row],[Date Joined]])/365</f>
        <v>3.8191780821917809</v>
      </c>
      <c r="J50" s="45">
        <f ca="1">ROUNDUP(IF(Staff[[#This Row],[Tenure]],3%,2%)*Staff[[#This Row],[Salary]],0)</f>
        <v>2750</v>
      </c>
      <c r="K50">
        <f>_xlfn.XLOOKUP(Staff[[#This Row],[Rating]],Sheet2!$B$3:$B$7,Sheet2!$C$3:$C$7)</f>
        <v>4</v>
      </c>
    </row>
    <row r="51" spans="1:11" x14ac:dyDescent="0.3">
      <c r="A51" t="s">
        <v>159</v>
      </c>
      <c r="B51" t="s">
        <v>8</v>
      </c>
      <c r="C51">
        <v>42</v>
      </c>
      <c r="D51" t="s">
        <v>18</v>
      </c>
      <c r="E51" s="4">
        <v>44670</v>
      </c>
      <c r="F51" t="s">
        <v>17</v>
      </c>
      <c r="G51" s="45">
        <v>70270</v>
      </c>
      <c r="H51" t="s">
        <v>204</v>
      </c>
      <c r="I51" s="5">
        <f ca="1">(TODAY()-Staff[[#This Row],[Date Joined]])/365</f>
        <v>2.4602739726027396</v>
      </c>
      <c r="J51" s="45">
        <f ca="1">ROUNDUP(IF(Staff[[#This Row],[Tenure]],3%,2%)*Staff[[#This Row],[Salary]],0)</f>
        <v>2109</v>
      </c>
      <c r="K51">
        <f>_xlfn.XLOOKUP(Staff[[#This Row],[Rating]],Sheet2!$B$3:$B$7,Sheet2!$C$3:$C$7)</f>
        <v>2</v>
      </c>
    </row>
    <row r="52" spans="1:11" x14ac:dyDescent="0.3">
      <c r="A52" t="s">
        <v>160</v>
      </c>
      <c r="B52" t="s">
        <v>15</v>
      </c>
      <c r="C52">
        <v>28</v>
      </c>
      <c r="D52" t="s">
        <v>13</v>
      </c>
      <c r="E52" s="4">
        <v>44124</v>
      </c>
      <c r="F52" t="s">
        <v>17</v>
      </c>
      <c r="G52" s="45">
        <v>75970</v>
      </c>
      <c r="H52" t="s">
        <v>204</v>
      </c>
      <c r="I52" s="5">
        <f ca="1">(TODAY()-Staff[[#This Row],[Date Joined]])/365</f>
        <v>3.956164383561644</v>
      </c>
      <c r="J52" s="45">
        <f ca="1">ROUNDUP(IF(Staff[[#This Row],[Tenure]],3%,2%)*Staff[[#This Row],[Salary]],0)</f>
        <v>2280</v>
      </c>
      <c r="K52">
        <f>_xlfn.XLOOKUP(Staff[[#This Row],[Rating]],Sheet2!$B$3:$B$7,Sheet2!$C$3:$C$7)</f>
        <v>3</v>
      </c>
    </row>
    <row r="53" spans="1:11" x14ac:dyDescent="0.3">
      <c r="A53" t="s">
        <v>161</v>
      </c>
      <c r="B53" t="s">
        <v>206</v>
      </c>
      <c r="C53">
        <v>27</v>
      </c>
      <c r="D53" t="s">
        <v>10</v>
      </c>
      <c r="E53" s="4">
        <v>44212</v>
      </c>
      <c r="F53" t="s">
        <v>23</v>
      </c>
      <c r="G53" s="45">
        <v>90700</v>
      </c>
      <c r="H53" t="s">
        <v>204</v>
      </c>
      <c r="I53" s="5">
        <f ca="1">(TODAY()-Staff[[#This Row],[Date Joined]])/365</f>
        <v>3.7150684931506848</v>
      </c>
      <c r="J53" s="45">
        <f ca="1">ROUNDUP(IF(Staff[[#This Row],[Tenure]],3%,2%)*Staff[[#This Row],[Salary]],0)</f>
        <v>2721</v>
      </c>
      <c r="K53">
        <f>_xlfn.XLOOKUP(Staff[[#This Row],[Rating]],Sheet2!$B$3:$B$7,Sheet2!$C$3:$C$7)</f>
        <v>4</v>
      </c>
    </row>
    <row r="54" spans="1:11" x14ac:dyDescent="0.3">
      <c r="A54" t="s">
        <v>162</v>
      </c>
      <c r="B54" t="s">
        <v>8</v>
      </c>
      <c r="C54">
        <v>30</v>
      </c>
      <c r="D54" t="s">
        <v>13</v>
      </c>
      <c r="E54" s="4">
        <v>44607</v>
      </c>
      <c r="F54" t="s">
        <v>12</v>
      </c>
      <c r="G54" s="45">
        <v>60570</v>
      </c>
      <c r="H54" t="s">
        <v>204</v>
      </c>
      <c r="I54" s="5">
        <f ca="1">(TODAY()-Staff[[#This Row],[Date Joined]])/365</f>
        <v>2.6328767123287671</v>
      </c>
      <c r="J54" s="45">
        <f ca="1">ROUNDUP(IF(Staff[[#This Row],[Tenure]],3%,2%)*Staff[[#This Row],[Salary]],0)</f>
        <v>1818</v>
      </c>
      <c r="K54">
        <f>_xlfn.XLOOKUP(Staff[[#This Row],[Rating]],Sheet2!$B$3:$B$7,Sheet2!$C$3:$C$7)</f>
        <v>3</v>
      </c>
    </row>
    <row r="55" spans="1:11" x14ac:dyDescent="0.3">
      <c r="A55" t="s">
        <v>163</v>
      </c>
      <c r="B55" t="s">
        <v>8</v>
      </c>
      <c r="C55">
        <v>33</v>
      </c>
      <c r="D55" t="s">
        <v>13</v>
      </c>
      <c r="E55" s="4">
        <v>44103</v>
      </c>
      <c r="F55" t="s">
        <v>12</v>
      </c>
      <c r="G55" s="45">
        <v>115920</v>
      </c>
      <c r="H55" t="s">
        <v>204</v>
      </c>
      <c r="I55" s="5">
        <f ca="1">(TODAY()-Staff[[#This Row],[Date Joined]])/365</f>
        <v>4.0136986301369859</v>
      </c>
      <c r="J55" s="45">
        <f ca="1">ROUNDUP(IF(Staff[[#This Row],[Tenure]],3%,2%)*Staff[[#This Row],[Salary]],0)</f>
        <v>3478</v>
      </c>
      <c r="K55">
        <f>_xlfn.XLOOKUP(Staff[[#This Row],[Rating]],Sheet2!$B$3:$B$7,Sheet2!$C$3:$C$7)</f>
        <v>3</v>
      </c>
    </row>
    <row r="56" spans="1:11" x14ac:dyDescent="0.3">
      <c r="A56" t="s">
        <v>164</v>
      </c>
      <c r="B56" t="s">
        <v>15</v>
      </c>
      <c r="C56">
        <v>33</v>
      </c>
      <c r="D56" t="s">
        <v>13</v>
      </c>
      <c r="E56" s="4">
        <v>44006</v>
      </c>
      <c r="F56" t="s">
        <v>17</v>
      </c>
      <c r="G56" s="45">
        <v>65360</v>
      </c>
      <c r="H56" t="s">
        <v>204</v>
      </c>
      <c r="I56" s="5">
        <f ca="1">(TODAY()-Staff[[#This Row],[Date Joined]])/365</f>
        <v>4.279452054794521</v>
      </c>
      <c r="J56" s="45">
        <f ca="1">ROUNDUP(IF(Staff[[#This Row],[Tenure]],3%,2%)*Staff[[#This Row],[Salary]],0)</f>
        <v>1961</v>
      </c>
      <c r="K56">
        <f>_xlfn.XLOOKUP(Staff[[#This Row],[Rating]],Sheet2!$B$3:$B$7,Sheet2!$C$3:$C$7)</f>
        <v>3</v>
      </c>
    </row>
    <row r="57" spans="1:11" x14ac:dyDescent="0.3">
      <c r="A57" t="s">
        <v>165</v>
      </c>
      <c r="B57" t="s">
        <v>206</v>
      </c>
      <c r="C57">
        <v>30</v>
      </c>
      <c r="D57" t="s">
        <v>13</v>
      </c>
      <c r="E57" s="4">
        <v>44535</v>
      </c>
      <c r="F57" t="s">
        <v>17</v>
      </c>
      <c r="G57" s="45">
        <v>64000</v>
      </c>
      <c r="H57" t="s">
        <v>204</v>
      </c>
      <c r="I57" s="5">
        <f ca="1">(TODAY()-Staff[[#This Row],[Date Joined]])/365</f>
        <v>2.8301369863013699</v>
      </c>
      <c r="J57" s="45">
        <f ca="1">ROUNDUP(IF(Staff[[#This Row],[Tenure]],3%,2%)*Staff[[#This Row],[Salary]],0)</f>
        <v>1920</v>
      </c>
      <c r="K57">
        <f>_xlfn.XLOOKUP(Staff[[#This Row],[Rating]],Sheet2!$B$3:$B$7,Sheet2!$C$3:$C$7)</f>
        <v>3</v>
      </c>
    </row>
    <row r="58" spans="1:11" x14ac:dyDescent="0.3">
      <c r="A58" t="s">
        <v>166</v>
      </c>
      <c r="B58" t="s">
        <v>15</v>
      </c>
      <c r="C58">
        <v>34</v>
      </c>
      <c r="D58" t="s">
        <v>13</v>
      </c>
      <c r="E58" s="4">
        <v>44383</v>
      </c>
      <c r="F58" t="s">
        <v>17</v>
      </c>
      <c r="G58" s="45">
        <v>92450</v>
      </c>
      <c r="H58" t="s">
        <v>204</v>
      </c>
      <c r="I58" s="5">
        <f ca="1">(TODAY()-Staff[[#This Row],[Date Joined]])/365</f>
        <v>3.2465753424657535</v>
      </c>
      <c r="J58" s="45">
        <f ca="1">ROUNDUP(IF(Staff[[#This Row],[Tenure]],3%,2%)*Staff[[#This Row],[Salary]],0)</f>
        <v>2774</v>
      </c>
      <c r="K58">
        <f>_xlfn.XLOOKUP(Staff[[#This Row],[Rating]],Sheet2!$B$3:$B$7,Sheet2!$C$3:$C$7)</f>
        <v>3</v>
      </c>
    </row>
    <row r="59" spans="1:11" x14ac:dyDescent="0.3">
      <c r="A59" t="s">
        <v>167</v>
      </c>
      <c r="B59" t="s">
        <v>8</v>
      </c>
      <c r="C59">
        <v>31</v>
      </c>
      <c r="D59" t="s">
        <v>13</v>
      </c>
      <c r="E59" s="4">
        <v>44450</v>
      </c>
      <c r="F59" t="s">
        <v>23</v>
      </c>
      <c r="G59" s="45">
        <v>48950</v>
      </c>
      <c r="H59" t="s">
        <v>204</v>
      </c>
      <c r="I59" s="5">
        <f ca="1">(TODAY()-Staff[[#This Row],[Date Joined]])/365</f>
        <v>3.0630136986301371</v>
      </c>
      <c r="J59" s="45">
        <f ca="1">ROUNDUP(IF(Staff[[#This Row],[Tenure]],3%,2%)*Staff[[#This Row],[Salary]],0)</f>
        <v>1469</v>
      </c>
      <c r="K59">
        <f>_xlfn.XLOOKUP(Staff[[#This Row],[Rating]],Sheet2!$B$3:$B$7,Sheet2!$C$3:$C$7)</f>
        <v>3</v>
      </c>
    </row>
    <row r="60" spans="1:11" x14ac:dyDescent="0.3">
      <c r="A60" t="s">
        <v>168</v>
      </c>
      <c r="B60" t="s">
        <v>15</v>
      </c>
      <c r="C60">
        <v>27</v>
      </c>
      <c r="D60" t="s">
        <v>13</v>
      </c>
      <c r="E60" s="4">
        <v>44625</v>
      </c>
      <c r="F60" t="s">
        <v>23</v>
      </c>
      <c r="G60" s="45">
        <v>83750</v>
      </c>
      <c r="H60" t="s">
        <v>204</v>
      </c>
      <c r="I60" s="5">
        <f ca="1">(TODAY()-Staff[[#This Row],[Date Joined]])/365</f>
        <v>2.5835616438356164</v>
      </c>
      <c r="J60" s="45">
        <f ca="1">ROUNDUP(IF(Staff[[#This Row],[Tenure]],3%,2%)*Staff[[#This Row],[Salary]],0)</f>
        <v>2513</v>
      </c>
      <c r="K60">
        <f>_xlfn.XLOOKUP(Staff[[#This Row],[Rating]],Sheet2!$B$3:$B$7,Sheet2!$C$3:$C$7)</f>
        <v>3</v>
      </c>
    </row>
    <row r="61" spans="1:11" x14ac:dyDescent="0.3">
      <c r="A61" t="s">
        <v>169</v>
      </c>
      <c r="B61" t="s">
        <v>15</v>
      </c>
      <c r="C61">
        <v>40</v>
      </c>
      <c r="D61" t="s">
        <v>13</v>
      </c>
      <c r="E61" s="4">
        <v>44276</v>
      </c>
      <c r="F61" t="s">
        <v>23</v>
      </c>
      <c r="G61" s="45">
        <v>87620</v>
      </c>
      <c r="H61" t="s">
        <v>204</v>
      </c>
      <c r="I61" s="5">
        <f ca="1">(TODAY()-Staff[[#This Row],[Date Joined]])/365</f>
        <v>3.5397260273972604</v>
      </c>
      <c r="J61" s="45">
        <f ca="1">ROUNDUP(IF(Staff[[#This Row],[Tenure]],3%,2%)*Staff[[#This Row],[Salary]],0)</f>
        <v>2629</v>
      </c>
      <c r="K61">
        <f>_xlfn.XLOOKUP(Staff[[#This Row],[Rating]],Sheet2!$B$3:$B$7,Sheet2!$C$3:$C$7)</f>
        <v>3</v>
      </c>
    </row>
    <row r="62" spans="1:11" x14ac:dyDescent="0.3">
      <c r="A62" t="s">
        <v>170</v>
      </c>
      <c r="B62" t="s">
        <v>15</v>
      </c>
      <c r="C62">
        <v>20</v>
      </c>
      <c r="D62" t="s">
        <v>18</v>
      </c>
      <c r="E62" s="4">
        <v>44476</v>
      </c>
      <c r="F62" t="s">
        <v>9</v>
      </c>
      <c r="G62" s="45">
        <v>68900</v>
      </c>
      <c r="H62" t="s">
        <v>204</v>
      </c>
      <c r="I62" s="5">
        <f ca="1">(TODAY()-Staff[[#This Row],[Date Joined]])/365</f>
        <v>2.9917808219178084</v>
      </c>
      <c r="J62" s="45">
        <f ca="1">ROUNDUP(IF(Staff[[#This Row],[Tenure]],3%,2%)*Staff[[#This Row],[Salary]],0)</f>
        <v>2067</v>
      </c>
      <c r="K62">
        <f>_xlfn.XLOOKUP(Staff[[#This Row],[Rating]],Sheet2!$B$3:$B$7,Sheet2!$C$3:$C$7)</f>
        <v>2</v>
      </c>
    </row>
    <row r="63" spans="1:11" x14ac:dyDescent="0.3">
      <c r="A63" t="s">
        <v>171</v>
      </c>
      <c r="B63" t="s">
        <v>8</v>
      </c>
      <c r="C63">
        <v>32</v>
      </c>
      <c r="D63" t="s">
        <v>13</v>
      </c>
      <c r="E63" s="4">
        <v>44403</v>
      </c>
      <c r="F63" t="s">
        <v>9</v>
      </c>
      <c r="G63" s="45">
        <v>53540</v>
      </c>
      <c r="H63" t="s">
        <v>204</v>
      </c>
      <c r="I63" s="5">
        <f ca="1">(TODAY()-Staff[[#This Row],[Date Joined]])/365</f>
        <v>3.1917808219178081</v>
      </c>
      <c r="J63" s="45">
        <f ca="1">ROUNDUP(IF(Staff[[#This Row],[Tenure]],3%,2%)*Staff[[#This Row],[Salary]],0)</f>
        <v>1607</v>
      </c>
      <c r="K63">
        <f>_xlfn.XLOOKUP(Staff[[#This Row],[Rating]],Sheet2!$B$3:$B$7,Sheet2!$C$3:$C$7)</f>
        <v>3</v>
      </c>
    </row>
    <row r="64" spans="1:11" x14ac:dyDescent="0.3">
      <c r="A64" t="s">
        <v>172</v>
      </c>
      <c r="B64" t="s">
        <v>8</v>
      </c>
      <c r="C64">
        <v>28</v>
      </c>
      <c r="D64" t="s">
        <v>49</v>
      </c>
      <c r="E64" s="4">
        <v>44758</v>
      </c>
      <c r="F64" t="s">
        <v>9</v>
      </c>
      <c r="G64" s="45">
        <v>43510</v>
      </c>
      <c r="H64" t="s">
        <v>204</v>
      </c>
      <c r="I64" s="5">
        <f ca="1">(TODAY()-Staff[[#This Row],[Date Joined]])/365</f>
        <v>2.2191780821917808</v>
      </c>
      <c r="J64" s="45">
        <f ca="1">ROUNDUP(IF(Staff[[#This Row],[Tenure]],3%,2%)*Staff[[#This Row],[Salary]],0)</f>
        <v>1306</v>
      </c>
      <c r="K64">
        <f>_xlfn.XLOOKUP(Staff[[#This Row],[Rating]],Sheet2!$B$3:$B$7,Sheet2!$C$3:$C$7)</f>
        <v>1</v>
      </c>
    </row>
    <row r="65" spans="1:11" x14ac:dyDescent="0.3">
      <c r="A65" t="s">
        <v>173</v>
      </c>
      <c r="B65" t="s">
        <v>15</v>
      </c>
      <c r="C65">
        <v>38</v>
      </c>
      <c r="D65" t="s">
        <v>43</v>
      </c>
      <c r="E65" s="4">
        <v>44316</v>
      </c>
      <c r="F65" t="s">
        <v>9</v>
      </c>
      <c r="G65" s="45">
        <v>109160</v>
      </c>
      <c r="H65" t="s">
        <v>204</v>
      </c>
      <c r="I65" s="5">
        <f ca="1">(TODAY()-Staff[[#This Row],[Date Joined]])/365</f>
        <v>3.43013698630137</v>
      </c>
      <c r="J65" s="45">
        <f ca="1">ROUNDUP(IF(Staff[[#This Row],[Tenure]],3%,2%)*Staff[[#This Row],[Salary]],0)</f>
        <v>3275</v>
      </c>
      <c r="K65">
        <f>_xlfn.XLOOKUP(Staff[[#This Row],[Rating]],Sheet2!$B$3:$B$7,Sheet2!$C$3:$C$7)</f>
        <v>5</v>
      </c>
    </row>
    <row r="66" spans="1:11" x14ac:dyDescent="0.3">
      <c r="A66" t="s">
        <v>174</v>
      </c>
      <c r="B66" t="s">
        <v>8</v>
      </c>
      <c r="C66">
        <v>40</v>
      </c>
      <c r="D66" t="s">
        <v>13</v>
      </c>
      <c r="E66" s="4">
        <v>44204</v>
      </c>
      <c r="F66" t="s">
        <v>12</v>
      </c>
      <c r="G66" s="45">
        <v>99750</v>
      </c>
      <c r="H66" t="s">
        <v>204</v>
      </c>
      <c r="I66" s="5">
        <f ca="1">(TODAY()-Staff[[#This Row],[Date Joined]])/365</f>
        <v>3.7369863013698632</v>
      </c>
      <c r="J66" s="45">
        <f ca="1">ROUNDUP(IF(Staff[[#This Row],[Tenure]],3%,2%)*Staff[[#This Row],[Salary]],0)</f>
        <v>2993</v>
      </c>
      <c r="K66">
        <f>_xlfn.XLOOKUP(Staff[[#This Row],[Rating]],Sheet2!$B$3:$B$7,Sheet2!$C$3:$C$7)</f>
        <v>3</v>
      </c>
    </row>
    <row r="67" spans="1:11" x14ac:dyDescent="0.3">
      <c r="A67" t="s">
        <v>175</v>
      </c>
      <c r="B67" t="s">
        <v>15</v>
      </c>
      <c r="C67">
        <v>31</v>
      </c>
      <c r="D67" t="s">
        <v>13</v>
      </c>
      <c r="E67" s="4">
        <v>44084</v>
      </c>
      <c r="F67" t="s">
        <v>23</v>
      </c>
      <c r="G67" s="45">
        <v>41980</v>
      </c>
      <c r="H67" t="s">
        <v>204</v>
      </c>
      <c r="I67" s="5">
        <f ca="1">(TODAY()-Staff[[#This Row],[Date Joined]])/365</f>
        <v>4.065753424657534</v>
      </c>
      <c r="J67" s="45">
        <f ca="1">ROUNDUP(IF(Staff[[#This Row],[Tenure]],3%,2%)*Staff[[#This Row],[Salary]],0)</f>
        <v>1260</v>
      </c>
      <c r="K67">
        <f>_xlfn.XLOOKUP(Staff[[#This Row],[Rating]],Sheet2!$B$3:$B$7,Sheet2!$C$3:$C$7)</f>
        <v>3</v>
      </c>
    </row>
    <row r="68" spans="1:11" x14ac:dyDescent="0.3">
      <c r="A68" t="s">
        <v>176</v>
      </c>
      <c r="B68" t="s">
        <v>8</v>
      </c>
      <c r="C68">
        <v>36</v>
      </c>
      <c r="D68" t="s">
        <v>13</v>
      </c>
      <c r="E68" s="4">
        <v>44272</v>
      </c>
      <c r="F68" t="s">
        <v>17</v>
      </c>
      <c r="G68" s="45">
        <v>71380</v>
      </c>
      <c r="H68" t="s">
        <v>204</v>
      </c>
      <c r="I68" s="5">
        <f ca="1">(TODAY()-Staff[[#This Row],[Date Joined]])/365</f>
        <v>3.5506849315068494</v>
      </c>
      <c r="J68" s="45">
        <f ca="1">ROUNDUP(IF(Staff[[#This Row],[Tenure]],3%,2%)*Staff[[#This Row],[Salary]],0)</f>
        <v>2142</v>
      </c>
      <c r="K68">
        <f>_xlfn.XLOOKUP(Staff[[#This Row],[Rating]],Sheet2!$B$3:$B$7,Sheet2!$C$3:$C$7)</f>
        <v>3</v>
      </c>
    </row>
    <row r="69" spans="1:11" x14ac:dyDescent="0.3">
      <c r="A69" t="s">
        <v>177</v>
      </c>
      <c r="B69" t="s">
        <v>8</v>
      </c>
      <c r="C69">
        <v>27</v>
      </c>
      <c r="D69" t="s">
        <v>49</v>
      </c>
      <c r="E69" s="4">
        <v>44547</v>
      </c>
      <c r="F69" t="s">
        <v>12</v>
      </c>
      <c r="G69" s="45">
        <v>113280</v>
      </c>
      <c r="H69" t="s">
        <v>204</v>
      </c>
      <c r="I69" s="5">
        <f ca="1">(TODAY()-Staff[[#This Row],[Date Joined]])/365</f>
        <v>2.7972602739726029</v>
      </c>
      <c r="J69" s="45">
        <f ca="1">ROUNDUP(IF(Staff[[#This Row],[Tenure]],3%,2%)*Staff[[#This Row],[Salary]],0)</f>
        <v>3399</v>
      </c>
      <c r="K69">
        <f>_xlfn.XLOOKUP(Staff[[#This Row],[Rating]],Sheet2!$B$3:$B$7,Sheet2!$C$3:$C$7)</f>
        <v>1</v>
      </c>
    </row>
    <row r="70" spans="1:11" x14ac:dyDescent="0.3">
      <c r="A70" t="s">
        <v>178</v>
      </c>
      <c r="B70" t="s">
        <v>15</v>
      </c>
      <c r="C70">
        <v>33</v>
      </c>
      <c r="D70" t="s">
        <v>13</v>
      </c>
      <c r="E70" s="4">
        <v>44747</v>
      </c>
      <c r="F70" t="s">
        <v>17</v>
      </c>
      <c r="G70" s="45">
        <v>86570</v>
      </c>
      <c r="H70" t="s">
        <v>204</v>
      </c>
      <c r="I70" s="5">
        <f ca="1">(TODAY()-Staff[[#This Row],[Date Joined]])/365</f>
        <v>2.2493150684931509</v>
      </c>
      <c r="J70" s="45">
        <f ca="1">ROUNDUP(IF(Staff[[#This Row],[Tenure]],3%,2%)*Staff[[#This Row],[Salary]],0)</f>
        <v>2598</v>
      </c>
      <c r="K70">
        <f>_xlfn.XLOOKUP(Staff[[#This Row],[Rating]],Sheet2!$B$3:$B$7,Sheet2!$C$3:$C$7)</f>
        <v>3</v>
      </c>
    </row>
    <row r="71" spans="1:11" x14ac:dyDescent="0.3">
      <c r="A71" t="s">
        <v>179</v>
      </c>
      <c r="B71" t="s">
        <v>8</v>
      </c>
      <c r="C71">
        <v>26</v>
      </c>
      <c r="D71" t="s">
        <v>13</v>
      </c>
      <c r="E71" s="4">
        <v>44350</v>
      </c>
      <c r="F71" t="s">
        <v>12</v>
      </c>
      <c r="G71" s="45">
        <v>53540</v>
      </c>
      <c r="H71" t="s">
        <v>204</v>
      </c>
      <c r="I71" s="5">
        <f ca="1">(TODAY()-Staff[[#This Row],[Date Joined]])/365</f>
        <v>3.3369863013698629</v>
      </c>
      <c r="J71" s="45">
        <f ca="1">ROUNDUP(IF(Staff[[#This Row],[Tenure]],3%,2%)*Staff[[#This Row],[Salary]],0)</f>
        <v>1607</v>
      </c>
      <c r="K71">
        <f>_xlfn.XLOOKUP(Staff[[#This Row],[Rating]],Sheet2!$B$3:$B$7,Sheet2!$C$3:$C$7)</f>
        <v>3</v>
      </c>
    </row>
    <row r="72" spans="1:11" x14ac:dyDescent="0.3">
      <c r="A72" t="s">
        <v>180</v>
      </c>
      <c r="B72" t="s">
        <v>8</v>
      </c>
      <c r="C72">
        <v>37</v>
      </c>
      <c r="D72" t="s">
        <v>13</v>
      </c>
      <c r="E72" s="4">
        <v>44640</v>
      </c>
      <c r="F72" t="s">
        <v>23</v>
      </c>
      <c r="G72" s="45">
        <v>69070</v>
      </c>
      <c r="H72" t="s">
        <v>204</v>
      </c>
      <c r="I72" s="5">
        <f ca="1">(TODAY()-Staff[[#This Row],[Date Joined]])/365</f>
        <v>2.5424657534246577</v>
      </c>
      <c r="J72" s="45">
        <f ca="1">ROUNDUP(IF(Staff[[#This Row],[Tenure]],3%,2%)*Staff[[#This Row],[Salary]],0)</f>
        <v>2073</v>
      </c>
      <c r="K72">
        <f>_xlfn.XLOOKUP(Staff[[#This Row],[Rating]],Sheet2!$B$3:$B$7,Sheet2!$C$3:$C$7)</f>
        <v>3</v>
      </c>
    </row>
    <row r="73" spans="1:11" x14ac:dyDescent="0.3">
      <c r="A73" t="s">
        <v>181</v>
      </c>
      <c r="B73" t="s">
        <v>15</v>
      </c>
      <c r="C73">
        <v>30</v>
      </c>
      <c r="D73" t="s">
        <v>18</v>
      </c>
      <c r="E73" s="4">
        <v>44328</v>
      </c>
      <c r="F73" t="s">
        <v>17</v>
      </c>
      <c r="G73" s="45">
        <v>67910</v>
      </c>
      <c r="H73" t="s">
        <v>204</v>
      </c>
      <c r="I73" s="5">
        <f ca="1">(TODAY()-Staff[[#This Row],[Date Joined]])/365</f>
        <v>3.3972602739726026</v>
      </c>
      <c r="J73" s="45">
        <f ca="1">ROUNDUP(IF(Staff[[#This Row],[Tenure]],3%,2%)*Staff[[#This Row],[Salary]],0)</f>
        <v>2038</v>
      </c>
      <c r="K73">
        <f>_xlfn.XLOOKUP(Staff[[#This Row],[Rating]],Sheet2!$B$3:$B$7,Sheet2!$C$3:$C$7)</f>
        <v>2</v>
      </c>
    </row>
    <row r="74" spans="1:11" x14ac:dyDescent="0.3">
      <c r="A74" t="s">
        <v>182</v>
      </c>
      <c r="B74" t="s">
        <v>8</v>
      </c>
      <c r="C74">
        <v>30</v>
      </c>
      <c r="D74" t="s">
        <v>13</v>
      </c>
      <c r="E74" s="4">
        <v>44214</v>
      </c>
      <c r="F74" t="s">
        <v>23</v>
      </c>
      <c r="G74" s="45">
        <v>69120</v>
      </c>
      <c r="H74" t="s">
        <v>204</v>
      </c>
      <c r="I74" s="5">
        <f ca="1">(TODAY()-Staff[[#This Row],[Date Joined]])/365</f>
        <v>3.7095890410958905</v>
      </c>
      <c r="J74" s="45">
        <f ca="1">ROUNDUP(IF(Staff[[#This Row],[Tenure]],3%,2%)*Staff[[#This Row],[Salary]],0)</f>
        <v>2074</v>
      </c>
      <c r="K74">
        <f>_xlfn.XLOOKUP(Staff[[#This Row],[Rating]],Sheet2!$B$3:$B$7,Sheet2!$C$3:$C$7)</f>
        <v>3</v>
      </c>
    </row>
    <row r="75" spans="1:11" x14ac:dyDescent="0.3">
      <c r="A75" t="s">
        <v>183</v>
      </c>
      <c r="B75" t="s">
        <v>15</v>
      </c>
      <c r="C75">
        <v>34</v>
      </c>
      <c r="D75" t="s">
        <v>13</v>
      </c>
      <c r="E75" s="4">
        <v>44550</v>
      </c>
      <c r="F75" t="s">
        <v>17</v>
      </c>
      <c r="G75" s="45">
        <v>60130</v>
      </c>
      <c r="H75" t="s">
        <v>204</v>
      </c>
      <c r="I75" s="5">
        <f ca="1">(TODAY()-Staff[[#This Row],[Date Joined]])/365</f>
        <v>2.7890410958904108</v>
      </c>
      <c r="J75" s="45">
        <f ca="1">ROUNDUP(IF(Staff[[#This Row],[Tenure]],3%,2%)*Staff[[#This Row],[Salary]],0)</f>
        <v>1804</v>
      </c>
      <c r="K75">
        <f>_xlfn.XLOOKUP(Staff[[#This Row],[Rating]],Sheet2!$B$3:$B$7,Sheet2!$C$3:$C$7)</f>
        <v>3</v>
      </c>
    </row>
    <row r="76" spans="1:11" x14ac:dyDescent="0.3">
      <c r="A76" t="s">
        <v>184</v>
      </c>
      <c r="B76" t="s">
        <v>8</v>
      </c>
      <c r="C76">
        <v>23</v>
      </c>
      <c r="D76" t="s">
        <v>13</v>
      </c>
      <c r="E76" s="4">
        <v>44378</v>
      </c>
      <c r="F76" t="s">
        <v>12</v>
      </c>
      <c r="G76" s="45">
        <v>106460</v>
      </c>
      <c r="H76" t="s">
        <v>204</v>
      </c>
      <c r="I76" s="5">
        <f ca="1">(TODAY()-Staff[[#This Row],[Date Joined]])/365</f>
        <v>3.2602739726027399</v>
      </c>
      <c r="J76" s="45">
        <f ca="1">ROUNDUP(IF(Staff[[#This Row],[Tenure]],3%,2%)*Staff[[#This Row],[Salary]],0)</f>
        <v>3194</v>
      </c>
      <c r="K76">
        <f>_xlfn.XLOOKUP(Staff[[#This Row],[Rating]],Sheet2!$B$3:$B$7,Sheet2!$C$3:$C$7)</f>
        <v>3</v>
      </c>
    </row>
    <row r="77" spans="1:11" x14ac:dyDescent="0.3">
      <c r="A77" t="s">
        <v>185</v>
      </c>
      <c r="B77" t="s">
        <v>15</v>
      </c>
      <c r="C77">
        <v>37</v>
      </c>
      <c r="D77" t="s">
        <v>13</v>
      </c>
      <c r="E77" s="4">
        <v>44389</v>
      </c>
      <c r="F77" t="s">
        <v>26</v>
      </c>
      <c r="G77" s="45">
        <v>118100</v>
      </c>
      <c r="H77" t="s">
        <v>204</v>
      </c>
      <c r="I77" s="5">
        <f ca="1">(TODAY()-Staff[[#This Row],[Date Joined]])/365</f>
        <v>3.2301369863013698</v>
      </c>
      <c r="J77" s="45">
        <f ca="1">ROUNDUP(IF(Staff[[#This Row],[Tenure]],3%,2%)*Staff[[#This Row],[Salary]],0)</f>
        <v>3543</v>
      </c>
      <c r="K77">
        <f>_xlfn.XLOOKUP(Staff[[#This Row],[Rating]],Sheet2!$B$3:$B$7,Sheet2!$C$3:$C$7)</f>
        <v>3</v>
      </c>
    </row>
    <row r="78" spans="1:11" x14ac:dyDescent="0.3">
      <c r="A78" t="s">
        <v>186</v>
      </c>
      <c r="B78" t="s">
        <v>15</v>
      </c>
      <c r="C78">
        <v>36</v>
      </c>
      <c r="D78" t="s">
        <v>13</v>
      </c>
      <c r="E78" s="4">
        <v>44468</v>
      </c>
      <c r="F78" t="s">
        <v>12</v>
      </c>
      <c r="G78" s="45">
        <v>78390</v>
      </c>
      <c r="H78" t="s">
        <v>204</v>
      </c>
      <c r="I78" s="5">
        <f ca="1">(TODAY()-Staff[[#This Row],[Date Joined]])/365</f>
        <v>3.0136986301369864</v>
      </c>
      <c r="J78" s="45">
        <f ca="1">ROUNDUP(IF(Staff[[#This Row],[Tenure]],3%,2%)*Staff[[#This Row],[Salary]],0)</f>
        <v>2352</v>
      </c>
      <c r="K78">
        <f>_xlfn.XLOOKUP(Staff[[#This Row],[Rating]],Sheet2!$B$3:$B$7,Sheet2!$C$3:$C$7)</f>
        <v>3</v>
      </c>
    </row>
    <row r="79" spans="1:11" x14ac:dyDescent="0.3">
      <c r="A79" t="s">
        <v>187</v>
      </c>
      <c r="B79" t="s">
        <v>15</v>
      </c>
      <c r="C79">
        <v>30</v>
      </c>
      <c r="D79" t="s">
        <v>13</v>
      </c>
      <c r="E79" s="4">
        <v>44789</v>
      </c>
      <c r="F79" t="s">
        <v>12</v>
      </c>
      <c r="G79" s="45">
        <v>114180</v>
      </c>
      <c r="H79" t="s">
        <v>204</v>
      </c>
      <c r="I79" s="5">
        <f ca="1">(TODAY()-Staff[[#This Row],[Date Joined]])/365</f>
        <v>2.1342465753424658</v>
      </c>
      <c r="J79" s="45">
        <f ca="1">ROUNDUP(IF(Staff[[#This Row],[Tenure]],3%,2%)*Staff[[#This Row],[Salary]],0)</f>
        <v>3426</v>
      </c>
      <c r="K79">
        <f>_xlfn.XLOOKUP(Staff[[#This Row],[Rating]],Sheet2!$B$3:$B$7,Sheet2!$C$3:$C$7)</f>
        <v>3</v>
      </c>
    </row>
    <row r="80" spans="1:11" x14ac:dyDescent="0.3">
      <c r="A80" t="s">
        <v>188</v>
      </c>
      <c r="B80" t="s">
        <v>15</v>
      </c>
      <c r="C80">
        <v>28</v>
      </c>
      <c r="D80" t="s">
        <v>13</v>
      </c>
      <c r="E80" s="4">
        <v>44590</v>
      </c>
      <c r="F80" t="s">
        <v>12</v>
      </c>
      <c r="G80" s="45">
        <v>104120</v>
      </c>
      <c r="H80" t="s">
        <v>204</v>
      </c>
      <c r="I80" s="5">
        <f ca="1">(TODAY()-Staff[[#This Row],[Date Joined]])/365</f>
        <v>2.6794520547945204</v>
      </c>
      <c r="J80" s="45">
        <f ca="1">ROUNDUP(IF(Staff[[#This Row],[Tenure]],3%,2%)*Staff[[#This Row],[Salary]],0)</f>
        <v>3124</v>
      </c>
      <c r="K80">
        <f>_xlfn.XLOOKUP(Staff[[#This Row],[Rating]],Sheet2!$B$3:$B$7,Sheet2!$C$3:$C$7)</f>
        <v>3</v>
      </c>
    </row>
    <row r="81" spans="1:11" x14ac:dyDescent="0.3">
      <c r="A81" t="s">
        <v>189</v>
      </c>
      <c r="B81" t="s">
        <v>8</v>
      </c>
      <c r="C81">
        <v>30</v>
      </c>
      <c r="D81" t="s">
        <v>13</v>
      </c>
      <c r="E81" s="4">
        <v>44640</v>
      </c>
      <c r="F81" t="s">
        <v>12</v>
      </c>
      <c r="G81" s="45">
        <v>67950</v>
      </c>
      <c r="H81" t="s">
        <v>204</v>
      </c>
      <c r="I81" s="5">
        <f ca="1">(TODAY()-Staff[[#This Row],[Date Joined]])/365</f>
        <v>2.5424657534246577</v>
      </c>
      <c r="J81" s="45">
        <f ca="1">ROUNDUP(IF(Staff[[#This Row],[Tenure]],3%,2%)*Staff[[#This Row],[Salary]],0)</f>
        <v>2039</v>
      </c>
      <c r="K81">
        <f>_xlfn.XLOOKUP(Staff[[#This Row],[Rating]],Sheet2!$B$3:$B$7,Sheet2!$C$3:$C$7)</f>
        <v>3</v>
      </c>
    </row>
    <row r="82" spans="1:11" x14ac:dyDescent="0.3">
      <c r="A82" t="s">
        <v>190</v>
      </c>
      <c r="B82" t="s">
        <v>15</v>
      </c>
      <c r="C82">
        <v>29</v>
      </c>
      <c r="D82" t="s">
        <v>13</v>
      </c>
      <c r="E82" s="4">
        <v>43962</v>
      </c>
      <c r="F82" t="s">
        <v>23</v>
      </c>
      <c r="G82" s="45">
        <v>34980</v>
      </c>
      <c r="H82" t="s">
        <v>204</v>
      </c>
      <c r="I82" s="5">
        <f ca="1">(TODAY()-Staff[[#This Row],[Date Joined]])/365</f>
        <v>4.4000000000000004</v>
      </c>
      <c r="J82" s="45">
        <f ca="1">ROUNDUP(IF(Staff[[#This Row],[Tenure]],3%,2%)*Staff[[#This Row],[Salary]],0)</f>
        <v>1050</v>
      </c>
      <c r="K82">
        <f>_xlfn.XLOOKUP(Staff[[#This Row],[Rating]],Sheet2!$B$3:$B$7,Sheet2!$C$3:$C$7)</f>
        <v>3</v>
      </c>
    </row>
    <row r="83" spans="1:11" x14ac:dyDescent="0.3">
      <c r="A83" t="s">
        <v>191</v>
      </c>
      <c r="B83" t="s">
        <v>15</v>
      </c>
      <c r="C83">
        <v>24</v>
      </c>
      <c r="D83" t="s">
        <v>13</v>
      </c>
      <c r="E83" s="4">
        <v>44087</v>
      </c>
      <c r="F83" t="s">
        <v>23</v>
      </c>
      <c r="G83" s="45">
        <v>62780</v>
      </c>
      <c r="H83" t="s">
        <v>204</v>
      </c>
      <c r="I83" s="5">
        <f ca="1">(TODAY()-Staff[[#This Row],[Date Joined]])/365</f>
        <v>4.0575342465753428</v>
      </c>
      <c r="J83" s="45">
        <f ca="1">ROUNDUP(IF(Staff[[#This Row],[Tenure]],3%,2%)*Staff[[#This Row],[Salary]],0)</f>
        <v>1884</v>
      </c>
      <c r="K83">
        <f>_xlfn.XLOOKUP(Staff[[#This Row],[Rating]],Sheet2!$B$3:$B$7,Sheet2!$C$3:$C$7)</f>
        <v>3</v>
      </c>
    </row>
    <row r="84" spans="1:11" x14ac:dyDescent="0.3">
      <c r="A84" t="s">
        <v>192</v>
      </c>
      <c r="B84" t="s">
        <v>8</v>
      </c>
      <c r="C84">
        <v>20</v>
      </c>
      <c r="D84" t="s">
        <v>13</v>
      </c>
      <c r="E84" s="4">
        <v>44397</v>
      </c>
      <c r="F84" t="s">
        <v>23</v>
      </c>
      <c r="G84" s="45">
        <v>107700</v>
      </c>
      <c r="H84" t="s">
        <v>204</v>
      </c>
      <c r="I84" s="5">
        <f ca="1">(TODAY()-Staff[[#This Row],[Date Joined]])/365</f>
        <v>3.2082191780821918</v>
      </c>
      <c r="J84" s="45">
        <f ca="1">ROUNDUP(IF(Staff[[#This Row],[Tenure]],3%,2%)*Staff[[#This Row],[Salary]],0)</f>
        <v>3231</v>
      </c>
      <c r="K84">
        <f>_xlfn.XLOOKUP(Staff[[#This Row],[Rating]],Sheet2!$B$3:$B$7,Sheet2!$C$3:$C$7)</f>
        <v>3</v>
      </c>
    </row>
    <row r="85" spans="1:11" x14ac:dyDescent="0.3">
      <c r="A85" t="s">
        <v>193</v>
      </c>
      <c r="B85" t="s">
        <v>8</v>
      </c>
      <c r="C85">
        <v>25</v>
      </c>
      <c r="D85" t="s">
        <v>13</v>
      </c>
      <c r="E85" s="4">
        <v>44322</v>
      </c>
      <c r="F85" t="s">
        <v>9</v>
      </c>
      <c r="G85" s="45">
        <v>65700</v>
      </c>
      <c r="H85" t="s">
        <v>204</v>
      </c>
      <c r="I85" s="5">
        <f ca="1">(TODAY()-Staff[[#This Row],[Date Joined]])/365</f>
        <v>3.4136986301369863</v>
      </c>
      <c r="J85" s="45">
        <f ca="1">ROUNDUP(IF(Staff[[#This Row],[Tenure]],3%,2%)*Staff[[#This Row],[Salary]],0)</f>
        <v>1971</v>
      </c>
      <c r="K85">
        <f>_xlfn.XLOOKUP(Staff[[#This Row],[Rating]],Sheet2!$B$3:$B$7,Sheet2!$C$3:$C$7)</f>
        <v>3</v>
      </c>
    </row>
    <row r="86" spans="1:11" x14ac:dyDescent="0.3">
      <c r="A86" t="s">
        <v>194</v>
      </c>
      <c r="B86" t="s">
        <v>15</v>
      </c>
      <c r="C86">
        <v>33</v>
      </c>
      <c r="D86" t="s">
        <v>49</v>
      </c>
      <c r="E86" s="4">
        <v>44313</v>
      </c>
      <c r="F86" t="s">
        <v>23</v>
      </c>
      <c r="G86" s="45">
        <v>75480</v>
      </c>
      <c r="H86" t="s">
        <v>204</v>
      </c>
      <c r="I86" s="5">
        <f ca="1">(TODAY()-Staff[[#This Row],[Date Joined]])/365</f>
        <v>3.4383561643835616</v>
      </c>
      <c r="J86" s="45">
        <f ca="1">ROUNDUP(IF(Staff[[#This Row],[Tenure]],3%,2%)*Staff[[#This Row],[Salary]],0)</f>
        <v>2265</v>
      </c>
      <c r="K86">
        <f>_xlfn.XLOOKUP(Staff[[#This Row],[Rating]],Sheet2!$B$3:$B$7,Sheet2!$C$3:$C$7)</f>
        <v>1</v>
      </c>
    </row>
    <row r="87" spans="1:11" x14ac:dyDescent="0.3">
      <c r="A87" t="s">
        <v>195</v>
      </c>
      <c r="B87" t="s">
        <v>8</v>
      </c>
      <c r="C87">
        <v>33</v>
      </c>
      <c r="D87" t="s">
        <v>13</v>
      </c>
      <c r="E87" s="4">
        <v>44448</v>
      </c>
      <c r="F87" t="s">
        <v>23</v>
      </c>
      <c r="G87" s="45">
        <v>53870</v>
      </c>
      <c r="H87" t="s">
        <v>204</v>
      </c>
      <c r="I87" s="5">
        <f ca="1">(TODAY()-Staff[[#This Row],[Date Joined]])/365</f>
        <v>3.0684931506849313</v>
      </c>
      <c r="J87" s="45">
        <f ca="1">ROUNDUP(IF(Staff[[#This Row],[Tenure]],3%,2%)*Staff[[#This Row],[Salary]],0)</f>
        <v>1617</v>
      </c>
      <c r="K87">
        <f>_xlfn.XLOOKUP(Staff[[#This Row],[Rating]],Sheet2!$B$3:$B$7,Sheet2!$C$3:$C$7)</f>
        <v>3</v>
      </c>
    </row>
    <row r="88" spans="1:11" x14ac:dyDescent="0.3">
      <c r="A88" t="s">
        <v>196</v>
      </c>
      <c r="B88" t="s">
        <v>15</v>
      </c>
      <c r="C88">
        <v>36</v>
      </c>
      <c r="D88" t="s">
        <v>13</v>
      </c>
      <c r="E88" s="4">
        <v>44433</v>
      </c>
      <c r="F88" t="s">
        <v>9</v>
      </c>
      <c r="G88" s="45">
        <v>78540</v>
      </c>
      <c r="H88" t="s">
        <v>204</v>
      </c>
      <c r="I88" s="5">
        <f ca="1">(TODAY()-Staff[[#This Row],[Date Joined]])/365</f>
        <v>3.1095890410958904</v>
      </c>
      <c r="J88" s="45">
        <f ca="1">ROUNDUP(IF(Staff[[#This Row],[Tenure]],3%,2%)*Staff[[#This Row],[Salary]],0)</f>
        <v>2357</v>
      </c>
      <c r="K88">
        <f>_xlfn.XLOOKUP(Staff[[#This Row],[Rating]],Sheet2!$B$3:$B$7,Sheet2!$C$3:$C$7)</f>
        <v>3</v>
      </c>
    </row>
    <row r="89" spans="1:11" x14ac:dyDescent="0.3">
      <c r="A89" t="s">
        <v>197</v>
      </c>
      <c r="B89" t="s">
        <v>8</v>
      </c>
      <c r="C89">
        <v>19</v>
      </c>
      <c r="D89" t="s">
        <v>13</v>
      </c>
      <c r="E89" s="4">
        <v>44218</v>
      </c>
      <c r="F89" t="s">
        <v>12</v>
      </c>
      <c r="G89" s="45">
        <v>58960</v>
      </c>
      <c r="H89" t="s">
        <v>204</v>
      </c>
      <c r="I89" s="5">
        <f ca="1">(TODAY()-Staff[[#This Row],[Date Joined]])/365</f>
        <v>3.6986301369863015</v>
      </c>
      <c r="J89" s="45">
        <f ca="1">ROUNDUP(IF(Staff[[#This Row],[Tenure]],3%,2%)*Staff[[#This Row],[Salary]],0)</f>
        <v>1769</v>
      </c>
      <c r="K89">
        <f>_xlfn.XLOOKUP(Staff[[#This Row],[Rating]],Sheet2!$B$3:$B$7,Sheet2!$C$3:$C$7)</f>
        <v>3</v>
      </c>
    </row>
    <row r="90" spans="1:11" x14ac:dyDescent="0.3">
      <c r="A90" t="s">
        <v>198</v>
      </c>
      <c r="B90" t="s">
        <v>8</v>
      </c>
      <c r="C90">
        <v>46</v>
      </c>
      <c r="D90" t="s">
        <v>13</v>
      </c>
      <c r="E90" s="4">
        <v>44697</v>
      </c>
      <c r="F90" t="s">
        <v>12</v>
      </c>
      <c r="G90" s="45">
        <v>70610</v>
      </c>
      <c r="H90" t="s">
        <v>204</v>
      </c>
      <c r="I90" s="5">
        <f ca="1">(TODAY()-Staff[[#This Row],[Date Joined]])/365</f>
        <v>2.3863013698630136</v>
      </c>
      <c r="J90" s="45">
        <f ca="1">ROUNDUP(IF(Staff[[#This Row],[Tenure]],3%,2%)*Staff[[#This Row],[Salary]],0)</f>
        <v>2119</v>
      </c>
      <c r="K90">
        <f>_xlfn.XLOOKUP(Staff[[#This Row],[Rating]],Sheet2!$B$3:$B$7,Sheet2!$C$3:$C$7)</f>
        <v>3</v>
      </c>
    </row>
    <row r="91" spans="1:11" x14ac:dyDescent="0.3">
      <c r="A91" t="s">
        <v>199</v>
      </c>
      <c r="B91" t="s">
        <v>8</v>
      </c>
      <c r="C91">
        <v>33</v>
      </c>
      <c r="D91" t="s">
        <v>13</v>
      </c>
      <c r="E91" s="4">
        <v>44181</v>
      </c>
      <c r="F91" t="s">
        <v>17</v>
      </c>
      <c r="G91" s="45">
        <v>59430</v>
      </c>
      <c r="H91" t="s">
        <v>204</v>
      </c>
      <c r="I91" s="5">
        <f ca="1">(TODAY()-Staff[[#This Row],[Date Joined]])/365</f>
        <v>3.8</v>
      </c>
      <c r="J91" s="45">
        <f ca="1">ROUNDUP(IF(Staff[[#This Row],[Tenure]],3%,2%)*Staff[[#This Row],[Salary]],0)</f>
        <v>1783</v>
      </c>
      <c r="K91">
        <f>_xlfn.XLOOKUP(Staff[[#This Row],[Rating]],Sheet2!$B$3:$B$7,Sheet2!$C$3:$C$7)</f>
        <v>3</v>
      </c>
    </row>
    <row r="92" spans="1:11" x14ac:dyDescent="0.3">
      <c r="A92" t="s">
        <v>200</v>
      </c>
      <c r="B92" t="s">
        <v>8</v>
      </c>
      <c r="C92">
        <v>33</v>
      </c>
      <c r="D92" t="s">
        <v>10</v>
      </c>
      <c r="E92" s="4">
        <v>44640</v>
      </c>
      <c r="F92" t="s">
        <v>12</v>
      </c>
      <c r="G92" s="45">
        <v>48530</v>
      </c>
      <c r="H92" t="s">
        <v>204</v>
      </c>
      <c r="I92" s="5">
        <f ca="1">(TODAY()-Staff[[#This Row],[Date Joined]])/365</f>
        <v>2.5424657534246577</v>
      </c>
      <c r="J92" s="45">
        <f ca="1">ROUNDUP(IF(Staff[[#This Row],[Tenure]],3%,2%)*Staff[[#This Row],[Salary]],0)</f>
        <v>1456</v>
      </c>
      <c r="K92">
        <f>_xlfn.XLOOKUP(Staff[[#This Row],[Rating]],Sheet2!$B$3:$B$7,Sheet2!$C$3:$C$7)</f>
        <v>4</v>
      </c>
    </row>
    <row r="93" spans="1:11" x14ac:dyDescent="0.3">
      <c r="A93" t="s">
        <v>201</v>
      </c>
      <c r="B93" t="s">
        <v>15</v>
      </c>
      <c r="C93">
        <v>33</v>
      </c>
      <c r="D93" t="s">
        <v>13</v>
      </c>
      <c r="E93" s="4">
        <v>44129</v>
      </c>
      <c r="F93" t="s">
        <v>23</v>
      </c>
      <c r="G93" s="45">
        <v>96140</v>
      </c>
      <c r="H93" t="s">
        <v>204</v>
      </c>
      <c r="I93" s="5">
        <f ca="1">(TODAY()-Staff[[#This Row],[Date Joined]])/365</f>
        <v>3.9424657534246577</v>
      </c>
      <c r="J93" s="45">
        <f ca="1">ROUNDUP(IF(Staff[[#This Row],[Tenure]],3%,2%)*Staff[[#This Row],[Salary]],0)</f>
        <v>2885</v>
      </c>
      <c r="K93">
        <f>_xlfn.XLOOKUP(Staff[[#This Row],[Rating]],Sheet2!$B$3:$B$7,Sheet2!$C$3:$C$7)</f>
        <v>3</v>
      </c>
    </row>
    <row r="94" spans="1:11" x14ac:dyDescent="0.3">
      <c r="A94" t="s">
        <v>7</v>
      </c>
      <c r="B94" t="s">
        <v>8</v>
      </c>
      <c r="C94">
        <v>22</v>
      </c>
      <c r="D94" t="s">
        <v>10</v>
      </c>
      <c r="E94" s="4">
        <v>44446</v>
      </c>
      <c r="F94" t="s">
        <v>9</v>
      </c>
      <c r="G94" s="45">
        <v>112780</v>
      </c>
      <c r="H94" t="s">
        <v>207</v>
      </c>
      <c r="I94" s="5">
        <f ca="1">(TODAY()-Staff[[#This Row],[Date Joined]])/365</f>
        <v>3.0739726027397261</v>
      </c>
      <c r="J94" s="45">
        <f ca="1">ROUNDUP(IF(Staff[[#This Row],[Tenure]],3%,2%)*Staff[[#This Row],[Salary]],0)</f>
        <v>3384</v>
      </c>
      <c r="K94">
        <f>_xlfn.XLOOKUP(Staff[[#This Row],[Rating]],Sheet2!$B$3:$B$7,Sheet2!$C$3:$C$7)</f>
        <v>4</v>
      </c>
    </row>
    <row r="95" spans="1:11" x14ac:dyDescent="0.3">
      <c r="A95" t="s">
        <v>11</v>
      </c>
      <c r="B95" t="s">
        <v>8</v>
      </c>
      <c r="C95">
        <v>46</v>
      </c>
      <c r="D95" t="s">
        <v>13</v>
      </c>
      <c r="E95" s="4">
        <v>44758</v>
      </c>
      <c r="F95" t="s">
        <v>12</v>
      </c>
      <c r="G95" s="45">
        <v>70610</v>
      </c>
      <c r="H95" t="s">
        <v>207</v>
      </c>
      <c r="I95" s="5">
        <f ca="1">(TODAY()-Staff[[#This Row],[Date Joined]])/365</f>
        <v>2.2191780821917808</v>
      </c>
      <c r="J95" s="45">
        <f ca="1">ROUNDUP(IF(Staff[[#This Row],[Tenure]],3%,2%)*Staff[[#This Row],[Salary]],0)</f>
        <v>2119</v>
      </c>
      <c r="K95">
        <f>_xlfn.XLOOKUP(Staff[[#This Row],[Rating]],Sheet2!$B$3:$B$7,Sheet2!$C$3:$C$7)</f>
        <v>3</v>
      </c>
    </row>
    <row r="96" spans="1:11" x14ac:dyDescent="0.3">
      <c r="A96" t="s">
        <v>14</v>
      </c>
      <c r="B96" t="s">
        <v>15</v>
      </c>
      <c r="C96">
        <v>28</v>
      </c>
      <c r="D96" t="s">
        <v>13</v>
      </c>
      <c r="E96" s="4">
        <v>44357</v>
      </c>
      <c r="F96" t="s">
        <v>9</v>
      </c>
      <c r="G96" s="45">
        <v>53240</v>
      </c>
      <c r="H96" t="s">
        <v>207</v>
      </c>
      <c r="I96" s="5">
        <f ca="1">(TODAY()-Staff[[#This Row],[Date Joined]])/365</f>
        <v>3.3178082191780822</v>
      </c>
      <c r="J96" s="45">
        <f ca="1">ROUNDUP(IF(Staff[[#This Row],[Tenure]],3%,2%)*Staff[[#This Row],[Salary]],0)</f>
        <v>1598</v>
      </c>
      <c r="K96">
        <f>_xlfn.XLOOKUP(Staff[[#This Row],[Rating]],Sheet2!$B$3:$B$7,Sheet2!$C$3:$C$7)</f>
        <v>3</v>
      </c>
    </row>
    <row r="97" spans="1:11" x14ac:dyDescent="0.3">
      <c r="A97" t="s">
        <v>16</v>
      </c>
      <c r="B97" t="s">
        <v>206</v>
      </c>
      <c r="C97">
        <v>37</v>
      </c>
      <c r="D97" t="s">
        <v>18</v>
      </c>
      <c r="E97" s="4">
        <v>44146</v>
      </c>
      <c r="F97" t="s">
        <v>17</v>
      </c>
      <c r="G97" s="45">
        <v>115440</v>
      </c>
      <c r="H97" t="s">
        <v>207</v>
      </c>
      <c r="I97" s="5">
        <f ca="1">(TODAY()-Staff[[#This Row],[Date Joined]])/365</f>
        <v>3.8958904109589043</v>
      </c>
      <c r="J97" s="45">
        <f ca="1">ROUNDUP(IF(Staff[[#This Row],[Tenure]],3%,2%)*Staff[[#This Row],[Salary]],0)</f>
        <v>3464</v>
      </c>
      <c r="K97">
        <f>_xlfn.XLOOKUP(Staff[[#This Row],[Rating]],Sheet2!$B$3:$B$7,Sheet2!$C$3:$C$7)</f>
        <v>2</v>
      </c>
    </row>
    <row r="98" spans="1:11" x14ac:dyDescent="0.3">
      <c r="A98" t="s">
        <v>19</v>
      </c>
      <c r="B98" t="s">
        <v>8</v>
      </c>
      <c r="C98">
        <v>32</v>
      </c>
      <c r="D98" t="s">
        <v>13</v>
      </c>
      <c r="E98" s="4">
        <v>44465</v>
      </c>
      <c r="F98" t="s">
        <v>9</v>
      </c>
      <c r="G98" s="45">
        <v>53540</v>
      </c>
      <c r="H98" t="s">
        <v>207</v>
      </c>
      <c r="I98" s="5">
        <f ca="1">(TODAY()-Staff[[#This Row],[Date Joined]])/365</f>
        <v>3.021917808219178</v>
      </c>
      <c r="J98" s="45">
        <f ca="1">ROUNDUP(IF(Staff[[#This Row],[Tenure]],3%,2%)*Staff[[#This Row],[Salary]],0)</f>
        <v>1607</v>
      </c>
      <c r="K98">
        <f>_xlfn.XLOOKUP(Staff[[#This Row],[Rating]],Sheet2!$B$3:$B$7,Sheet2!$C$3:$C$7)</f>
        <v>3</v>
      </c>
    </row>
    <row r="99" spans="1:11" x14ac:dyDescent="0.3">
      <c r="A99" t="s">
        <v>20</v>
      </c>
      <c r="B99" t="s">
        <v>15</v>
      </c>
      <c r="C99">
        <v>30</v>
      </c>
      <c r="D99" t="s">
        <v>13</v>
      </c>
      <c r="E99" s="4">
        <v>44861</v>
      </c>
      <c r="F99" t="s">
        <v>12</v>
      </c>
      <c r="G99" s="45">
        <v>112570</v>
      </c>
      <c r="H99" t="s">
        <v>207</v>
      </c>
      <c r="I99" s="5">
        <f ca="1">(TODAY()-Staff[[#This Row],[Date Joined]])/365</f>
        <v>1.9369863013698629</v>
      </c>
      <c r="J99" s="45">
        <f ca="1">ROUNDUP(IF(Staff[[#This Row],[Tenure]],3%,2%)*Staff[[#This Row],[Salary]],0)</f>
        <v>3378</v>
      </c>
      <c r="K99">
        <f>_xlfn.XLOOKUP(Staff[[#This Row],[Rating]],Sheet2!$B$3:$B$7,Sheet2!$C$3:$C$7)</f>
        <v>3</v>
      </c>
    </row>
    <row r="100" spans="1:11" x14ac:dyDescent="0.3">
      <c r="A100" t="s">
        <v>21</v>
      </c>
      <c r="B100" t="s">
        <v>8</v>
      </c>
      <c r="C100">
        <v>33</v>
      </c>
      <c r="D100" t="s">
        <v>10</v>
      </c>
      <c r="E100" s="4">
        <v>44701</v>
      </c>
      <c r="F100" t="s">
        <v>12</v>
      </c>
      <c r="G100" s="45">
        <v>48530</v>
      </c>
      <c r="H100" t="s">
        <v>207</v>
      </c>
      <c r="I100" s="5">
        <f ca="1">(TODAY()-Staff[[#This Row],[Date Joined]])/365</f>
        <v>2.3753424657534246</v>
      </c>
      <c r="J100" s="45">
        <f ca="1">ROUNDUP(IF(Staff[[#This Row],[Tenure]],3%,2%)*Staff[[#This Row],[Salary]],0)</f>
        <v>1456</v>
      </c>
      <c r="K100">
        <f>_xlfn.XLOOKUP(Staff[[#This Row],[Rating]],Sheet2!$B$3:$B$7,Sheet2!$C$3:$C$7)</f>
        <v>4</v>
      </c>
    </row>
    <row r="101" spans="1:11" x14ac:dyDescent="0.3">
      <c r="A101" t="s">
        <v>22</v>
      </c>
      <c r="B101" t="s">
        <v>15</v>
      </c>
      <c r="C101">
        <v>24</v>
      </c>
      <c r="D101" t="s">
        <v>13</v>
      </c>
      <c r="E101" s="4">
        <v>44148</v>
      </c>
      <c r="F101" t="s">
        <v>23</v>
      </c>
      <c r="G101" s="45">
        <v>62780</v>
      </c>
      <c r="H101" t="s">
        <v>207</v>
      </c>
      <c r="I101" s="5">
        <f ca="1">(TODAY()-Staff[[#This Row],[Date Joined]])/365</f>
        <v>3.8904109589041096</v>
      </c>
      <c r="J101" s="45">
        <f ca="1">ROUNDUP(IF(Staff[[#This Row],[Tenure]],3%,2%)*Staff[[#This Row],[Salary]],0)</f>
        <v>1884</v>
      </c>
      <c r="K101">
        <f>_xlfn.XLOOKUP(Staff[[#This Row],[Rating]],Sheet2!$B$3:$B$7,Sheet2!$C$3:$C$7)</f>
        <v>3</v>
      </c>
    </row>
    <row r="102" spans="1:11" x14ac:dyDescent="0.3">
      <c r="A102" t="s">
        <v>24</v>
      </c>
      <c r="B102" t="s">
        <v>8</v>
      </c>
      <c r="C102">
        <v>33</v>
      </c>
      <c r="D102" t="s">
        <v>13</v>
      </c>
      <c r="E102" s="4">
        <v>44509</v>
      </c>
      <c r="F102" t="s">
        <v>23</v>
      </c>
      <c r="G102" s="45">
        <v>53870</v>
      </c>
      <c r="H102" t="s">
        <v>207</v>
      </c>
      <c r="I102" s="5">
        <f ca="1">(TODAY()-Staff[[#This Row],[Date Joined]])/365</f>
        <v>2.9013698630136986</v>
      </c>
      <c r="J102" s="45">
        <f ca="1">ROUNDUP(IF(Staff[[#This Row],[Tenure]],3%,2%)*Staff[[#This Row],[Salary]],0)</f>
        <v>1617</v>
      </c>
      <c r="K102">
        <f>_xlfn.XLOOKUP(Staff[[#This Row],[Rating]],Sheet2!$B$3:$B$7,Sheet2!$C$3:$C$7)</f>
        <v>3</v>
      </c>
    </row>
    <row r="103" spans="1:11" x14ac:dyDescent="0.3">
      <c r="A103" t="s">
        <v>25</v>
      </c>
      <c r="B103" t="s">
        <v>15</v>
      </c>
      <c r="C103">
        <v>27</v>
      </c>
      <c r="D103" t="s">
        <v>13</v>
      </c>
      <c r="E103" s="4">
        <v>44122</v>
      </c>
      <c r="F103" t="s">
        <v>26</v>
      </c>
      <c r="G103" s="45">
        <v>119110</v>
      </c>
      <c r="H103" t="s">
        <v>207</v>
      </c>
      <c r="I103" s="5">
        <f ca="1">(TODAY()-Staff[[#This Row],[Date Joined]])/365</f>
        <v>3.9616438356164383</v>
      </c>
      <c r="J103" s="45">
        <f ca="1">ROUNDUP(IF(Staff[[#This Row],[Tenure]],3%,2%)*Staff[[#This Row],[Salary]],0)</f>
        <v>3574</v>
      </c>
      <c r="K103">
        <f>_xlfn.XLOOKUP(Staff[[#This Row],[Rating]],Sheet2!$B$3:$B$7,Sheet2!$C$3:$C$7)</f>
        <v>3</v>
      </c>
    </row>
    <row r="104" spans="1:11" x14ac:dyDescent="0.3">
      <c r="A104" t="s">
        <v>27</v>
      </c>
      <c r="B104" t="s">
        <v>8</v>
      </c>
      <c r="C104">
        <v>29</v>
      </c>
      <c r="D104" t="s">
        <v>18</v>
      </c>
      <c r="E104" s="4">
        <v>44180</v>
      </c>
      <c r="F104" t="s">
        <v>23</v>
      </c>
      <c r="G104" s="45">
        <v>112110</v>
      </c>
      <c r="H104" t="s">
        <v>207</v>
      </c>
      <c r="I104" s="5">
        <f ca="1">(TODAY()-Staff[[#This Row],[Date Joined]])/365</f>
        <v>3.8027397260273972</v>
      </c>
      <c r="J104" s="45">
        <f ca="1">ROUNDUP(IF(Staff[[#This Row],[Tenure]],3%,2%)*Staff[[#This Row],[Salary]],0)</f>
        <v>3364</v>
      </c>
      <c r="K104">
        <f>_xlfn.XLOOKUP(Staff[[#This Row],[Rating]],Sheet2!$B$3:$B$7,Sheet2!$C$3:$C$7)</f>
        <v>2</v>
      </c>
    </row>
    <row r="105" spans="1:11" x14ac:dyDescent="0.3">
      <c r="A105" t="s">
        <v>28</v>
      </c>
      <c r="B105" t="s">
        <v>8</v>
      </c>
      <c r="C105">
        <v>25</v>
      </c>
      <c r="D105" t="s">
        <v>13</v>
      </c>
      <c r="E105" s="4">
        <v>44383</v>
      </c>
      <c r="F105" t="s">
        <v>9</v>
      </c>
      <c r="G105" s="45">
        <v>65700</v>
      </c>
      <c r="H105" t="s">
        <v>207</v>
      </c>
      <c r="I105" s="5">
        <f ca="1">(TODAY()-Staff[[#This Row],[Date Joined]])/365</f>
        <v>3.2465753424657535</v>
      </c>
      <c r="J105" s="45">
        <f ca="1">ROUNDUP(IF(Staff[[#This Row],[Tenure]],3%,2%)*Staff[[#This Row],[Salary]],0)</f>
        <v>1971</v>
      </c>
      <c r="K105">
        <f>_xlfn.XLOOKUP(Staff[[#This Row],[Rating]],Sheet2!$B$3:$B$7,Sheet2!$C$3:$C$7)</f>
        <v>3</v>
      </c>
    </row>
    <row r="106" spans="1:11" x14ac:dyDescent="0.3">
      <c r="A106" t="s">
        <v>29</v>
      </c>
      <c r="B106" t="s">
        <v>8</v>
      </c>
      <c r="C106">
        <v>37</v>
      </c>
      <c r="D106" t="s">
        <v>13</v>
      </c>
      <c r="E106" s="4">
        <v>44701</v>
      </c>
      <c r="F106" t="s">
        <v>23</v>
      </c>
      <c r="G106" s="45">
        <v>69070</v>
      </c>
      <c r="H106" t="s">
        <v>207</v>
      </c>
      <c r="I106" s="5">
        <f ca="1">(TODAY()-Staff[[#This Row],[Date Joined]])/365</f>
        <v>2.3753424657534246</v>
      </c>
      <c r="J106" s="45">
        <f ca="1">ROUNDUP(IF(Staff[[#This Row],[Tenure]],3%,2%)*Staff[[#This Row],[Salary]],0)</f>
        <v>2073</v>
      </c>
      <c r="K106">
        <f>_xlfn.XLOOKUP(Staff[[#This Row],[Rating]],Sheet2!$B$3:$B$7,Sheet2!$C$3:$C$7)</f>
        <v>3</v>
      </c>
    </row>
    <row r="107" spans="1:11" x14ac:dyDescent="0.3">
      <c r="A107" t="s">
        <v>30</v>
      </c>
      <c r="B107" t="s">
        <v>8</v>
      </c>
      <c r="C107">
        <v>20</v>
      </c>
      <c r="D107" t="s">
        <v>13</v>
      </c>
      <c r="E107" s="4">
        <v>44459</v>
      </c>
      <c r="F107" t="s">
        <v>23</v>
      </c>
      <c r="G107" s="45">
        <v>107700</v>
      </c>
      <c r="H107" t="s">
        <v>207</v>
      </c>
      <c r="I107" s="5">
        <f ca="1">(TODAY()-Staff[[#This Row],[Date Joined]])/365</f>
        <v>3.0383561643835617</v>
      </c>
      <c r="J107" s="45">
        <f ca="1">ROUNDUP(IF(Staff[[#This Row],[Tenure]],3%,2%)*Staff[[#This Row],[Salary]],0)</f>
        <v>3231</v>
      </c>
      <c r="K107">
        <f>_xlfn.XLOOKUP(Staff[[#This Row],[Rating]],Sheet2!$B$3:$B$7,Sheet2!$C$3:$C$7)</f>
        <v>3</v>
      </c>
    </row>
    <row r="108" spans="1:11" x14ac:dyDescent="0.3">
      <c r="A108" t="s">
        <v>31</v>
      </c>
      <c r="B108" t="s">
        <v>15</v>
      </c>
      <c r="C108">
        <v>32</v>
      </c>
      <c r="D108" t="s">
        <v>10</v>
      </c>
      <c r="E108" s="4">
        <v>44354</v>
      </c>
      <c r="F108" t="s">
        <v>23</v>
      </c>
      <c r="G108" s="45">
        <v>43840</v>
      </c>
      <c r="H108" t="s">
        <v>207</v>
      </c>
      <c r="I108" s="5">
        <f ca="1">(TODAY()-Staff[[#This Row],[Date Joined]])/365</f>
        <v>3.3260273972602739</v>
      </c>
      <c r="J108" s="45">
        <f ca="1">ROUNDUP(IF(Staff[[#This Row],[Tenure]],3%,2%)*Staff[[#This Row],[Salary]],0)</f>
        <v>1316</v>
      </c>
      <c r="K108">
        <f>_xlfn.XLOOKUP(Staff[[#This Row],[Rating]],Sheet2!$B$3:$B$7,Sheet2!$C$3:$C$7)</f>
        <v>4</v>
      </c>
    </row>
    <row r="109" spans="1:11" x14ac:dyDescent="0.3">
      <c r="A109" t="s">
        <v>32</v>
      </c>
      <c r="B109" t="s">
        <v>8</v>
      </c>
      <c r="C109">
        <v>40</v>
      </c>
      <c r="D109" t="s">
        <v>13</v>
      </c>
      <c r="E109" s="4">
        <v>44263</v>
      </c>
      <c r="F109" t="s">
        <v>12</v>
      </c>
      <c r="G109" s="45">
        <v>99750</v>
      </c>
      <c r="H109" t="s">
        <v>207</v>
      </c>
      <c r="I109" s="5">
        <f ca="1">(TODAY()-Staff[[#This Row],[Date Joined]])/365</f>
        <v>3.5753424657534247</v>
      </c>
      <c r="J109" s="45">
        <f ca="1">ROUNDUP(IF(Staff[[#This Row],[Tenure]],3%,2%)*Staff[[#This Row],[Salary]],0)</f>
        <v>2993</v>
      </c>
      <c r="K109">
        <f>_xlfn.XLOOKUP(Staff[[#This Row],[Rating]],Sheet2!$B$3:$B$7,Sheet2!$C$3:$C$7)</f>
        <v>3</v>
      </c>
    </row>
    <row r="110" spans="1:11" x14ac:dyDescent="0.3">
      <c r="A110" t="s">
        <v>33</v>
      </c>
      <c r="B110" t="s">
        <v>8</v>
      </c>
      <c r="C110">
        <v>21</v>
      </c>
      <c r="D110" t="s">
        <v>13</v>
      </c>
      <c r="E110" s="4">
        <v>44104</v>
      </c>
      <c r="F110" t="s">
        <v>12</v>
      </c>
      <c r="G110" s="45">
        <v>37920</v>
      </c>
      <c r="H110" t="s">
        <v>207</v>
      </c>
      <c r="I110" s="5">
        <f ca="1">(TODAY()-Staff[[#This Row],[Date Joined]])/365</f>
        <v>4.0109589041095894</v>
      </c>
      <c r="J110" s="45">
        <f ca="1">ROUNDUP(IF(Staff[[#This Row],[Tenure]],3%,2%)*Staff[[#This Row],[Salary]],0)</f>
        <v>1138</v>
      </c>
      <c r="K110">
        <f>_xlfn.XLOOKUP(Staff[[#This Row],[Rating]],Sheet2!$B$3:$B$7,Sheet2!$C$3:$C$7)</f>
        <v>3</v>
      </c>
    </row>
    <row r="111" spans="1:11" x14ac:dyDescent="0.3">
      <c r="A111" t="s">
        <v>34</v>
      </c>
      <c r="B111" t="s">
        <v>8</v>
      </c>
      <c r="C111">
        <v>21</v>
      </c>
      <c r="D111" t="s">
        <v>13</v>
      </c>
      <c r="E111" s="4">
        <v>44762</v>
      </c>
      <c r="F111" t="s">
        <v>12</v>
      </c>
      <c r="G111" s="45">
        <v>57090</v>
      </c>
      <c r="H111" t="s">
        <v>207</v>
      </c>
      <c r="I111" s="5">
        <f ca="1">(TODAY()-Staff[[#This Row],[Date Joined]])/365</f>
        <v>2.2082191780821918</v>
      </c>
      <c r="J111" s="45">
        <f ca="1">ROUNDUP(IF(Staff[[#This Row],[Tenure]],3%,2%)*Staff[[#This Row],[Salary]],0)</f>
        <v>1713</v>
      </c>
      <c r="K111">
        <f>_xlfn.XLOOKUP(Staff[[#This Row],[Rating]],Sheet2!$B$3:$B$7,Sheet2!$C$3:$C$7)</f>
        <v>3</v>
      </c>
    </row>
    <row r="112" spans="1:11" x14ac:dyDescent="0.3">
      <c r="A112" t="s">
        <v>35</v>
      </c>
      <c r="B112" t="s">
        <v>15</v>
      </c>
      <c r="C112">
        <v>31</v>
      </c>
      <c r="D112" t="s">
        <v>13</v>
      </c>
      <c r="E112" s="4">
        <v>44145</v>
      </c>
      <c r="F112" t="s">
        <v>23</v>
      </c>
      <c r="G112" s="45">
        <v>41980</v>
      </c>
      <c r="H112" t="s">
        <v>207</v>
      </c>
      <c r="I112" s="5">
        <f ca="1">(TODAY()-Staff[[#This Row],[Date Joined]])/365</f>
        <v>3.8986301369863012</v>
      </c>
      <c r="J112" s="45">
        <f ca="1">ROUNDUP(IF(Staff[[#This Row],[Tenure]],3%,2%)*Staff[[#This Row],[Salary]],0)</f>
        <v>1260</v>
      </c>
      <c r="K112">
        <f>_xlfn.XLOOKUP(Staff[[#This Row],[Rating]],Sheet2!$B$3:$B$7,Sheet2!$C$3:$C$7)</f>
        <v>3</v>
      </c>
    </row>
    <row r="113" spans="1:11" x14ac:dyDescent="0.3">
      <c r="A113" t="s">
        <v>36</v>
      </c>
      <c r="B113" t="s">
        <v>8</v>
      </c>
      <c r="C113">
        <v>21</v>
      </c>
      <c r="D113" t="s">
        <v>13</v>
      </c>
      <c r="E113" s="4">
        <v>44242</v>
      </c>
      <c r="F113" t="s">
        <v>26</v>
      </c>
      <c r="G113" s="45">
        <v>75880</v>
      </c>
      <c r="H113" t="s">
        <v>207</v>
      </c>
      <c r="I113" s="5">
        <f ca="1">(TODAY()-Staff[[#This Row],[Date Joined]])/365</f>
        <v>3.6328767123287671</v>
      </c>
      <c r="J113" s="45">
        <f ca="1">ROUNDUP(IF(Staff[[#This Row],[Tenure]],3%,2%)*Staff[[#This Row],[Salary]],0)</f>
        <v>2277</v>
      </c>
      <c r="K113">
        <f>_xlfn.XLOOKUP(Staff[[#This Row],[Rating]],Sheet2!$B$3:$B$7,Sheet2!$C$3:$C$7)</f>
        <v>3</v>
      </c>
    </row>
    <row r="114" spans="1:11" x14ac:dyDescent="0.3">
      <c r="A114" t="s">
        <v>37</v>
      </c>
      <c r="B114" t="s">
        <v>15</v>
      </c>
      <c r="C114">
        <v>34</v>
      </c>
      <c r="D114" t="s">
        <v>13</v>
      </c>
      <c r="E114" s="4">
        <v>44653</v>
      </c>
      <c r="F114" t="s">
        <v>17</v>
      </c>
      <c r="G114" s="45">
        <v>58940</v>
      </c>
      <c r="H114" t="s">
        <v>207</v>
      </c>
      <c r="I114" s="5">
        <f ca="1">(TODAY()-Staff[[#This Row],[Date Joined]])/365</f>
        <v>2.506849315068493</v>
      </c>
      <c r="J114" s="45">
        <f ca="1">ROUNDUP(IF(Staff[[#This Row],[Tenure]],3%,2%)*Staff[[#This Row],[Salary]],0)</f>
        <v>1769</v>
      </c>
      <c r="K114">
        <f>_xlfn.XLOOKUP(Staff[[#This Row],[Rating]],Sheet2!$B$3:$B$7,Sheet2!$C$3:$C$7)</f>
        <v>3</v>
      </c>
    </row>
    <row r="115" spans="1:11" x14ac:dyDescent="0.3">
      <c r="A115" t="s">
        <v>38</v>
      </c>
      <c r="B115" t="s">
        <v>15</v>
      </c>
      <c r="C115">
        <v>30</v>
      </c>
      <c r="D115" t="s">
        <v>18</v>
      </c>
      <c r="E115" s="4">
        <v>44389</v>
      </c>
      <c r="F115" t="s">
        <v>17</v>
      </c>
      <c r="G115" s="45">
        <v>67910</v>
      </c>
      <c r="H115" t="s">
        <v>207</v>
      </c>
      <c r="I115" s="5">
        <f ca="1">(TODAY()-Staff[[#This Row],[Date Joined]])/365</f>
        <v>3.2301369863013698</v>
      </c>
      <c r="J115" s="45">
        <f ca="1">ROUNDUP(IF(Staff[[#This Row],[Tenure]],3%,2%)*Staff[[#This Row],[Salary]],0)</f>
        <v>2038</v>
      </c>
      <c r="K115">
        <f>_xlfn.XLOOKUP(Staff[[#This Row],[Rating]],Sheet2!$B$3:$B$7,Sheet2!$C$3:$C$7)</f>
        <v>2</v>
      </c>
    </row>
    <row r="116" spans="1:11" x14ac:dyDescent="0.3">
      <c r="A116" t="s">
        <v>39</v>
      </c>
      <c r="B116" t="s">
        <v>15</v>
      </c>
      <c r="C116">
        <v>31</v>
      </c>
      <c r="D116" t="s">
        <v>13</v>
      </c>
      <c r="E116" s="4">
        <v>44663</v>
      </c>
      <c r="F116" t="s">
        <v>23</v>
      </c>
      <c r="G116" s="45">
        <v>58100</v>
      </c>
      <c r="H116" t="s">
        <v>207</v>
      </c>
      <c r="I116" s="5">
        <f ca="1">(TODAY()-Staff[[#This Row],[Date Joined]])/365</f>
        <v>2.4794520547945207</v>
      </c>
      <c r="J116" s="45">
        <f ca="1">ROUNDUP(IF(Staff[[#This Row],[Tenure]],3%,2%)*Staff[[#This Row],[Salary]],0)</f>
        <v>1743</v>
      </c>
      <c r="K116">
        <f>_xlfn.XLOOKUP(Staff[[#This Row],[Rating]],Sheet2!$B$3:$B$7,Sheet2!$C$3:$C$7)</f>
        <v>3</v>
      </c>
    </row>
    <row r="117" spans="1:11" x14ac:dyDescent="0.3">
      <c r="A117" t="s">
        <v>40</v>
      </c>
      <c r="B117" t="s">
        <v>8</v>
      </c>
      <c r="C117">
        <v>27</v>
      </c>
      <c r="D117" t="s">
        <v>13</v>
      </c>
      <c r="E117" s="4">
        <v>44567</v>
      </c>
      <c r="F117" t="s">
        <v>17</v>
      </c>
      <c r="G117" s="45">
        <v>48980</v>
      </c>
      <c r="H117" t="s">
        <v>207</v>
      </c>
      <c r="I117" s="5">
        <f ca="1">(TODAY()-Staff[[#This Row],[Date Joined]])/365</f>
        <v>2.7424657534246575</v>
      </c>
      <c r="J117" s="45">
        <f ca="1">ROUNDUP(IF(Staff[[#This Row],[Tenure]],3%,2%)*Staff[[#This Row],[Salary]],0)</f>
        <v>1470</v>
      </c>
      <c r="K117">
        <f>_xlfn.XLOOKUP(Staff[[#This Row],[Rating]],Sheet2!$B$3:$B$7,Sheet2!$C$3:$C$7)</f>
        <v>3</v>
      </c>
    </row>
    <row r="118" spans="1:11" x14ac:dyDescent="0.3">
      <c r="A118" t="s">
        <v>41</v>
      </c>
      <c r="B118" t="s">
        <v>206</v>
      </c>
      <c r="C118">
        <v>30</v>
      </c>
      <c r="D118" t="s">
        <v>13</v>
      </c>
      <c r="E118" s="4">
        <v>44597</v>
      </c>
      <c r="F118" t="s">
        <v>17</v>
      </c>
      <c r="G118" s="45">
        <v>64000</v>
      </c>
      <c r="H118" t="s">
        <v>207</v>
      </c>
      <c r="I118" s="5">
        <f ca="1">(TODAY()-Staff[[#This Row],[Date Joined]])/365</f>
        <v>2.6602739726027398</v>
      </c>
      <c r="J118" s="45">
        <f ca="1">ROUNDUP(IF(Staff[[#This Row],[Tenure]],3%,2%)*Staff[[#This Row],[Salary]],0)</f>
        <v>1920</v>
      </c>
      <c r="K118">
        <f>_xlfn.XLOOKUP(Staff[[#This Row],[Rating]],Sheet2!$B$3:$B$7,Sheet2!$C$3:$C$7)</f>
        <v>3</v>
      </c>
    </row>
    <row r="119" spans="1:11" x14ac:dyDescent="0.3">
      <c r="A119" t="s">
        <v>42</v>
      </c>
      <c r="B119" t="s">
        <v>15</v>
      </c>
      <c r="C119">
        <v>42</v>
      </c>
      <c r="D119" t="s">
        <v>43</v>
      </c>
      <c r="E119" s="4">
        <v>44779</v>
      </c>
      <c r="F119" t="s">
        <v>12</v>
      </c>
      <c r="G119" s="45">
        <v>75000</v>
      </c>
      <c r="H119" t="s">
        <v>207</v>
      </c>
      <c r="I119" s="5">
        <f ca="1">(TODAY()-Staff[[#This Row],[Date Joined]])/365</f>
        <v>2.1616438356164385</v>
      </c>
      <c r="J119" s="45">
        <f ca="1">ROUNDUP(IF(Staff[[#This Row],[Tenure]],3%,2%)*Staff[[#This Row],[Salary]],0)</f>
        <v>2250</v>
      </c>
      <c r="K119">
        <f>_xlfn.XLOOKUP(Staff[[#This Row],[Rating]],Sheet2!$B$3:$B$7,Sheet2!$C$3:$C$7)</f>
        <v>5</v>
      </c>
    </row>
    <row r="120" spans="1:11" x14ac:dyDescent="0.3">
      <c r="A120" t="s">
        <v>44</v>
      </c>
      <c r="B120" t="s">
        <v>15</v>
      </c>
      <c r="C120">
        <v>40</v>
      </c>
      <c r="D120" t="s">
        <v>13</v>
      </c>
      <c r="E120" s="4">
        <v>44337</v>
      </c>
      <c r="F120" t="s">
        <v>23</v>
      </c>
      <c r="G120" s="45">
        <v>87620</v>
      </c>
      <c r="H120" t="s">
        <v>207</v>
      </c>
      <c r="I120" s="5">
        <f ca="1">(TODAY()-Staff[[#This Row],[Date Joined]])/365</f>
        <v>3.3726027397260272</v>
      </c>
      <c r="J120" s="45">
        <f ca="1">ROUNDUP(IF(Staff[[#This Row],[Tenure]],3%,2%)*Staff[[#This Row],[Salary]],0)</f>
        <v>2629</v>
      </c>
      <c r="K120">
        <f>_xlfn.XLOOKUP(Staff[[#This Row],[Rating]],Sheet2!$B$3:$B$7,Sheet2!$C$3:$C$7)</f>
        <v>3</v>
      </c>
    </row>
    <row r="121" spans="1:11" x14ac:dyDescent="0.3">
      <c r="A121" t="s">
        <v>45</v>
      </c>
      <c r="B121" t="s">
        <v>15</v>
      </c>
      <c r="C121">
        <v>29</v>
      </c>
      <c r="D121" t="s">
        <v>13</v>
      </c>
      <c r="E121" s="4">
        <v>44023</v>
      </c>
      <c r="F121" t="s">
        <v>23</v>
      </c>
      <c r="G121" s="45">
        <v>34980</v>
      </c>
      <c r="H121" t="s">
        <v>207</v>
      </c>
      <c r="I121" s="5">
        <f ca="1">(TODAY()-Staff[[#This Row],[Date Joined]])/365</f>
        <v>4.2328767123287667</v>
      </c>
      <c r="J121" s="45">
        <f ca="1">ROUNDUP(IF(Staff[[#This Row],[Tenure]],3%,2%)*Staff[[#This Row],[Salary]],0)</f>
        <v>1050</v>
      </c>
      <c r="K121">
        <f>_xlfn.XLOOKUP(Staff[[#This Row],[Rating]],Sheet2!$B$3:$B$7,Sheet2!$C$3:$C$7)</f>
        <v>3</v>
      </c>
    </row>
    <row r="122" spans="1:11" x14ac:dyDescent="0.3">
      <c r="A122" t="s">
        <v>46</v>
      </c>
      <c r="B122" t="s">
        <v>15</v>
      </c>
      <c r="C122">
        <v>28</v>
      </c>
      <c r="D122" t="s">
        <v>13</v>
      </c>
      <c r="E122" s="4">
        <v>44185</v>
      </c>
      <c r="F122" t="s">
        <v>17</v>
      </c>
      <c r="G122" s="45">
        <v>75970</v>
      </c>
      <c r="H122" t="s">
        <v>207</v>
      </c>
      <c r="I122" s="5">
        <f ca="1">(TODAY()-Staff[[#This Row],[Date Joined]])/365</f>
        <v>3.7890410958904108</v>
      </c>
      <c r="J122" s="45">
        <f ca="1">ROUNDUP(IF(Staff[[#This Row],[Tenure]],3%,2%)*Staff[[#This Row],[Salary]],0)</f>
        <v>2280</v>
      </c>
      <c r="K122">
        <f>_xlfn.XLOOKUP(Staff[[#This Row],[Rating]],Sheet2!$B$3:$B$7,Sheet2!$C$3:$C$7)</f>
        <v>3</v>
      </c>
    </row>
    <row r="123" spans="1:11" x14ac:dyDescent="0.3">
      <c r="A123" t="s">
        <v>47</v>
      </c>
      <c r="B123" t="s">
        <v>15</v>
      </c>
      <c r="C123">
        <v>34</v>
      </c>
      <c r="D123" t="s">
        <v>13</v>
      </c>
      <c r="E123" s="4">
        <v>44612</v>
      </c>
      <c r="F123" t="s">
        <v>17</v>
      </c>
      <c r="G123" s="45">
        <v>60130</v>
      </c>
      <c r="H123" t="s">
        <v>207</v>
      </c>
      <c r="I123" s="5">
        <f ca="1">(TODAY()-Staff[[#This Row],[Date Joined]])/365</f>
        <v>2.6191780821917807</v>
      </c>
      <c r="J123" s="45">
        <f ca="1">ROUNDUP(IF(Staff[[#This Row],[Tenure]],3%,2%)*Staff[[#This Row],[Salary]],0)</f>
        <v>1804</v>
      </c>
      <c r="K123">
        <f>_xlfn.XLOOKUP(Staff[[#This Row],[Rating]],Sheet2!$B$3:$B$7,Sheet2!$C$3:$C$7)</f>
        <v>3</v>
      </c>
    </row>
    <row r="124" spans="1:11" x14ac:dyDescent="0.3">
      <c r="A124" t="s">
        <v>48</v>
      </c>
      <c r="B124" t="s">
        <v>15</v>
      </c>
      <c r="C124">
        <v>33</v>
      </c>
      <c r="D124" t="s">
        <v>49</v>
      </c>
      <c r="E124" s="4">
        <v>44374</v>
      </c>
      <c r="F124" t="s">
        <v>23</v>
      </c>
      <c r="G124" s="45">
        <v>75480</v>
      </c>
      <c r="H124" t="s">
        <v>207</v>
      </c>
      <c r="I124" s="5">
        <f ca="1">(TODAY()-Staff[[#This Row],[Date Joined]])/365</f>
        <v>3.2712328767123289</v>
      </c>
      <c r="J124" s="45">
        <f ca="1">ROUNDUP(IF(Staff[[#This Row],[Tenure]],3%,2%)*Staff[[#This Row],[Salary]],0)</f>
        <v>2265</v>
      </c>
      <c r="K124">
        <f>_xlfn.XLOOKUP(Staff[[#This Row],[Rating]],Sheet2!$B$3:$B$7,Sheet2!$C$3:$C$7)</f>
        <v>1</v>
      </c>
    </row>
    <row r="125" spans="1:11" x14ac:dyDescent="0.3">
      <c r="A125" t="s">
        <v>50</v>
      </c>
      <c r="B125" t="s">
        <v>8</v>
      </c>
      <c r="C125">
        <v>33</v>
      </c>
      <c r="D125" t="s">
        <v>13</v>
      </c>
      <c r="E125" s="4">
        <v>44164</v>
      </c>
      <c r="F125" t="s">
        <v>12</v>
      </c>
      <c r="G125" s="45">
        <v>115920</v>
      </c>
      <c r="H125" t="s">
        <v>207</v>
      </c>
      <c r="I125" s="5">
        <f ca="1">(TODAY()-Staff[[#This Row],[Date Joined]])/365</f>
        <v>3.8465753424657536</v>
      </c>
      <c r="J125" s="45">
        <f ca="1">ROUNDUP(IF(Staff[[#This Row],[Tenure]],3%,2%)*Staff[[#This Row],[Salary]],0)</f>
        <v>3478</v>
      </c>
      <c r="K125">
        <f>_xlfn.XLOOKUP(Staff[[#This Row],[Rating]],Sheet2!$B$3:$B$7,Sheet2!$C$3:$C$7)</f>
        <v>3</v>
      </c>
    </row>
    <row r="126" spans="1:11" x14ac:dyDescent="0.3">
      <c r="A126" t="s">
        <v>51</v>
      </c>
      <c r="B126" t="s">
        <v>15</v>
      </c>
      <c r="C126">
        <v>36</v>
      </c>
      <c r="D126" t="s">
        <v>13</v>
      </c>
      <c r="E126" s="4">
        <v>44494</v>
      </c>
      <c r="F126" t="s">
        <v>9</v>
      </c>
      <c r="G126" s="45">
        <v>78540</v>
      </c>
      <c r="H126" t="s">
        <v>207</v>
      </c>
      <c r="I126" s="5">
        <f ca="1">(TODAY()-Staff[[#This Row],[Date Joined]])/365</f>
        <v>2.9424657534246577</v>
      </c>
      <c r="J126" s="45">
        <f ca="1">ROUNDUP(IF(Staff[[#This Row],[Tenure]],3%,2%)*Staff[[#This Row],[Salary]],0)</f>
        <v>2357</v>
      </c>
      <c r="K126">
        <f>_xlfn.XLOOKUP(Staff[[#This Row],[Rating]],Sheet2!$B$3:$B$7,Sheet2!$C$3:$C$7)</f>
        <v>3</v>
      </c>
    </row>
    <row r="127" spans="1:11" x14ac:dyDescent="0.3">
      <c r="A127" t="s">
        <v>52</v>
      </c>
      <c r="B127" t="s">
        <v>8</v>
      </c>
      <c r="C127">
        <v>25</v>
      </c>
      <c r="D127" t="s">
        <v>10</v>
      </c>
      <c r="E127" s="4">
        <v>44726</v>
      </c>
      <c r="F127" t="s">
        <v>12</v>
      </c>
      <c r="G127" s="45">
        <v>109190</v>
      </c>
      <c r="H127" t="s">
        <v>207</v>
      </c>
      <c r="I127" s="5">
        <f ca="1">(TODAY()-Staff[[#This Row],[Date Joined]])/365</f>
        <v>2.3068493150684932</v>
      </c>
      <c r="J127" s="45">
        <f ca="1">ROUNDUP(IF(Staff[[#This Row],[Tenure]],3%,2%)*Staff[[#This Row],[Salary]],0)</f>
        <v>3276</v>
      </c>
      <c r="K127">
        <f>_xlfn.XLOOKUP(Staff[[#This Row],[Rating]],Sheet2!$B$3:$B$7,Sheet2!$C$3:$C$7)</f>
        <v>4</v>
      </c>
    </row>
    <row r="128" spans="1:11" x14ac:dyDescent="0.3">
      <c r="A128" t="s">
        <v>53</v>
      </c>
      <c r="B128" t="s">
        <v>15</v>
      </c>
      <c r="C128">
        <v>34</v>
      </c>
      <c r="D128" t="s">
        <v>18</v>
      </c>
      <c r="E128" s="4">
        <v>44721</v>
      </c>
      <c r="F128" t="s">
        <v>9</v>
      </c>
      <c r="G128" s="45">
        <v>49630</v>
      </c>
      <c r="H128" t="s">
        <v>207</v>
      </c>
      <c r="I128" s="5">
        <f ca="1">(TODAY()-Staff[[#This Row],[Date Joined]])/365</f>
        <v>2.3205479452054796</v>
      </c>
      <c r="J128" s="45">
        <f ca="1">ROUNDUP(IF(Staff[[#This Row],[Tenure]],3%,2%)*Staff[[#This Row],[Salary]],0)</f>
        <v>1489</v>
      </c>
      <c r="K128">
        <f>_xlfn.XLOOKUP(Staff[[#This Row],[Rating]],Sheet2!$B$3:$B$7,Sheet2!$C$3:$C$7)</f>
        <v>2</v>
      </c>
    </row>
    <row r="129" spans="1:11" x14ac:dyDescent="0.3">
      <c r="A129" t="s">
        <v>54</v>
      </c>
      <c r="B129" t="s">
        <v>15</v>
      </c>
      <c r="C129">
        <v>28</v>
      </c>
      <c r="D129" t="s">
        <v>13</v>
      </c>
      <c r="E129" s="4">
        <v>44630</v>
      </c>
      <c r="F129" t="s">
        <v>12</v>
      </c>
      <c r="G129" s="45">
        <v>99970</v>
      </c>
      <c r="H129" t="s">
        <v>207</v>
      </c>
      <c r="I129" s="5">
        <f ca="1">(TODAY()-Staff[[#This Row],[Date Joined]])/365</f>
        <v>2.56986301369863</v>
      </c>
      <c r="J129" s="45">
        <f ca="1">ROUNDUP(IF(Staff[[#This Row],[Tenure]],3%,2%)*Staff[[#This Row],[Salary]],0)</f>
        <v>3000</v>
      </c>
      <c r="K129">
        <f>_xlfn.XLOOKUP(Staff[[#This Row],[Rating]],Sheet2!$B$3:$B$7,Sheet2!$C$3:$C$7)</f>
        <v>3</v>
      </c>
    </row>
    <row r="130" spans="1:11" x14ac:dyDescent="0.3">
      <c r="A130" t="s">
        <v>55</v>
      </c>
      <c r="B130" t="s">
        <v>15</v>
      </c>
      <c r="C130">
        <v>33</v>
      </c>
      <c r="D130" t="s">
        <v>13</v>
      </c>
      <c r="E130" s="4">
        <v>44190</v>
      </c>
      <c r="F130" t="s">
        <v>23</v>
      </c>
      <c r="G130" s="45">
        <v>96140</v>
      </c>
      <c r="H130" t="s">
        <v>207</v>
      </c>
      <c r="I130" s="5">
        <f ca="1">(TODAY()-Staff[[#This Row],[Date Joined]])/365</f>
        <v>3.7753424657534245</v>
      </c>
      <c r="J130" s="45">
        <f ca="1">ROUNDUP(IF(Staff[[#This Row],[Tenure]],3%,2%)*Staff[[#This Row],[Salary]],0)</f>
        <v>2885</v>
      </c>
      <c r="K130">
        <f>_xlfn.XLOOKUP(Staff[[#This Row],[Rating]],Sheet2!$B$3:$B$7,Sheet2!$C$3:$C$7)</f>
        <v>3</v>
      </c>
    </row>
    <row r="131" spans="1:11" x14ac:dyDescent="0.3">
      <c r="A131" t="s">
        <v>56</v>
      </c>
      <c r="B131" t="s">
        <v>8</v>
      </c>
      <c r="C131">
        <v>31</v>
      </c>
      <c r="D131" t="s">
        <v>13</v>
      </c>
      <c r="E131" s="4">
        <v>44724</v>
      </c>
      <c r="F131" t="s">
        <v>12</v>
      </c>
      <c r="G131" s="45">
        <v>103550</v>
      </c>
      <c r="H131" t="s">
        <v>207</v>
      </c>
      <c r="I131" s="5">
        <f ca="1">(TODAY()-Staff[[#This Row],[Date Joined]])/365</f>
        <v>2.3123287671232875</v>
      </c>
      <c r="J131" s="45">
        <f ca="1">ROUNDUP(IF(Staff[[#This Row],[Tenure]],3%,2%)*Staff[[#This Row],[Salary]],0)</f>
        <v>3107</v>
      </c>
      <c r="K131">
        <f>_xlfn.XLOOKUP(Staff[[#This Row],[Rating]],Sheet2!$B$3:$B$7,Sheet2!$C$3:$C$7)</f>
        <v>3</v>
      </c>
    </row>
    <row r="132" spans="1:11" x14ac:dyDescent="0.3">
      <c r="A132" t="s">
        <v>57</v>
      </c>
      <c r="B132" t="s">
        <v>8</v>
      </c>
      <c r="C132">
        <v>31</v>
      </c>
      <c r="D132" t="s">
        <v>13</v>
      </c>
      <c r="E132" s="4">
        <v>44511</v>
      </c>
      <c r="F132" t="s">
        <v>23</v>
      </c>
      <c r="G132" s="45">
        <v>48950</v>
      </c>
      <c r="H132" t="s">
        <v>207</v>
      </c>
      <c r="I132" s="5">
        <f ca="1">(TODAY()-Staff[[#This Row],[Date Joined]])/365</f>
        <v>2.8958904109589043</v>
      </c>
      <c r="J132" s="45">
        <f ca="1">ROUNDUP(IF(Staff[[#This Row],[Tenure]],3%,2%)*Staff[[#This Row],[Salary]],0)</f>
        <v>1469</v>
      </c>
      <c r="K132">
        <f>_xlfn.XLOOKUP(Staff[[#This Row],[Rating]],Sheet2!$B$3:$B$7,Sheet2!$C$3:$C$7)</f>
        <v>3</v>
      </c>
    </row>
    <row r="133" spans="1:11" x14ac:dyDescent="0.3">
      <c r="A133" t="s">
        <v>58</v>
      </c>
      <c r="B133" t="s">
        <v>8</v>
      </c>
      <c r="C133">
        <v>24</v>
      </c>
      <c r="D133" t="s">
        <v>18</v>
      </c>
      <c r="E133" s="4">
        <v>44436</v>
      </c>
      <c r="F133" t="s">
        <v>17</v>
      </c>
      <c r="G133" s="45">
        <v>52610</v>
      </c>
      <c r="H133" t="s">
        <v>207</v>
      </c>
      <c r="I133" s="5">
        <f ca="1">(TODAY()-Staff[[#This Row],[Date Joined]])/365</f>
        <v>3.1013698630136988</v>
      </c>
      <c r="J133" s="45">
        <f ca="1">ROUNDUP(IF(Staff[[#This Row],[Tenure]],3%,2%)*Staff[[#This Row],[Salary]],0)</f>
        <v>1579</v>
      </c>
      <c r="K133">
        <f>_xlfn.XLOOKUP(Staff[[#This Row],[Rating]],Sheet2!$B$3:$B$7,Sheet2!$C$3:$C$7)</f>
        <v>2</v>
      </c>
    </row>
    <row r="134" spans="1:11" x14ac:dyDescent="0.3">
      <c r="A134" t="s">
        <v>59</v>
      </c>
      <c r="B134" t="s">
        <v>15</v>
      </c>
      <c r="C134">
        <v>36</v>
      </c>
      <c r="D134" t="s">
        <v>13</v>
      </c>
      <c r="E134" s="4">
        <v>44529</v>
      </c>
      <c r="F134" t="s">
        <v>12</v>
      </c>
      <c r="G134" s="45">
        <v>78390</v>
      </c>
      <c r="H134" t="s">
        <v>207</v>
      </c>
      <c r="I134" s="5">
        <f ca="1">(TODAY()-Staff[[#This Row],[Date Joined]])/365</f>
        <v>2.8465753424657536</v>
      </c>
      <c r="J134" s="45">
        <f ca="1">ROUNDUP(IF(Staff[[#This Row],[Tenure]],3%,2%)*Staff[[#This Row],[Salary]],0)</f>
        <v>2352</v>
      </c>
      <c r="K134">
        <f>_xlfn.XLOOKUP(Staff[[#This Row],[Rating]],Sheet2!$B$3:$B$7,Sheet2!$C$3:$C$7)</f>
        <v>3</v>
      </c>
    </row>
    <row r="135" spans="1:11" x14ac:dyDescent="0.3">
      <c r="A135" t="s">
        <v>60</v>
      </c>
      <c r="B135" t="s">
        <v>15</v>
      </c>
      <c r="C135">
        <v>33</v>
      </c>
      <c r="D135" t="s">
        <v>13</v>
      </c>
      <c r="E135" s="4">
        <v>44809</v>
      </c>
      <c r="F135" t="s">
        <v>17</v>
      </c>
      <c r="G135" s="45">
        <v>86570</v>
      </c>
      <c r="H135" t="s">
        <v>207</v>
      </c>
      <c r="I135" s="5">
        <f ca="1">(TODAY()-Staff[[#This Row],[Date Joined]])/365</f>
        <v>2.0794520547945203</v>
      </c>
      <c r="J135" s="45">
        <f ca="1">ROUNDUP(IF(Staff[[#This Row],[Tenure]],3%,2%)*Staff[[#This Row],[Salary]],0)</f>
        <v>2598</v>
      </c>
      <c r="K135">
        <f>_xlfn.XLOOKUP(Staff[[#This Row],[Rating]],Sheet2!$B$3:$B$7,Sheet2!$C$3:$C$7)</f>
        <v>3</v>
      </c>
    </row>
    <row r="136" spans="1:11" x14ac:dyDescent="0.3">
      <c r="A136" t="s">
        <v>61</v>
      </c>
      <c r="B136" t="s">
        <v>15</v>
      </c>
      <c r="C136">
        <v>27</v>
      </c>
      <c r="D136" t="s">
        <v>13</v>
      </c>
      <c r="E136" s="4">
        <v>44686</v>
      </c>
      <c r="F136" t="s">
        <v>23</v>
      </c>
      <c r="G136" s="45">
        <v>83750</v>
      </c>
      <c r="H136" t="s">
        <v>207</v>
      </c>
      <c r="I136" s="5">
        <f ca="1">(TODAY()-Staff[[#This Row],[Date Joined]])/365</f>
        <v>2.4164383561643836</v>
      </c>
      <c r="J136" s="45">
        <f ca="1">ROUNDUP(IF(Staff[[#This Row],[Tenure]],3%,2%)*Staff[[#This Row],[Salary]],0)</f>
        <v>2513</v>
      </c>
      <c r="K136">
        <f>_xlfn.XLOOKUP(Staff[[#This Row],[Rating]],Sheet2!$B$3:$B$7,Sheet2!$C$3:$C$7)</f>
        <v>3</v>
      </c>
    </row>
    <row r="137" spans="1:11" x14ac:dyDescent="0.3">
      <c r="A137" t="s">
        <v>62</v>
      </c>
      <c r="B137" t="s">
        <v>15</v>
      </c>
      <c r="C137">
        <v>34</v>
      </c>
      <c r="D137" t="s">
        <v>13</v>
      </c>
      <c r="E137" s="4">
        <v>44445</v>
      </c>
      <c r="F137" t="s">
        <v>17</v>
      </c>
      <c r="G137" s="45">
        <v>92450</v>
      </c>
      <c r="H137" t="s">
        <v>207</v>
      </c>
      <c r="I137" s="5">
        <f ca="1">(TODAY()-Staff[[#This Row],[Date Joined]])/365</f>
        <v>3.0767123287671234</v>
      </c>
      <c r="J137" s="45">
        <f ca="1">ROUNDUP(IF(Staff[[#This Row],[Tenure]],3%,2%)*Staff[[#This Row],[Salary]],0)</f>
        <v>2774</v>
      </c>
      <c r="K137">
        <f>_xlfn.XLOOKUP(Staff[[#This Row],[Rating]],Sheet2!$B$3:$B$7,Sheet2!$C$3:$C$7)</f>
        <v>3</v>
      </c>
    </row>
    <row r="138" spans="1:11" x14ac:dyDescent="0.3">
      <c r="A138" t="s">
        <v>63</v>
      </c>
      <c r="B138" t="s">
        <v>8</v>
      </c>
      <c r="C138">
        <v>20</v>
      </c>
      <c r="D138" t="s">
        <v>13</v>
      </c>
      <c r="E138" s="4">
        <v>44183</v>
      </c>
      <c r="F138" t="s">
        <v>23</v>
      </c>
      <c r="G138" s="45">
        <v>112650</v>
      </c>
      <c r="H138" t="s">
        <v>207</v>
      </c>
      <c r="I138" s="5">
        <f ca="1">(TODAY()-Staff[[#This Row],[Date Joined]])/365</f>
        <v>3.7945205479452055</v>
      </c>
      <c r="J138" s="45">
        <f ca="1">ROUNDUP(IF(Staff[[#This Row],[Tenure]],3%,2%)*Staff[[#This Row],[Salary]],0)</f>
        <v>3380</v>
      </c>
      <c r="K138">
        <f>_xlfn.XLOOKUP(Staff[[#This Row],[Rating]],Sheet2!$B$3:$B$7,Sheet2!$C$3:$C$7)</f>
        <v>3</v>
      </c>
    </row>
    <row r="139" spans="1:11" x14ac:dyDescent="0.3">
      <c r="A139" t="s">
        <v>64</v>
      </c>
      <c r="B139" t="s">
        <v>8</v>
      </c>
      <c r="C139">
        <v>20</v>
      </c>
      <c r="D139" t="s">
        <v>13</v>
      </c>
      <c r="E139" s="4">
        <v>44744</v>
      </c>
      <c r="F139" t="s">
        <v>12</v>
      </c>
      <c r="G139" s="45">
        <v>79570</v>
      </c>
      <c r="H139" t="s">
        <v>207</v>
      </c>
      <c r="I139" s="5">
        <f ca="1">(TODAY()-Staff[[#This Row],[Date Joined]])/365</f>
        <v>2.2575342465753425</v>
      </c>
      <c r="J139" s="45">
        <f ca="1">ROUNDUP(IF(Staff[[#This Row],[Tenure]],3%,2%)*Staff[[#This Row],[Salary]],0)</f>
        <v>2388</v>
      </c>
      <c r="K139">
        <f>_xlfn.XLOOKUP(Staff[[#This Row],[Rating]],Sheet2!$B$3:$B$7,Sheet2!$C$3:$C$7)</f>
        <v>3</v>
      </c>
    </row>
    <row r="140" spans="1:11" x14ac:dyDescent="0.3">
      <c r="A140" t="s">
        <v>65</v>
      </c>
      <c r="B140" t="s">
        <v>15</v>
      </c>
      <c r="C140">
        <v>20</v>
      </c>
      <c r="D140" t="s">
        <v>18</v>
      </c>
      <c r="E140" s="4">
        <v>44537</v>
      </c>
      <c r="F140" t="s">
        <v>9</v>
      </c>
      <c r="G140" s="45">
        <v>68900</v>
      </c>
      <c r="H140" t="s">
        <v>207</v>
      </c>
      <c r="I140" s="5">
        <f ca="1">(TODAY()-Staff[[#This Row],[Date Joined]])/365</f>
        <v>2.8246575342465752</v>
      </c>
      <c r="J140" s="45">
        <f ca="1">ROUNDUP(IF(Staff[[#This Row],[Tenure]],3%,2%)*Staff[[#This Row],[Salary]],0)</f>
        <v>2067</v>
      </c>
      <c r="K140">
        <f>_xlfn.XLOOKUP(Staff[[#This Row],[Rating]],Sheet2!$B$3:$B$7,Sheet2!$C$3:$C$7)</f>
        <v>2</v>
      </c>
    </row>
    <row r="141" spans="1:11" x14ac:dyDescent="0.3">
      <c r="A141" t="s">
        <v>66</v>
      </c>
      <c r="B141" t="s">
        <v>15</v>
      </c>
      <c r="C141">
        <v>25</v>
      </c>
      <c r="D141" t="s">
        <v>10</v>
      </c>
      <c r="E141" s="4">
        <v>44694</v>
      </c>
      <c r="F141" t="s">
        <v>23</v>
      </c>
      <c r="G141" s="45">
        <v>80700</v>
      </c>
      <c r="H141" t="s">
        <v>207</v>
      </c>
      <c r="I141" s="5">
        <f ca="1">(TODAY()-Staff[[#This Row],[Date Joined]])/365</f>
        <v>2.3945205479452056</v>
      </c>
      <c r="J141" s="45">
        <f ca="1">ROUNDUP(IF(Staff[[#This Row],[Tenure]],3%,2%)*Staff[[#This Row],[Salary]],0)</f>
        <v>2421</v>
      </c>
      <c r="K141">
        <f>_xlfn.XLOOKUP(Staff[[#This Row],[Rating]],Sheet2!$B$3:$B$7,Sheet2!$C$3:$C$7)</f>
        <v>4</v>
      </c>
    </row>
    <row r="142" spans="1:11" x14ac:dyDescent="0.3">
      <c r="A142" t="s">
        <v>67</v>
      </c>
      <c r="B142" t="s">
        <v>8</v>
      </c>
      <c r="C142">
        <v>19</v>
      </c>
      <c r="D142" t="s">
        <v>13</v>
      </c>
      <c r="E142" s="4">
        <v>44277</v>
      </c>
      <c r="F142" t="s">
        <v>12</v>
      </c>
      <c r="G142" s="45">
        <v>58960</v>
      </c>
      <c r="H142" t="s">
        <v>207</v>
      </c>
      <c r="I142" s="5">
        <f ca="1">(TODAY()-Staff[[#This Row],[Date Joined]])/365</f>
        <v>3.536986301369863</v>
      </c>
      <c r="J142" s="45">
        <f ca="1">ROUNDUP(IF(Staff[[#This Row],[Tenure]],3%,2%)*Staff[[#This Row],[Salary]],0)</f>
        <v>1769</v>
      </c>
      <c r="K142">
        <f>_xlfn.XLOOKUP(Staff[[#This Row],[Rating]],Sheet2!$B$3:$B$7,Sheet2!$C$3:$C$7)</f>
        <v>3</v>
      </c>
    </row>
    <row r="143" spans="1:11" x14ac:dyDescent="0.3">
      <c r="A143" t="s">
        <v>68</v>
      </c>
      <c r="B143" t="s">
        <v>8</v>
      </c>
      <c r="C143">
        <v>36</v>
      </c>
      <c r="D143" t="s">
        <v>13</v>
      </c>
      <c r="E143" s="4">
        <v>44019</v>
      </c>
      <c r="F143" t="s">
        <v>23</v>
      </c>
      <c r="G143" s="45">
        <v>118840</v>
      </c>
      <c r="H143" t="s">
        <v>207</v>
      </c>
      <c r="I143" s="5">
        <f ca="1">(TODAY()-Staff[[#This Row],[Date Joined]])/365</f>
        <v>4.2438356164383562</v>
      </c>
      <c r="J143" s="45">
        <f ca="1">ROUNDUP(IF(Staff[[#This Row],[Tenure]],3%,2%)*Staff[[#This Row],[Salary]],0)</f>
        <v>3566</v>
      </c>
      <c r="K143">
        <f>_xlfn.XLOOKUP(Staff[[#This Row],[Rating]],Sheet2!$B$3:$B$7,Sheet2!$C$3:$C$7)</f>
        <v>3</v>
      </c>
    </row>
    <row r="144" spans="1:11" x14ac:dyDescent="0.3">
      <c r="A144" t="s">
        <v>69</v>
      </c>
      <c r="B144" t="s">
        <v>8</v>
      </c>
      <c r="C144">
        <v>28</v>
      </c>
      <c r="D144" t="s">
        <v>10</v>
      </c>
      <c r="E144" s="4">
        <v>44041</v>
      </c>
      <c r="F144" t="s">
        <v>17</v>
      </c>
      <c r="G144" s="45">
        <v>48170</v>
      </c>
      <c r="H144" t="s">
        <v>207</v>
      </c>
      <c r="I144" s="5">
        <f ca="1">(TODAY()-Staff[[#This Row],[Date Joined]])/365</f>
        <v>4.183561643835616</v>
      </c>
      <c r="J144" s="45">
        <f ca="1">ROUNDUP(IF(Staff[[#This Row],[Tenure]],3%,2%)*Staff[[#This Row],[Salary]],0)</f>
        <v>1446</v>
      </c>
      <c r="K144">
        <f>_xlfn.XLOOKUP(Staff[[#This Row],[Rating]],Sheet2!$B$3:$B$7,Sheet2!$C$3:$C$7)</f>
        <v>4</v>
      </c>
    </row>
    <row r="145" spans="1:11" x14ac:dyDescent="0.3">
      <c r="A145" t="s">
        <v>70</v>
      </c>
      <c r="B145" t="s">
        <v>15</v>
      </c>
      <c r="C145">
        <v>32</v>
      </c>
      <c r="D145" t="s">
        <v>13</v>
      </c>
      <c r="E145" s="4">
        <v>44400</v>
      </c>
      <c r="F145" t="s">
        <v>26</v>
      </c>
      <c r="G145" s="45">
        <v>45510</v>
      </c>
      <c r="H145" t="s">
        <v>207</v>
      </c>
      <c r="I145" s="5">
        <f ca="1">(TODAY()-Staff[[#This Row],[Date Joined]])/365</f>
        <v>3.2</v>
      </c>
      <c r="J145" s="45">
        <f ca="1">ROUNDUP(IF(Staff[[#This Row],[Tenure]],3%,2%)*Staff[[#This Row],[Salary]],0)</f>
        <v>1366</v>
      </c>
      <c r="K145">
        <f>_xlfn.XLOOKUP(Staff[[#This Row],[Rating]],Sheet2!$B$3:$B$7,Sheet2!$C$3:$C$7)</f>
        <v>3</v>
      </c>
    </row>
    <row r="146" spans="1:11" x14ac:dyDescent="0.3">
      <c r="A146" t="s">
        <v>71</v>
      </c>
      <c r="B146" t="s">
        <v>15</v>
      </c>
      <c r="C146">
        <v>36</v>
      </c>
      <c r="D146" t="s">
        <v>13</v>
      </c>
      <c r="E146" s="4">
        <v>44085</v>
      </c>
      <c r="F146" t="s">
        <v>12</v>
      </c>
      <c r="G146" s="45">
        <v>114890</v>
      </c>
      <c r="H146" t="s">
        <v>207</v>
      </c>
      <c r="I146" s="5">
        <f ca="1">(TODAY()-Staff[[#This Row],[Date Joined]])/365</f>
        <v>4.0630136986301366</v>
      </c>
      <c r="J146" s="45">
        <f ca="1">ROUNDUP(IF(Staff[[#This Row],[Tenure]],3%,2%)*Staff[[#This Row],[Salary]],0)</f>
        <v>3447</v>
      </c>
      <c r="K146">
        <f>_xlfn.XLOOKUP(Staff[[#This Row],[Rating]],Sheet2!$B$3:$B$7,Sheet2!$C$3:$C$7)</f>
        <v>3</v>
      </c>
    </row>
    <row r="147" spans="1:11" x14ac:dyDescent="0.3">
      <c r="A147" t="s">
        <v>72</v>
      </c>
      <c r="B147" t="s">
        <v>8</v>
      </c>
      <c r="C147">
        <v>30</v>
      </c>
      <c r="D147" t="s">
        <v>13</v>
      </c>
      <c r="E147" s="4">
        <v>44850</v>
      </c>
      <c r="F147" t="s">
        <v>23</v>
      </c>
      <c r="G147" s="45">
        <v>69710</v>
      </c>
      <c r="H147" t="s">
        <v>207</v>
      </c>
      <c r="I147" s="5">
        <f ca="1">(TODAY()-Staff[[#This Row],[Date Joined]])/365</f>
        <v>1.9671232876712328</v>
      </c>
      <c r="J147" s="45">
        <f ca="1">ROUNDUP(IF(Staff[[#This Row],[Tenure]],3%,2%)*Staff[[#This Row],[Salary]],0)</f>
        <v>2092</v>
      </c>
      <c r="K147">
        <f>_xlfn.XLOOKUP(Staff[[#This Row],[Rating]],Sheet2!$B$3:$B$7,Sheet2!$C$3:$C$7)</f>
        <v>3</v>
      </c>
    </row>
    <row r="148" spans="1:11" x14ac:dyDescent="0.3">
      <c r="A148" t="s">
        <v>73</v>
      </c>
      <c r="B148" t="s">
        <v>8</v>
      </c>
      <c r="C148">
        <v>36</v>
      </c>
      <c r="D148" t="s">
        <v>13</v>
      </c>
      <c r="E148" s="4">
        <v>44333</v>
      </c>
      <c r="F148" t="s">
        <v>17</v>
      </c>
      <c r="G148" s="45">
        <v>71380</v>
      </c>
      <c r="H148" t="s">
        <v>207</v>
      </c>
      <c r="I148" s="5">
        <f ca="1">(TODAY()-Staff[[#This Row],[Date Joined]])/365</f>
        <v>3.3835616438356166</v>
      </c>
      <c r="J148" s="45">
        <f ca="1">ROUNDUP(IF(Staff[[#This Row],[Tenure]],3%,2%)*Staff[[#This Row],[Salary]],0)</f>
        <v>2142</v>
      </c>
      <c r="K148">
        <f>_xlfn.XLOOKUP(Staff[[#This Row],[Rating]],Sheet2!$B$3:$B$7,Sheet2!$C$3:$C$7)</f>
        <v>3</v>
      </c>
    </row>
    <row r="149" spans="1:11" x14ac:dyDescent="0.3">
      <c r="A149" t="s">
        <v>74</v>
      </c>
      <c r="B149" t="s">
        <v>15</v>
      </c>
      <c r="C149">
        <v>38</v>
      </c>
      <c r="D149" t="s">
        <v>43</v>
      </c>
      <c r="E149" s="4">
        <v>44377</v>
      </c>
      <c r="F149" t="s">
        <v>9</v>
      </c>
      <c r="G149" s="45">
        <v>109160</v>
      </c>
      <c r="H149" t="s">
        <v>207</v>
      </c>
      <c r="I149" s="5">
        <f ca="1">(TODAY()-Staff[[#This Row],[Date Joined]])/365</f>
        <v>3.2630136986301368</v>
      </c>
      <c r="J149" s="45">
        <f ca="1">ROUNDUP(IF(Staff[[#This Row],[Tenure]],3%,2%)*Staff[[#This Row],[Salary]],0)</f>
        <v>3275</v>
      </c>
      <c r="K149">
        <f>_xlfn.XLOOKUP(Staff[[#This Row],[Rating]],Sheet2!$B$3:$B$7,Sheet2!$C$3:$C$7)</f>
        <v>5</v>
      </c>
    </row>
    <row r="150" spans="1:11" x14ac:dyDescent="0.3">
      <c r="A150" t="s">
        <v>75</v>
      </c>
      <c r="B150" t="s">
        <v>8</v>
      </c>
      <c r="C150">
        <v>27</v>
      </c>
      <c r="D150" t="s">
        <v>49</v>
      </c>
      <c r="E150" s="4">
        <v>44609</v>
      </c>
      <c r="F150" t="s">
        <v>12</v>
      </c>
      <c r="G150" s="45">
        <v>113280</v>
      </c>
      <c r="H150" t="s">
        <v>207</v>
      </c>
      <c r="I150" s="5">
        <f ca="1">(TODAY()-Staff[[#This Row],[Date Joined]])/365</f>
        <v>2.6273972602739728</v>
      </c>
      <c r="J150" s="45">
        <f ca="1">ROUNDUP(IF(Staff[[#This Row],[Tenure]],3%,2%)*Staff[[#This Row],[Salary]],0)</f>
        <v>3399</v>
      </c>
      <c r="K150">
        <f>_xlfn.XLOOKUP(Staff[[#This Row],[Rating]],Sheet2!$B$3:$B$7,Sheet2!$C$3:$C$7)</f>
        <v>1</v>
      </c>
    </row>
    <row r="151" spans="1:11" x14ac:dyDescent="0.3">
      <c r="A151" t="s">
        <v>76</v>
      </c>
      <c r="B151" t="s">
        <v>8</v>
      </c>
      <c r="C151">
        <v>30</v>
      </c>
      <c r="D151" t="s">
        <v>13</v>
      </c>
      <c r="E151" s="4">
        <v>44273</v>
      </c>
      <c r="F151" t="s">
        <v>23</v>
      </c>
      <c r="G151" s="45">
        <v>69120</v>
      </c>
      <c r="H151" t="s">
        <v>207</v>
      </c>
      <c r="I151" s="5">
        <f ca="1">(TODAY()-Staff[[#This Row],[Date Joined]])/365</f>
        <v>3.547945205479452</v>
      </c>
      <c r="J151" s="45">
        <f ca="1">ROUNDUP(IF(Staff[[#This Row],[Tenure]],3%,2%)*Staff[[#This Row],[Salary]],0)</f>
        <v>2074</v>
      </c>
      <c r="K151">
        <f>_xlfn.XLOOKUP(Staff[[#This Row],[Rating]],Sheet2!$B$3:$B$7,Sheet2!$C$3:$C$7)</f>
        <v>3</v>
      </c>
    </row>
    <row r="152" spans="1:11" x14ac:dyDescent="0.3">
      <c r="A152" t="s">
        <v>77</v>
      </c>
      <c r="B152" t="s">
        <v>15</v>
      </c>
      <c r="C152">
        <v>37</v>
      </c>
      <c r="D152" t="s">
        <v>13</v>
      </c>
      <c r="E152" s="4">
        <v>44451</v>
      </c>
      <c r="F152" t="s">
        <v>26</v>
      </c>
      <c r="G152" s="45">
        <v>118100</v>
      </c>
      <c r="H152" t="s">
        <v>207</v>
      </c>
      <c r="I152" s="5">
        <f ca="1">(TODAY()-Staff[[#This Row],[Date Joined]])/365</f>
        <v>3.0602739726027397</v>
      </c>
      <c r="J152" s="45">
        <f ca="1">ROUNDUP(IF(Staff[[#This Row],[Tenure]],3%,2%)*Staff[[#This Row],[Salary]],0)</f>
        <v>3543</v>
      </c>
      <c r="K152">
        <f>_xlfn.XLOOKUP(Staff[[#This Row],[Rating]],Sheet2!$B$3:$B$7,Sheet2!$C$3:$C$7)</f>
        <v>3</v>
      </c>
    </row>
    <row r="153" spans="1:11" x14ac:dyDescent="0.3">
      <c r="A153" t="s">
        <v>78</v>
      </c>
      <c r="B153" t="s">
        <v>15</v>
      </c>
      <c r="C153">
        <v>22</v>
      </c>
      <c r="D153" t="s">
        <v>10</v>
      </c>
      <c r="E153" s="4">
        <v>44450</v>
      </c>
      <c r="F153" t="s">
        <v>12</v>
      </c>
      <c r="G153" s="45">
        <v>76900</v>
      </c>
      <c r="H153" t="s">
        <v>207</v>
      </c>
      <c r="I153" s="5">
        <f ca="1">(TODAY()-Staff[[#This Row],[Date Joined]])/365</f>
        <v>3.0630136986301371</v>
      </c>
      <c r="J153" s="45">
        <f ca="1">ROUNDUP(IF(Staff[[#This Row],[Tenure]],3%,2%)*Staff[[#This Row],[Salary]],0)</f>
        <v>2307</v>
      </c>
      <c r="K153">
        <f>_xlfn.XLOOKUP(Staff[[#This Row],[Rating]],Sheet2!$B$3:$B$7,Sheet2!$C$3:$C$7)</f>
        <v>4</v>
      </c>
    </row>
    <row r="154" spans="1:11" x14ac:dyDescent="0.3">
      <c r="A154" t="s">
        <v>79</v>
      </c>
      <c r="B154" t="s">
        <v>15</v>
      </c>
      <c r="C154">
        <v>43</v>
      </c>
      <c r="D154" t="s">
        <v>13</v>
      </c>
      <c r="E154" s="4">
        <v>45045</v>
      </c>
      <c r="F154" t="s">
        <v>23</v>
      </c>
      <c r="G154" s="45">
        <v>114870</v>
      </c>
      <c r="H154" t="s">
        <v>207</v>
      </c>
      <c r="I154" s="5">
        <f ca="1">(TODAY()-Staff[[#This Row],[Date Joined]])/365</f>
        <v>1.4328767123287671</v>
      </c>
      <c r="J154" s="45">
        <f ca="1">ROUNDUP(IF(Staff[[#This Row],[Tenure]],3%,2%)*Staff[[#This Row],[Salary]],0)</f>
        <v>3447</v>
      </c>
      <c r="K154">
        <f>_xlfn.XLOOKUP(Staff[[#This Row],[Rating]],Sheet2!$B$3:$B$7,Sheet2!$C$3:$C$7)</f>
        <v>3</v>
      </c>
    </row>
    <row r="155" spans="1:11" x14ac:dyDescent="0.3">
      <c r="A155" t="s">
        <v>80</v>
      </c>
      <c r="B155" t="s">
        <v>206</v>
      </c>
      <c r="C155">
        <v>32</v>
      </c>
      <c r="D155" t="s">
        <v>13</v>
      </c>
      <c r="E155" s="4">
        <v>44774</v>
      </c>
      <c r="F155" t="s">
        <v>23</v>
      </c>
      <c r="G155" s="45">
        <v>91310</v>
      </c>
      <c r="H155" t="s">
        <v>207</v>
      </c>
      <c r="I155" s="5">
        <f ca="1">(TODAY()-Staff[[#This Row],[Date Joined]])/365</f>
        <v>2.1753424657534248</v>
      </c>
      <c r="J155" s="45">
        <f ca="1">ROUNDUP(IF(Staff[[#This Row],[Tenure]],3%,2%)*Staff[[#This Row],[Salary]],0)</f>
        <v>2740</v>
      </c>
      <c r="K155">
        <f>_xlfn.XLOOKUP(Staff[[#This Row],[Rating]],Sheet2!$B$3:$B$7,Sheet2!$C$3:$C$7)</f>
        <v>3</v>
      </c>
    </row>
    <row r="156" spans="1:11" x14ac:dyDescent="0.3">
      <c r="A156" t="s">
        <v>81</v>
      </c>
      <c r="B156" t="s">
        <v>15</v>
      </c>
      <c r="C156">
        <v>28</v>
      </c>
      <c r="D156" t="s">
        <v>13</v>
      </c>
      <c r="E156" s="4">
        <v>44486</v>
      </c>
      <c r="F156" t="s">
        <v>12</v>
      </c>
      <c r="G156" s="45">
        <v>104770</v>
      </c>
      <c r="H156" t="s">
        <v>207</v>
      </c>
      <c r="I156" s="5">
        <f ca="1">(TODAY()-Staff[[#This Row],[Date Joined]])/365</f>
        <v>2.9643835616438357</v>
      </c>
      <c r="J156" s="45">
        <f ca="1">ROUNDUP(IF(Staff[[#This Row],[Tenure]],3%,2%)*Staff[[#This Row],[Salary]],0)</f>
        <v>3144</v>
      </c>
      <c r="K156">
        <f>_xlfn.XLOOKUP(Staff[[#This Row],[Rating]],Sheet2!$B$3:$B$7,Sheet2!$C$3:$C$7)</f>
        <v>3</v>
      </c>
    </row>
    <row r="157" spans="1:11" x14ac:dyDescent="0.3">
      <c r="A157" t="s">
        <v>82</v>
      </c>
      <c r="B157" t="s">
        <v>8</v>
      </c>
      <c r="C157">
        <v>27</v>
      </c>
      <c r="D157" t="s">
        <v>13</v>
      </c>
      <c r="E157" s="4">
        <v>44134</v>
      </c>
      <c r="F157" t="s">
        <v>9</v>
      </c>
      <c r="G157" s="45">
        <v>54970</v>
      </c>
      <c r="H157" t="s">
        <v>207</v>
      </c>
      <c r="I157" s="5">
        <f ca="1">(TODAY()-Staff[[#This Row],[Date Joined]])/365</f>
        <v>3.9287671232876713</v>
      </c>
      <c r="J157" s="45">
        <f ca="1">ROUNDUP(IF(Staff[[#This Row],[Tenure]],3%,2%)*Staff[[#This Row],[Salary]],0)</f>
        <v>1650</v>
      </c>
      <c r="K157">
        <f>_xlfn.XLOOKUP(Staff[[#This Row],[Rating]],Sheet2!$B$3:$B$7,Sheet2!$C$3:$C$7)</f>
        <v>3</v>
      </c>
    </row>
    <row r="158" spans="1:11" x14ac:dyDescent="0.3">
      <c r="A158" t="s">
        <v>83</v>
      </c>
      <c r="B158" t="s">
        <v>206</v>
      </c>
      <c r="C158">
        <v>26</v>
      </c>
      <c r="D158" t="s">
        <v>10</v>
      </c>
      <c r="E158" s="4">
        <v>44271</v>
      </c>
      <c r="F158" t="s">
        <v>23</v>
      </c>
      <c r="G158" s="45">
        <v>90700</v>
      </c>
      <c r="H158" t="s">
        <v>207</v>
      </c>
      <c r="I158" s="5">
        <f ca="1">(TODAY()-Staff[[#This Row],[Date Joined]])/365</f>
        <v>3.5534246575342467</v>
      </c>
      <c r="J158" s="45">
        <f ca="1">ROUNDUP(IF(Staff[[#This Row],[Tenure]],3%,2%)*Staff[[#This Row],[Salary]],0)</f>
        <v>2721</v>
      </c>
      <c r="K158">
        <f>_xlfn.XLOOKUP(Staff[[#This Row],[Rating]],Sheet2!$B$3:$B$7,Sheet2!$C$3:$C$7)</f>
        <v>4</v>
      </c>
    </row>
    <row r="159" spans="1:11" x14ac:dyDescent="0.3">
      <c r="A159" t="s">
        <v>84</v>
      </c>
      <c r="B159" t="s">
        <v>15</v>
      </c>
      <c r="C159">
        <v>38</v>
      </c>
      <c r="D159" t="s">
        <v>10</v>
      </c>
      <c r="E159" s="4">
        <v>44329</v>
      </c>
      <c r="F159" t="s">
        <v>9</v>
      </c>
      <c r="G159" s="45">
        <v>56870</v>
      </c>
      <c r="H159" t="s">
        <v>207</v>
      </c>
      <c r="I159" s="5">
        <f ca="1">(TODAY()-Staff[[#This Row],[Date Joined]])/365</f>
        <v>3.3945205479452056</v>
      </c>
      <c r="J159" s="45">
        <f ca="1">ROUNDUP(IF(Staff[[#This Row],[Tenure]],3%,2%)*Staff[[#This Row],[Salary]],0)</f>
        <v>1707</v>
      </c>
      <c r="K159">
        <f>_xlfn.XLOOKUP(Staff[[#This Row],[Rating]],Sheet2!$B$3:$B$7,Sheet2!$C$3:$C$7)</f>
        <v>4</v>
      </c>
    </row>
    <row r="160" spans="1:11" x14ac:dyDescent="0.3">
      <c r="A160" t="s">
        <v>85</v>
      </c>
      <c r="B160" t="s">
        <v>15</v>
      </c>
      <c r="C160">
        <v>25</v>
      </c>
      <c r="D160" t="s">
        <v>13</v>
      </c>
      <c r="E160" s="4">
        <v>44205</v>
      </c>
      <c r="F160" t="s">
        <v>9</v>
      </c>
      <c r="G160" s="45">
        <v>92700</v>
      </c>
      <c r="H160" t="s">
        <v>207</v>
      </c>
      <c r="I160" s="5">
        <f ca="1">(TODAY()-Staff[[#This Row],[Date Joined]])/365</f>
        <v>3.7342465753424658</v>
      </c>
      <c r="J160" s="45">
        <f ca="1">ROUNDUP(IF(Staff[[#This Row],[Tenure]],3%,2%)*Staff[[#This Row],[Salary]],0)</f>
        <v>2781</v>
      </c>
      <c r="K160">
        <f>_xlfn.XLOOKUP(Staff[[#This Row],[Rating]],Sheet2!$B$3:$B$7,Sheet2!$C$3:$C$7)</f>
        <v>3</v>
      </c>
    </row>
    <row r="161" spans="1:11" x14ac:dyDescent="0.3">
      <c r="A161" t="s">
        <v>86</v>
      </c>
      <c r="B161" t="s">
        <v>15</v>
      </c>
      <c r="C161">
        <v>21</v>
      </c>
      <c r="D161" t="s">
        <v>13</v>
      </c>
      <c r="E161" s="4">
        <v>44317</v>
      </c>
      <c r="F161" t="s">
        <v>17</v>
      </c>
      <c r="G161" s="45">
        <v>65920</v>
      </c>
      <c r="H161" t="s">
        <v>207</v>
      </c>
      <c r="I161" s="5">
        <f ca="1">(TODAY()-Staff[[#This Row],[Date Joined]])/365</f>
        <v>3.4273972602739726</v>
      </c>
      <c r="J161" s="45">
        <f ca="1">ROUNDUP(IF(Staff[[#This Row],[Tenure]],3%,2%)*Staff[[#This Row],[Salary]],0)</f>
        <v>1978</v>
      </c>
      <c r="K161">
        <f>_xlfn.XLOOKUP(Staff[[#This Row],[Rating]],Sheet2!$B$3:$B$7,Sheet2!$C$3:$C$7)</f>
        <v>3</v>
      </c>
    </row>
    <row r="162" spans="1:11" x14ac:dyDescent="0.3">
      <c r="A162" t="s">
        <v>87</v>
      </c>
      <c r="B162" t="s">
        <v>8</v>
      </c>
      <c r="C162">
        <v>26</v>
      </c>
      <c r="D162" t="s">
        <v>13</v>
      </c>
      <c r="E162" s="4">
        <v>44225</v>
      </c>
      <c r="F162" t="s">
        <v>12</v>
      </c>
      <c r="G162" s="45">
        <v>47360</v>
      </c>
      <c r="H162" t="s">
        <v>207</v>
      </c>
      <c r="I162" s="5">
        <f ca="1">(TODAY()-Staff[[#This Row],[Date Joined]])/365</f>
        <v>3.6794520547945204</v>
      </c>
      <c r="J162" s="45">
        <f ca="1">ROUNDUP(IF(Staff[[#This Row],[Tenure]],3%,2%)*Staff[[#This Row],[Salary]],0)</f>
        <v>1421</v>
      </c>
      <c r="K162">
        <f>_xlfn.XLOOKUP(Staff[[#This Row],[Rating]],Sheet2!$B$3:$B$7,Sheet2!$C$3:$C$7)</f>
        <v>3</v>
      </c>
    </row>
    <row r="163" spans="1:11" x14ac:dyDescent="0.3">
      <c r="A163" t="s">
        <v>88</v>
      </c>
      <c r="B163" t="s">
        <v>8</v>
      </c>
      <c r="C163">
        <v>30</v>
      </c>
      <c r="D163" t="s">
        <v>13</v>
      </c>
      <c r="E163" s="4">
        <v>44666</v>
      </c>
      <c r="F163" t="s">
        <v>12</v>
      </c>
      <c r="G163" s="45">
        <v>60570</v>
      </c>
      <c r="H163" t="s">
        <v>207</v>
      </c>
      <c r="I163" s="5">
        <f ca="1">(TODAY()-Staff[[#This Row],[Date Joined]])/365</f>
        <v>2.4712328767123286</v>
      </c>
      <c r="J163" s="45">
        <f ca="1">ROUNDUP(IF(Staff[[#This Row],[Tenure]],3%,2%)*Staff[[#This Row],[Salary]],0)</f>
        <v>1818</v>
      </c>
      <c r="K163">
        <f>_xlfn.XLOOKUP(Staff[[#This Row],[Rating]],Sheet2!$B$3:$B$7,Sheet2!$C$3:$C$7)</f>
        <v>3</v>
      </c>
    </row>
    <row r="164" spans="1:11" x14ac:dyDescent="0.3">
      <c r="A164" t="s">
        <v>89</v>
      </c>
      <c r="B164" t="s">
        <v>15</v>
      </c>
      <c r="C164">
        <v>28</v>
      </c>
      <c r="D164" t="s">
        <v>13</v>
      </c>
      <c r="E164" s="4">
        <v>44649</v>
      </c>
      <c r="F164" t="s">
        <v>12</v>
      </c>
      <c r="G164" s="45">
        <v>104120</v>
      </c>
      <c r="H164" t="s">
        <v>207</v>
      </c>
      <c r="I164" s="5">
        <f ca="1">(TODAY()-Staff[[#This Row],[Date Joined]])/365</f>
        <v>2.5178082191780824</v>
      </c>
      <c r="J164" s="45">
        <f ca="1">ROUNDUP(IF(Staff[[#This Row],[Tenure]],3%,2%)*Staff[[#This Row],[Salary]],0)</f>
        <v>3124</v>
      </c>
      <c r="K164">
        <f>_xlfn.XLOOKUP(Staff[[#This Row],[Rating]],Sheet2!$B$3:$B$7,Sheet2!$C$3:$C$7)</f>
        <v>3</v>
      </c>
    </row>
    <row r="165" spans="1:11" x14ac:dyDescent="0.3">
      <c r="A165" t="s">
        <v>90</v>
      </c>
      <c r="B165" t="s">
        <v>8</v>
      </c>
      <c r="C165">
        <v>37</v>
      </c>
      <c r="D165" t="s">
        <v>18</v>
      </c>
      <c r="E165" s="4">
        <v>44338</v>
      </c>
      <c r="F165" t="s">
        <v>23</v>
      </c>
      <c r="G165" s="45">
        <v>88050</v>
      </c>
      <c r="H165" t="s">
        <v>207</v>
      </c>
      <c r="I165" s="5">
        <f ca="1">(TODAY()-Staff[[#This Row],[Date Joined]])/365</f>
        <v>3.3698630136986303</v>
      </c>
      <c r="J165" s="45">
        <f ca="1">ROUNDUP(IF(Staff[[#This Row],[Tenure]],3%,2%)*Staff[[#This Row],[Salary]],0)</f>
        <v>2642</v>
      </c>
      <c r="K165">
        <f>_xlfn.XLOOKUP(Staff[[#This Row],[Rating]],Sheet2!$B$3:$B$7,Sheet2!$C$3:$C$7)</f>
        <v>2</v>
      </c>
    </row>
    <row r="166" spans="1:11" x14ac:dyDescent="0.3">
      <c r="A166" t="s">
        <v>91</v>
      </c>
      <c r="B166" t="s">
        <v>8</v>
      </c>
      <c r="C166">
        <v>24</v>
      </c>
      <c r="D166" t="s">
        <v>13</v>
      </c>
      <c r="E166" s="4">
        <v>44686</v>
      </c>
      <c r="F166" t="s">
        <v>23</v>
      </c>
      <c r="G166" s="45">
        <v>100420</v>
      </c>
      <c r="H166" t="s">
        <v>207</v>
      </c>
      <c r="I166" s="5">
        <f ca="1">(TODAY()-Staff[[#This Row],[Date Joined]])/365</f>
        <v>2.4164383561643836</v>
      </c>
      <c r="J166" s="45">
        <f ca="1">ROUNDUP(IF(Staff[[#This Row],[Tenure]],3%,2%)*Staff[[#This Row],[Salary]],0)</f>
        <v>3013</v>
      </c>
      <c r="K166">
        <f>_xlfn.XLOOKUP(Staff[[#This Row],[Rating]],Sheet2!$B$3:$B$7,Sheet2!$C$3:$C$7)</f>
        <v>3</v>
      </c>
    </row>
    <row r="167" spans="1:11" x14ac:dyDescent="0.3">
      <c r="A167" t="s">
        <v>92</v>
      </c>
      <c r="B167" t="s">
        <v>15</v>
      </c>
      <c r="C167">
        <v>30</v>
      </c>
      <c r="D167" t="s">
        <v>13</v>
      </c>
      <c r="E167" s="4">
        <v>44850</v>
      </c>
      <c r="F167" t="s">
        <v>12</v>
      </c>
      <c r="G167" s="45">
        <v>114180</v>
      </c>
      <c r="H167" t="s">
        <v>207</v>
      </c>
      <c r="I167" s="5">
        <f ca="1">(TODAY()-Staff[[#This Row],[Date Joined]])/365</f>
        <v>1.9671232876712328</v>
      </c>
      <c r="J167" s="45">
        <f ca="1">ROUNDUP(IF(Staff[[#This Row],[Tenure]],3%,2%)*Staff[[#This Row],[Salary]],0)</f>
        <v>3426</v>
      </c>
      <c r="K167">
        <f>_xlfn.XLOOKUP(Staff[[#This Row],[Rating]],Sheet2!$B$3:$B$7,Sheet2!$C$3:$C$7)</f>
        <v>3</v>
      </c>
    </row>
    <row r="168" spans="1:11" x14ac:dyDescent="0.3">
      <c r="A168" t="s">
        <v>93</v>
      </c>
      <c r="B168" t="s">
        <v>15</v>
      </c>
      <c r="C168">
        <v>21</v>
      </c>
      <c r="D168" t="s">
        <v>13</v>
      </c>
      <c r="E168" s="4">
        <v>44678</v>
      </c>
      <c r="F168" t="s">
        <v>23</v>
      </c>
      <c r="G168" s="45">
        <v>33920</v>
      </c>
      <c r="H168" t="s">
        <v>207</v>
      </c>
      <c r="I168" s="5">
        <f ca="1">(TODAY()-Staff[[#This Row],[Date Joined]])/365</f>
        <v>2.4383561643835616</v>
      </c>
      <c r="J168" s="45">
        <f ca="1">ROUNDUP(IF(Staff[[#This Row],[Tenure]],3%,2%)*Staff[[#This Row],[Salary]],0)</f>
        <v>1018</v>
      </c>
      <c r="K168">
        <f>_xlfn.XLOOKUP(Staff[[#This Row],[Rating]],Sheet2!$B$3:$B$7,Sheet2!$C$3:$C$7)</f>
        <v>3</v>
      </c>
    </row>
    <row r="169" spans="1:11" x14ac:dyDescent="0.3">
      <c r="A169" t="s">
        <v>94</v>
      </c>
      <c r="B169" t="s">
        <v>8</v>
      </c>
      <c r="C169">
        <v>23</v>
      </c>
      <c r="D169" t="s">
        <v>13</v>
      </c>
      <c r="E169" s="4">
        <v>44440</v>
      </c>
      <c r="F169" t="s">
        <v>12</v>
      </c>
      <c r="G169" s="45">
        <v>106460</v>
      </c>
      <c r="H169" t="s">
        <v>207</v>
      </c>
      <c r="I169" s="5">
        <f ca="1">(TODAY()-Staff[[#This Row],[Date Joined]])/365</f>
        <v>3.0904109589041098</v>
      </c>
      <c r="J169" s="45">
        <f ca="1">ROUNDUP(IF(Staff[[#This Row],[Tenure]],3%,2%)*Staff[[#This Row],[Salary]],0)</f>
        <v>3194</v>
      </c>
      <c r="K169">
        <f>_xlfn.XLOOKUP(Staff[[#This Row],[Rating]],Sheet2!$B$3:$B$7,Sheet2!$C$3:$C$7)</f>
        <v>3</v>
      </c>
    </row>
    <row r="170" spans="1:11" x14ac:dyDescent="0.3">
      <c r="A170" t="s">
        <v>95</v>
      </c>
      <c r="B170" t="s">
        <v>8</v>
      </c>
      <c r="C170">
        <v>35</v>
      </c>
      <c r="D170" t="s">
        <v>13</v>
      </c>
      <c r="E170" s="4">
        <v>44727</v>
      </c>
      <c r="F170" t="s">
        <v>12</v>
      </c>
      <c r="G170" s="45">
        <v>40400</v>
      </c>
      <c r="H170" t="s">
        <v>207</v>
      </c>
      <c r="I170" s="5">
        <f ca="1">(TODAY()-Staff[[#This Row],[Date Joined]])/365</f>
        <v>2.3041095890410959</v>
      </c>
      <c r="J170" s="45">
        <f ca="1">ROUNDUP(IF(Staff[[#This Row],[Tenure]],3%,2%)*Staff[[#This Row],[Salary]],0)</f>
        <v>1212</v>
      </c>
      <c r="K170">
        <f>_xlfn.XLOOKUP(Staff[[#This Row],[Rating]],Sheet2!$B$3:$B$7,Sheet2!$C$3:$C$7)</f>
        <v>3</v>
      </c>
    </row>
    <row r="171" spans="1:11" x14ac:dyDescent="0.3">
      <c r="A171" t="s">
        <v>96</v>
      </c>
      <c r="B171" t="s">
        <v>8</v>
      </c>
      <c r="C171">
        <v>27</v>
      </c>
      <c r="D171" t="s">
        <v>10</v>
      </c>
      <c r="E171" s="4">
        <v>44236</v>
      </c>
      <c r="F171" t="s">
        <v>17</v>
      </c>
      <c r="G171" s="45">
        <v>91650</v>
      </c>
      <c r="H171" t="s">
        <v>207</v>
      </c>
      <c r="I171" s="5">
        <f ca="1">(TODAY()-Staff[[#This Row],[Date Joined]])/365</f>
        <v>3.6493150684931508</v>
      </c>
      <c r="J171" s="45">
        <f ca="1">ROUNDUP(IF(Staff[[#This Row],[Tenure]],3%,2%)*Staff[[#This Row],[Salary]],0)</f>
        <v>2750</v>
      </c>
      <c r="K171">
        <f>_xlfn.XLOOKUP(Staff[[#This Row],[Rating]],Sheet2!$B$3:$B$7,Sheet2!$C$3:$C$7)</f>
        <v>4</v>
      </c>
    </row>
    <row r="172" spans="1:11" x14ac:dyDescent="0.3">
      <c r="A172" t="s">
        <v>97</v>
      </c>
      <c r="B172" t="s">
        <v>8</v>
      </c>
      <c r="C172">
        <v>43</v>
      </c>
      <c r="D172" t="s">
        <v>13</v>
      </c>
      <c r="E172" s="4">
        <v>44620</v>
      </c>
      <c r="F172" t="s">
        <v>9</v>
      </c>
      <c r="G172" s="45">
        <v>36040</v>
      </c>
      <c r="H172" t="s">
        <v>207</v>
      </c>
      <c r="I172" s="5">
        <f ca="1">(TODAY()-Staff[[#This Row],[Date Joined]])/365</f>
        <v>2.5972602739726027</v>
      </c>
      <c r="J172" s="45">
        <f ca="1">ROUNDUP(IF(Staff[[#This Row],[Tenure]],3%,2%)*Staff[[#This Row],[Salary]],0)</f>
        <v>1082</v>
      </c>
      <c r="K172">
        <f>_xlfn.XLOOKUP(Staff[[#This Row],[Rating]],Sheet2!$B$3:$B$7,Sheet2!$C$3:$C$7)</f>
        <v>3</v>
      </c>
    </row>
    <row r="173" spans="1:11" x14ac:dyDescent="0.3">
      <c r="A173" t="s">
        <v>98</v>
      </c>
      <c r="B173" t="s">
        <v>15</v>
      </c>
      <c r="C173">
        <v>40</v>
      </c>
      <c r="D173" t="s">
        <v>13</v>
      </c>
      <c r="E173" s="4">
        <v>44381</v>
      </c>
      <c r="F173" t="s">
        <v>23</v>
      </c>
      <c r="G173" s="45">
        <v>104410</v>
      </c>
      <c r="H173" t="s">
        <v>207</v>
      </c>
      <c r="I173" s="5">
        <f ca="1">(TODAY()-Staff[[#This Row],[Date Joined]])/365</f>
        <v>3.2520547945205478</v>
      </c>
      <c r="J173" s="45">
        <f ca="1">ROUNDUP(IF(Staff[[#This Row],[Tenure]],3%,2%)*Staff[[#This Row],[Salary]],0)</f>
        <v>3133</v>
      </c>
      <c r="K173">
        <f>_xlfn.XLOOKUP(Staff[[#This Row],[Rating]],Sheet2!$B$3:$B$7,Sheet2!$C$3:$C$7)</f>
        <v>3</v>
      </c>
    </row>
    <row r="174" spans="1:11" x14ac:dyDescent="0.3">
      <c r="A174" t="s">
        <v>99</v>
      </c>
      <c r="B174" t="s">
        <v>8</v>
      </c>
      <c r="C174">
        <v>30</v>
      </c>
      <c r="D174" t="s">
        <v>13</v>
      </c>
      <c r="E174" s="4">
        <v>44606</v>
      </c>
      <c r="F174" t="s">
        <v>17</v>
      </c>
      <c r="G174" s="45">
        <v>96800</v>
      </c>
      <c r="H174" t="s">
        <v>207</v>
      </c>
      <c r="I174" s="5">
        <f ca="1">(TODAY()-Staff[[#This Row],[Date Joined]])/365</f>
        <v>2.6356164383561644</v>
      </c>
      <c r="J174" s="45">
        <f ca="1">ROUNDUP(IF(Staff[[#This Row],[Tenure]],3%,2%)*Staff[[#This Row],[Salary]],0)</f>
        <v>2904</v>
      </c>
      <c r="K174">
        <f>_xlfn.XLOOKUP(Staff[[#This Row],[Rating]],Sheet2!$B$3:$B$7,Sheet2!$C$3:$C$7)</f>
        <v>3</v>
      </c>
    </row>
    <row r="175" spans="1:11" x14ac:dyDescent="0.3">
      <c r="A175" t="s">
        <v>100</v>
      </c>
      <c r="B175" t="s">
        <v>15</v>
      </c>
      <c r="C175">
        <v>34</v>
      </c>
      <c r="D175" t="s">
        <v>13</v>
      </c>
      <c r="E175" s="4">
        <v>44459</v>
      </c>
      <c r="F175" t="s">
        <v>17</v>
      </c>
      <c r="G175" s="45">
        <v>85000</v>
      </c>
      <c r="H175" t="s">
        <v>207</v>
      </c>
      <c r="I175" s="5">
        <f ca="1">(TODAY()-Staff[[#This Row],[Date Joined]])/365</f>
        <v>3.0383561643835617</v>
      </c>
      <c r="J175" s="45">
        <f ca="1">ROUNDUP(IF(Staff[[#This Row],[Tenure]],3%,2%)*Staff[[#This Row],[Salary]],0)</f>
        <v>2550</v>
      </c>
      <c r="K175">
        <f>_xlfn.XLOOKUP(Staff[[#This Row],[Rating]],Sheet2!$B$3:$B$7,Sheet2!$C$3:$C$7)</f>
        <v>3</v>
      </c>
    </row>
    <row r="176" spans="1:11" x14ac:dyDescent="0.3">
      <c r="A176" t="s">
        <v>101</v>
      </c>
      <c r="B176" t="s">
        <v>8</v>
      </c>
      <c r="C176">
        <v>28</v>
      </c>
      <c r="D176" t="s">
        <v>49</v>
      </c>
      <c r="E176" s="4">
        <v>44820</v>
      </c>
      <c r="F176" t="s">
        <v>9</v>
      </c>
      <c r="G176" s="45">
        <v>43510</v>
      </c>
      <c r="H176" t="s">
        <v>207</v>
      </c>
      <c r="I176" s="5">
        <f ca="1">(TODAY()-Staff[[#This Row],[Date Joined]])/365</f>
        <v>2.0493150684931507</v>
      </c>
      <c r="J176" s="45">
        <f ca="1">ROUNDUP(IF(Staff[[#This Row],[Tenure]],3%,2%)*Staff[[#This Row],[Salary]],0)</f>
        <v>1306</v>
      </c>
      <c r="K176">
        <f>_xlfn.XLOOKUP(Staff[[#This Row],[Rating]],Sheet2!$B$3:$B$7,Sheet2!$C$3:$C$7)</f>
        <v>1</v>
      </c>
    </row>
    <row r="177" spans="1:11" x14ac:dyDescent="0.3">
      <c r="A177" t="s">
        <v>102</v>
      </c>
      <c r="B177" t="s">
        <v>8</v>
      </c>
      <c r="C177">
        <v>33</v>
      </c>
      <c r="D177" t="s">
        <v>13</v>
      </c>
      <c r="E177" s="4">
        <v>44243</v>
      </c>
      <c r="F177" t="s">
        <v>17</v>
      </c>
      <c r="G177" s="45">
        <v>59430</v>
      </c>
      <c r="H177" t="s">
        <v>207</v>
      </c>
      <c r="I177" s="5">
        <f ca="1">(TODAY()-Staff[[#This Row],[Date Joined]])/365</f>
        <v>3.6301369863013697</v>
      </c>
      <c r="J177" s="45">
        <f ca="1">ROUNDUP(IF(Staff[[#This Row],[Tenure]],3%,2%)*Staff[[#This Row],[Salary]],0)</f>
        <v>1783</v>
      </c>
      <c r="K177">
        <f>_xlfn.XLOOKUP(Staff[[#This Row],[Rating]],Sheet2!$B$3:$B$7,Sheet2!$C$3:$C$7)</f>
        <v>3</v>
      </c>
    </row>
    <row r="178" spans="1:11" x14ac:dyDescent="0.3">
      <c r="A178" t="s">
        <v>103</v>
      </c>
      <c r="B178" t="s">
        <v>15</v>
      </c>
      <c r="C178">
        <v>33</v>
      </c>
      <c r="D178" t="s">
        <v>13</v>
      </c>
      <c r="E178" s="4">
        <v>44067</v>
      </c>
      <c r="F178" t="s">
        <v>17</v>
      </c>
      <c r="G178" s="45">
        <v>65360</v>
      </c>
      <c r="H178" t="s">
        <v>207</v>
      </c>
      <c r="I178" s="5">
        <f ca="1">(TODAY()-Staff[[#This Row],[Date Joined]])/365</f>
        <v>4.1123287671232873</v>
      </c>
      <c r="J178" s="45">
        <f ca="1">ROUNDUP(IF(Staff[[#This Row],[Tenure]],3%,2%)*Staff[[#This Row],[Salary]],0)</f>
        <v>1961</v>
      </c>
      <c r="K178">
        <f>_xlfn.XLOOKUP(Staff[[#This Row],[Rating]],Sheet2!$B$3:$B$7,Sheet2!$C$3:$C$7)</f>
        <v>3</v>
      </c>
    </row>
    <row r="179" spans="1:11" x14ac:dyDescent="0.3">
      <c r="A179" t="s">
        <v>104</v>
      </c>
      <c r="B179" t="s">
        <v>15</v>
      </c>
      <c r="C179">
        <v>32</v>
      </c>
      <c r="D179" t="s">
        <v>13</v>
      </c>
      <c r="E179" s="4">
        <v>44611</v>
      </c>
      <c r="F179" t="s">
        <v>12</v>
      </c>
      <c r="G179" s="45">
        <v>41570</v>
      </c>
      <c r="H179" t="s">
        <v>207</v>
      </c>
      <c r="I179" s="5">
        <f ca="1">(TODAY()-Staff[[#This Row],[Date Joined]])/365</f>
        <v>2.6219178082191781</v>
      </c>
      <c r="J179" s="45">
        <f ca="1">ROUNDUP(IF(Staff[[#This Row],[Tenure]],3%,2%)*Staff[[#This Row],[Salary]],0)</f>
        <v>1248</v>
      </c>
      <c r="K179">
        <f>_xlfn.XLOOKUP(Staff[[#This Row],[Rating]],Sheet2!$B$3:$B$7,Sheet2!$C$3:$C$7)</f>
        <v>3</v>
      </c>
    </row>
    <row r="180" spans="1:11" x14ac:dyDescent="0.3">
      <c r="A180" t="s">
        <v>105</v>
      </c>
      <c r="B180" t="s">
        <v>15</v>
      </c>
      <c r="C180">
        <v>33</v>
      </c>
      <c r="D180" t="s">
        <v>13</v>
      </c>
      <c r="E180" s="4">
        <v>44312</v>
      </c>
      <c r="F180" t="s">
        <v>23</v>
      </c>
      <c r="G180" s="45">
        <v>75280</v>
      </c>
      <c r="H180" t="s">
        <v>207</v>
      </c>
      <c r="I180" s="5">
        <f ca="1">(TODAY()-Staff[[#This Row],[Date Joined]])/365</f>
        <v>3.441095890410959</v>
      </c>
      <c r="J180" s="45">
        <f ca="1">ROUNDUP(IF(Staff[[#This Row],[Tenure]],3%,2%)*Staff[[#This Row],[Salary]],0)</f>
        <v>2259</v>
      </c>
      <c r="K180">
        <f>_xlfn.XLOOKUP(Staff[[#This Row],[Rating]],Sheet2!$B$3:$B$7,Sheet2!$C$3:$C$7)</f>
        <v>3</v>
      </c>
    </row>
    <row r="181" spans="1:11" x14ac:dyDescent="0.3">
      <c r="A181" t="s">
        <v>106</v>
      </c>
      <c r="B181" t="s">
        <v>8</v>
      </c>
      <c r="C181">
        <v>33</v>
      </c>
      <c r="D181" t="s">
        <v>13</v>
      </c>
      <c r="E181" s="4">
        <v>44385</v>
      </c>
      <c r="F181" t="s">
        <v>9</v>
      </c>
      <c r="G181" s="45">
        <v>74550</v>
      </c>
      <c r="H181" t="s">
        <v>207</v>
      </c>
      <c r="I181" s="5">
        <f ca="1">(TODAY()-Staff[[#This Row],[Date Joined]])/365</f>
        <v>3.2410958904109588</v>
      </c>
      <c r="J181" s="45">
        <f ca="1">ROUNDUP(IF(Staff[[#This Row],[Tenure]],3%,2%)*Staff[[#This Row],[Salary]],0)</f>
        <v>2237</v>
      </c>
      <c r="K181">
        <f>_xlfn.XLOOKUP(Staff[[#This Row],[Rating]],Sheet2!$B$3:$B$7,Sheet2!$C$3:$C$7)</f>
        <v>3</v>
      </c>
    </row>
    <row r="182" spans="1:11" x14ac:dyDescent="0.3">
      <c r="A182" t="s">
        <v>107</v>
      </c>
      <c r="B182" t="s">
        <v>8</v>
      </c>
      <c r="C182">
        <v>30</v>
      </c>
      <c r="D182" t="s">
        <v>13</v>
      </c>
      <c r="E182" s="4">
        <v>44701</v>
      </c>
      <c r="F182" t="s">
        <v>12</v>
      </c>
      <c r="G182" s="45">
        <v>67950</v>
      </c>
      <c r="H182" t="s">
        <v>207</v>
      </c>
      <c r="I182" s="5">
        <f ca="1">(TODAY()-Staff[[#This Row],[Date Joined]])/365</f>
        <v>2.3753424657534246</v>
      </c>
      <c r="J182" s="45">
        <f ca="1">ROUNDUP(IF(Staff[[#This Row],[Tenure]],3%,2%)*Staff[[#This Row],[Salary]],0)</f>
        <v>2039</v>
      </c>
      <c r="K182">
        <f>_xlfn.XLOOKUP(Staff[[#This Row],[Rating]],Sheet2!$B$3:$B$7,Sheet2!$C$3:$C$7)</f>
        <v>3</v>
      </c>
    </row>
    <row r="183" spans="1:11" x14ac:dyDescent="0.3">
      <c r="A183" t="s">
        <v>108</v>
      </c>
      <c r="B183" t="s">
        <v>8</v>
      </c>
      <c r="C183">
        <v>42</v>
      </c>
      <c r="D183" t="s">
        <v>18</v>
      </c>
      <c r="E183" s="4">
        <v>44731</v>
      </c>
      <c r="F183" t="s">
        <v>17</v>
      </c>
      <c r="G183" s="45">
        <v>70270</v>
      </c>
      <c r="H183" t="s">
        <v>207</v>
      </c>
      <c r="I183" s="5">
        <f ca="1">(TODAY()-Staff[[#This Row],[Date Joined]])/365</f>
        <v>2.2931506849315069</v>
      </c>
      <c r="J183" s="45">
        <f ca="1">ROUNDUP(IF(Staff[[#This Row],[Tenure]],3%,2%)*Staff[[#This Row],[Salary]],0)</f>
        <v>2109</v>
      </c>
      <c r="K183">
        <f>_xlfn.XLOOKUP(Staff[[#This Row],[Rating]],Sheet2!$B$3:$B$7,Sheet2!$C$3:$C$7)</f>
        <v>2</v>
      </c>
    </row>
    <row r="184" spans="1:11" x14ac:dyDescent="0.3">
      <c r="A184" t="s">
        <v>109</v>
      </c>
      <c r="B184" t="s">
        <v>8</v>
      </c>
      <c r="C184">
        <v>26</v>
      </c>
      <c r="D184" t="s">
        <v>13</v>
      </c>
      <c r="E184" s="4">
        <v>44411</v>
      </c>
      <c r="F184" t="s">
        <v>12</v>
      </c>
      <c r="G184" s="45">
        <v>53540</v>
      </c>
      <c r="H184" t="s">
        <v>207</v>
      </c>
      <c r="I184" s="5">
        <f ca="1">(TODAY()-Staff[[#This Row],[Date Joined]])/365</f>
        <v>3.1698630136986301</v>
      </c>
      <c r="J184" s="45">
        <f ca="1">ROUNDUP(IF(Staff[[#This Row],[Tenure]],3%,2%)*Staff[[#This Row],[Salary]],0)</f>
        <v>1607</v>
      </c>
      <c r="K184">
        <f>_xlfn.XLOOKUP(Staff[[#This Row],[Rating]],Sheet2!$B$3:$B$7,Sheet2!$C$3:$C$7)</f>
        <v>3</v>
      </c>
    </row>
  </sheetData>
  <phoneticPr fontId="7"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3E6B-FECA-4909-84B2-5415D08C9833}">
  <sheetPr>
    <tabColor theme="5" tint="-0.249977111117893"/>
  </sheetPr>
  <dimension ref="B2:L18"/>
  <sheetViews>
    <sheetView topLeftCell="B1" workbookViewId="0">
      <selection activeCell="B11" sqref="B11"/>
    </sheetView>
  </sheetViews>
  <sheetFormatPr defaultRowHeight="14.4" x14ac:dyDescent="0.3"/>
  <cols>
    <col min="2" max="2" width="20.33203125" bestFit="1" customWidth="1"/>
    <col min="6" max="6" width="10.33203125" bestFit="1" customWidth="1"/>
  </cols>
  <sheetData>
    <row r="2" spans="2:12" ht="18" x14ac:dyDescent="0.35">
      <c r="B2" s="19">
        <v>3</v>
      </c>
      <c r="C2" s="57" t="s">
        <v>218</v>
      </c>
      <c r="D2" s="57"/>
    </row>
    <row r="5" spans="2:12" x14ac:dyDescent="0.3">
      <c r="B5" s="22" t="s">
        <v>219</v>
      </c>
      <c r="C5" s="23" t="s">
        <v>26</v>
      </c>
    </row>
    <row r="7" spans="2:12" x14ac:dyDescent="0.3">
      <c r="B7" t="s">
        <v>220</v>
      </c>
      <c r="C7">
        <f>COUNTIFS(Staff[Department],C5)</f>
        <v>8</v>
      </c>
    </row>
    <row r="10" spans="2:12" x14ac:dyDescent="0.3">
      <c r="B10">
        <v>1</v>
      </c>
      <c r="C10">
        <v>2</v>
      </c>
      <c r="D10">
        <v>3</v>
      </c>
      <c r="E10">
        <v>4</v>
      </c>
      <c r="F10">
        <v>5</v>
      </c>
      <c r="G10">
        <v>6</v>
      </c>
      <c r="H10">
        <v>7</v>
      </c>
      <c r="I10">
        <v>8</v>
      </c>
      <c r="J10">
        <v>9</v>
      </c>
    </row>
    <row r="11" spans="2:12" x14ac:dyDescent="0.3">
      <c r="B11" t="str" cm="1">
        <f t="array" aca="1" ref="B11:L18" ca="1">_xlfn._xlws.FILTER(Staff[],Staff[Department]=C5)</f>
        <v>Madhavdas Buhpathi</v>
      </c>
      <c r="C11" t="str">
        <f ca="1"/>
        <v>Female</v>
      </c>
      <c r="D11">
        <f ca="1"/>
        <v>32</v>
      </c>
      <c r="E11" t="str">
        <f ca="1"/>
        <v>Average</v>
      </c>
      <c r="F11" s="24">
        <f ca="1"/>
        <v>44339</v>
      </c>
      <c r="G11" t="str">
        <f ca="1"/>
        <v>HR</v>
      </c>
      <c r="H11">
        <f ca="1"/>
        <v>45510</v>
      </c>
      <c r="I11" t="str">
        <f ca="1"/>
        <v>IND</v>
      </c>
      <c r="J11">
        <f ca="1"/>
        <v>3.3671232876712329</v>
      </c>
      <c r="K11">
        <f ca="1"/>
        <v>1366</v>
      </c>
      <c r="L11">
        <f ca="1"/>
        <v>3</v>
      </c>
    </row>
    <row r="12" spans="2:12" x14ac:dyDescent="0.3">
      <c r="B12" t="str">
        <f ca="1"/>
        <v>Anjushri Chandiramani</v>
      </c>
      <c r="C12" t="str">
        <f ca="1"/>
        <v>Female</v>
      </c>
      <c r="D12">
        <f ca="1"/>
        <v>27</v>
      </c>
      <c r="E12" t="str">
        <f ca="1"/>
        <v>Average</v>
      </c>
      <c r="F12" s="24">
        <f ca="1"/>
        <v>44061</v>
      </c>
      <c r="G12" t="str">
        <f ca="1"/>
        <v>HR</v>
      </c>
      <c r="H12">
        <f ca="1"/>
        <v>119110</v>
      </c>
      <c r="I12" t="str">
        <f ca="1"/>
        <v>IND</v>
      </c>
      <c r="J12">
        <f ca="1"/>
        <v>4.1287671232876715</v>
      </c>
      <c r="K12">
        <f ca="1"/>
        <v>3574</v>
      </c>
      <c r="L12">
        <f ca="1"/>
        <v>3</v>
      </c>
    </row>
    <row r="13" spans="2:12" x14ac:dyDescent="0.3">
      <c r="B13" t="str">
        <f ca="1"/>
        <v>Sameer Shashank Sapra</v>
      </c>
      <c r="C13" t="str">
        <f ca="1"/>
        <v>Male</v>
      </c>
      <c r="D13">
        <f ca="1"/>
        <v>21</v>
      </c>
      <c r="E13" t="str">
        <f ca="1"/>
        <v>Average</v>
      </c>
      <c r="F13" s="24">
        <f ca="1"/>
        <v>44180</v>
      </c>
      <c r="G13" t="str">
        <f ca="1"/>
        <v>HR</v>
      </c>
      <c r="H13">
        <f ca="1"/>
        <v>75880</v>
      </c>
      <c r="I13" t="str">
        <f ca="1"/>
        <v>IND</v>
      </c>
      <c r="J13">
        <f ca="1"/>
        <v>3.8027397260273972</v>
      </c>
      <c r="K13">
        <f ca="1"/>
        <v>2277</v>
      </c>
      <c r="L13">
        <f ca="1"/>
        <v>3</v>
      </c>
    </row>
    <row r="14" spans="2:12" x14ac:dyDescent="0.3">
      <c r="B14" t="str">
        <f ca="1"/>
        <v>Kaishori Harathi Kateel</v>
      </c>
      <c r="C14" t="str">
        <f ca="1"/>
        <v>Female</v>
      </c>
      <c r="D14">
        <f ca="1"/>
        <v>37</v>
      </c>
      <c r="E14" t="str">
        <f ca="1"/>
        <v>Average</v>
      </c>
      <c r="F14" s="24">
        <f ca="1"/>
        <v>44389</v>
      </c>
      <c r="G14" t="str">
        <f ca="1"/>
        <v>HR</v>
      </c>
      <c r="H14">
        <f ca="1"/>
        <v>118100</v>
      </c>
      <c r="I14" t="str">
        <f ca="1"/>
        <v>IND</v>
      </c>
      <c r="J14">
        <f ca="1"/>
        <v>3.2301369863013698</v>
      </c>
      <c r="K14">
        <f ca="1"/>
        <v>3543</v>
      </c>
      <c r="L14">
        <f ca="1"/>
        <v>3</v>
      </c>
    </row>
    <row r="15" spans="2:12" x14ac:dyDescent="0.3">
      <c r="B15" t="str">
        <f ca="1"/>
        <v>Ewart Laphorn</v>
      </c>
      <c r="C15" t="str">
        <f ca="1"/>
        <v>Female</v>
      </c>
      <c r="D15">
        <f ca="1"/>
        <v>27</v>
      </c>
      <c r="E15" t="str">
        <f ca="1"/>
        <v>Average</v>
      </c>
      <c r="F15" s="24">
        <f ca="1"/>
        <v>44122</v>
      </c>
      <c r="G15" t="str">
        <f ca="1"/>
        <v>HR</v>
      </c>
      <c r="H15">
        <f ca="1"/>
        <v>119110</v>
      </c>
      <c r="I15" t="str">
        <f ca="1"/>
        <v>NZ</v>
      </c>
      <c r="J15">
        <f ca="1"/>
        <v>3.9616438356164383</v>
      </c>
      <c r="K15">
        <f ca="1"/>
        <v>3574</v>
      </c>
      <c r="L15">
        <f ca="1"/>
        <v>3</v>
      </c>
    </row>
    <row r="16" spans="2:12" x14ac:dyDescent="0.3">
      <c r="B16" t="str">
        <f ca="1"/>
        <v>Shari McNee</v>
      </c>
      <c r="C16" t="str">
        <f ca="1"/>
        <v>Male</v>
      </c>
      <c r="D16">
        <f ca="1"/>
        <v>21</v>
      </c>
      <c r="E16" t="str">
        <f ca="1"/>
        <v>Average</v>
      </c>
      <c r="F16" s="24">
        <f ca="1"/>
        <v>44242</v>
      </c>
      <c r="G16" t="str">
        <f ca="1"/>
        <v>HR</v>
      </c>
      <c r="H16">
        <f ca="1"/>
        <v>75880</v>
      </c>
      <c r="I16" t="str">
        <f ca="1"/>
        <v>NZ</v>
      </c>
      <c r="J16">
        <f ca="1"/>
        <v>3.6328767123287671</v>
      </c>
      <c r="K16">
        <f ca="1"/>
        <v>2277</v>
      </c>
      <c r="L16">
        <f ca="1"/>
        <v>3</v>
      </c>
    </row>
    <row r="17" spans="2:12" x14ac:dyDescent="0.3">
      <c r="B17" t="str">
        <f ca="1"/>
        <v>Florinda Crace</v>
      </c>
      <c r="C17" t="str">
        <f ca="1"/>
        <v>Female</v>
      </c>
      <c r="D17">
        <f ca="1"/>
        <v>32</v>
      </c>
      <c r="E17" t="str">
        <f ca="1"/>
        <v>Average</v>
      </c>
      <c r="F17" s="24">
        <f ca="1"/>
        <v>44400</v>
      </c>
      <c r="G17" t="str">
        <f ca="1"/>
        <v>HR</v>
      </c>
      <c r="H17">
        <f ca="1"/>
        <v>45510</v>
      </c>
      <c r="I17" t="str">
        <f ca="1"/>
        <v>NZ</v>
      </c>
      <c r="J17">
        <f ca="1"/>
        <v>3.2</v>
      </c>
      <c r="K17">
        <f ca="1"/>
        <v>1366</v>
      </c>
      <c r="L17">
        <f ca="1"/>
        <v>3</v>
      </c>
    </row>
    <row r="18" spans="2:12" x14ac:dyDescent="0.3">
      <c r="B18" t="str">
        <f ca="1"/>
        <v>Valentia Etteridge</v>
      </c>
      <c r="C18" t="str">
        <f ca="1"/>
        <v>Female</v>
      </c>
      <c r="D18">
        <f ca="1"/>
        <v>37</v>
      </c>
      <c r="E18" t="str">
        <f ca="1"/>
        <v>Average</v>
      </c>
      <c r="F18" s="24">
        <f ca="1"/>
        <v>44451</v>
      </c>
      <c r="G18" t="str">
        <f ca="1"/>
        <v>HR</v>
      </c>
      <c r="H18">
        <f ca="1"/>
        <v>118100</v>
      </c>
      <c r="I18" t="str">
        <f ca="1"/>
        <v>NZ</v>
      </c>
      <c r="J18">
        <f ca="1"/>
        <v>3.0602739726027397</v>
      </c>
      <c r="K18">
        <f ca="1"/>
        <v>3543</v>
      </c>
      <c r="L18">
        <f ca="1"/>
        <v>3</v>
      </c>
    </row>
  </sheetData>
  <mergeCells count="1">
    <mergeCell ref="C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98C3A-345D-41F2-B488-59B8A83842D5}">
  <sheetPr>
    <tabColor theme="7" tint="-0.249977111117893"/>
  </sheetPr>
  <dimension ref="B2:D10"/>
  <sheetViews>
    <sheetView workbookViewId="0">
      <selection activeCell="C7" sqref="C7"/>
    </sheetView>
  </sheetViews>
  <sheetFormatPr defaultRowHeight="14.4" x14ac:dyDescent="0.3"/>
  <cols>
    <col min="1" max="1" width="15.5546875" bestFit="1" customWidth="1"/>
    <col min="2" max="2" width="16" bestFit="1" customWidth="1"/>
    <col min="3" max="3" width="15.5546875" bestFit="1" customWidth="1"/>
    <col min="4" max="4" width="6" bestFit="1" customWidth="1"/>
    <col min="5" max="6" width="12" bestFit="1" customWidth="1"/>
    <col min="7" max="7" width="9.33203125" bestFit="1" customWidth="1"/>
    <col min="8" max="8" width="13.6640625" bestFit="1" customWidth="1"/>
    <col min="9" max="9" width="12" bestFit="1" customWidth="1"/>
    <col min="10" max="10" width="6" bestFit="1" customWidth="1"/>
    <col min="11" max="11" width="9.33203125" bestFit="1" customWidth="1"/>
    <col min="12" max="12" width="13.6640625" bestFit="1" customWidth="1"/>
    <col min="13" max="13" width="7.88671875" bestFit="1" customWidth="1"/>
    <col min="14" max="14" width="7" bestFit="1" customWidth="1"/>
    <col min="15" max="15" width="12" bestFit="1" customWidth="1"/>
  </cols>
  <sheetData>
    <row r="2" spans="2:4" ht="18" x14ac:dyDescent="0.35">
      <c r="B2" s="19">
        <v>4</v>
      </c>
      <c r="C2" s="58" t="s">
        <v>221</v>
      </c>
      <c r="D2" s="58"/>
    </row>
    <row r="5" spans="2:4" x14ac:dyDescent="0.3">
      <c r="C5" s="25" t="s">
        <v>222</v>
      </c>
    </row>
    <row r="6" spans="2:4" x14ac:dyDescent="0.3">
      <c r="B6" s="25" t="s">
        <v>224</v>
      </c>
      <c r="C6" t="s">
        <v>15</v>
      </c>
      <c r="D6" t="s">
        <v>8</v>
      </c>
    </row>
    <row r="7" spans="2:4" x14ac:dyDescent="0.3">
      <c r="B7" s="26" t="s">
        <v>223</v>
      </c>
      <c r="C7">
        <v>43</v>
      </c>
      <c r="D7">
        <v>45</v>
      </c>
    </row>
    <row r="8" spans="2:4" x14ac:dyDescent="0.3">
      <c r="B8" s="26" t="s">
        <v>225</v>
      </c>
      <c r="C8" s="27">
        <v>78284.186046511633</v>
      </c>
      <c r="D8" s="27">
        <v>75334.444444444438</v>
      </c>
    </row>
    <row r="9" spans="2:4" x14ac:dyDescent="0.3">
      <c r="B9" s="26" t="s">
        <v>226</v>
      </c>
      <c r="C9" s="27">
        <v>31.418604651162791</v>
      </c>
      <c r="D9" s="27">
        <v>29.444444444444443</v>
      </c>
    </row>
    <row r="10" spans="2:4" x14ac:dyDescent="0.3">
      <c r="B10" s="26" t="s">
        <v>227</v>
      </c>
      <c r="C10" s="5">
        <v>3.192736540299459</v>
      </c>
      <c r="D10" s="5">
        <v>3.1757686453576865</v>
      </c>
    </row>
  </sheetData>
  <mergeCells count="1">
    <mergeCell ref="C2:D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4A5E1-869D-4A35-95F9-C3E027592D22}">
  <sheetPr>
    <tabColor theme="9" tint="-0.249977111117893"/>
  </sheetPr>
  <dimension ref="A2:K15"/>
  <sheetViews>
    <sheetView workbookViewId="0">
      <selection activeCell="O18" sqref="O18"/>
    </sheetView>
  </sheetViews>
  <sheetFormatPr defaultRowHeight="14.4" x14ac:dyDescent="0.3"/>
  <cols>
    <col min="2" max="2" width="26.21875" bestFit="1" customWidth="1"/>
  </cols>
  <sheetData>
    <row r="2" spans="1:11" ht="21" x14ac:dyDescent="0.4">
      <c r="A2" s="43">
        <v>5</v>
      </c>
      <c r="B2" s="44" t="s">
        <v>229</v>
      </c>
    </row>
    <row r="5" spans="1:11" x14ac:dyDescent="0.3">
      <c r="B5" s="31" t="s">
        <v>0</v>
      </c>
      <c r="C5" s="28" t="s">
        <v>1</v>
      </c>
      <c r="D5" s="28" t="s">
        <v>3</v>
      </c>
      <c r="E5" s="28" t="s">
        <v>6</v>
      </c>
      <c r="F5" s="40" t="s">
        <v>4</v>
      </c>
      <c r="G5" s="28" t="s">
        <v>2</v>
      </c>
      <c r="H5" s="28" t="s">
        <v>5</v>
      </c>
      <c r="I5" s="28" t="s">
        <v>205</v>
      </c>
      <c r="J5" s="41" t="s">
        <v>214</v>
      </c>
      <c r="K5" s="42" t="s">
        <v>228</v>
      </c>
    </row>
    <row r="6" spans="1:11" x14ac:dyDescent="0.3">
      <c r="B6" s="32" t="s">
        <v>114</v>
      </c>
      <c r="C6" s="29" t="s">
        <v>206</v>
      </c>
      <c r="D6" s="29">
        <v>37</v>
      </c>
      <c r="E6" s="29" t="s">
        <v>18</v>
      </c>
      <c r="F6" s="34">
        <v>44085</v>
      </c>
      <c r="G6" s="29" t="s">
        <v>17</v>
      </c>
      <c r="H6" s="29">
        <v>115440</v>
      </c>
      <c r="I6" s="29" t="s">
        <v>204</v>
      </c>
      <c r="J6" s="35">
        <v>4.0602739726027401</v>
      </c>
      <c r="K6" s="36">
        <v>3464</v>
      </c>
    </row>
    <row r="7" spans="1:11" x14ac:dyDescent="0.3">
      <c r="B7" s="33" t="s">
        <v>126</v>
      </c>
      <c r="C7" s="30" t="s">
        <v>8</v>
      </c>
      <c r="D7" s="30">
        <v>36</v>
      </c>
      <c r="E7" s="30" t="s">
        <v>13</v>
      </c>
      <c r="F7" s="37">
        <v>43958</v>
      </c>
      <c r="G7" s="30" t="s">
        <v>23</v>
      </c>
      <c r="H7" s="30">
        <v>118840</v>
      </c>
      <c r="I7" s="30" t="s">
        <v>204</v>
      </c>
      <c r="J7" s="38">
        <v>4.4082191780821915</v>
      </c>
      <c r="K7" s="39">
        <v>3566</v>
      </c>
    </row>
    <row r="8" spans="1:11" x14ac:dyDescent="0.3">
      <c r="B8" s="32" t="s">
        <v>146</v>
      </c>
      <c r="C8" s="29" t="s">
        <v>15</v>
      </c>
      <c r="D8" s="29">
        <v>27</v>
      </c>
      <c r="E8" s="29" t="s">
        <v>13</v>
      </c>
      <c r="F8" s="34">
        <v>44061</v>
      </c>
      <c r="G8" s="29" t="s">
        <v>26</v>
      </c>
      <c r="H8" s="29">
        <v>119110</v>
      </c>
      <c r="I8" s="29" t="s">
        <v>204</v>
      </c>
      <c r="J8" s="35">
        <v>4.1260273972602741</v>
      </c>
      <c r="K8" s="36">
        <v>3574</v>
      </c>
    </row>
    <row r="9" spans="1:11" x14ac:dyDescent="0.3">
      <c r="B9" s="33" t="s">
        <v>163</v>
      </c>
      <c r="C9" s="30" t="s">
        <v>8</v>
      </c>
      <c r="D9" s="30">
        <v>33</v>
      </c>
      <c r="E9" s="30" t="s">
        <v>13</v>
      </c>
      <c r="F9" s="37">
        <v>44103</v>
      </c>
      <c r="G9" s="30" t="s">
        <v>12</v>
      </c>
      <c r="H9" s="30">
        <v>115920</v>
      </c>
      <c r="I9" s="30" t="s">
        <v>204</v>
      </c>
      <c r="J9" s="38">
        <v>4.0109589041095894</v>
      </c>
      <c r="K9" s="39">
        <v>3478</v>
      </c>
    </row>
    <row r="10" spans="1:11" x14ac:dyDescent="0.3">
      <c r="B10" s="32" t="s">
        <v>185</v>
      </c>
      <c r="C10" s="29" t="s">
        <v>15</v>
      </c>
      <c r="D10" s="29">
        <v>37</v>
      </c>
      <c r="E10" s="29" t="s">
        <v>13</v>
      </c>
      <c r="F10" s="34">
        <v>44389</v>
      </c>
      <c r="G10" s="29" t="s">
        <v>26</v>
      </c>
      <c r="H10" s="29">
        <v>118100</v>
      </c>
      <c r="I10" s="29" t="s">
        <v>204</v>
      </c>
      <c r="J10" s="35">
        <v>3.2273972602739724</v>
      </c>
      <c r="K10" s="36">
        <v>3543</v>
      </c>
    </row>
    <row r="11" spans="1:11" x14ac:dyDescent="0.3">
      <c r="B11" s="33" t="s">
        <v>16</v>
      </c>
      <c r="C11" s="30" t="s">
        <v>206</v>
      </c>
      <c r="D11" s="30">
        <v>37</v>
      </c>
      <c r="E11" s="30" t="s">
        <v>18</v>
      </c>
      <c r="F11" s="37">
        <v>44146</v>
      </c>
      <c r="G11" s="30" t="s">
        <v>17</v>
      </c>
      <c r="H11" s="30">
        <v>115440</v>
      </c>
      <c r="I11" s="30" t="s">
        <v>207</v>
      </c>
      <c r="J11" s="38">
        <v>3.893150684931507</v>
      </c>
      <c r="K11" s="39">
        <v>3464</v>
      </c>
    </row>
    <row r="12" spans="1:11" x14ac:dyDescent="0.3">
      <c r="B12" s="32" t="s">
        <v>25</v>
      </c>
      <c r="C12" s="29" t="s">
        <v>15</v>
      </c>
      <c r="D12" s="29">
        <v>27</v>
      </c>
      <c r="E12" s="29" t="s">
        <v>13</v>
      </c>
      <c r="F12" s="34">
        <v>44122</v>
      </c>
      <c r="G12" s="29" t="s">
        <v>26</v>
      </c>
      <c r="H12" s="29">
        <v>119110</v>
      </c>
      <c r="I12" s="29" t="s">
        <v>207</v>
      </c>
      <c r="J12" s="35">
        <v>3.9589041095890409</v>
      </c>
      <c r="K12" s="36">
        <v>3574</v>
      </c>
    </row>
    <row r="13" spans="1:11" x14ac:dyDescent="0.3">
      <c r="B13" s="33" t="s">
        <v>50</v>
      </c>
      <c r="C13" s="30" t="s">
        <v>8</v>
      </c>
      <c r="D13" s="30">
        <v>33</v>
      </c>
      <c r="E13" s="30" t="s">
        <v>13</v>
      </c>
      <c r="F13" s="37">
        <v>44164</v>
      </c>
      <c r="G13" s="30" t="s">
        <v>12</v>
      </c>
      <c r="H13" s="30">
        <v>115920</v>
      </c>
      <c r="I13" s="30" t="s">
        <v>207</v>
      </c>
      <c r="J13" s="38">
        <v>3.8438356164383563</v>
      </c>
      <c r="K13" s="39">
        <v>3478</v>
      </c>
    </row>
    <row r="14" spans="1:11" x14ac:dyDescent="0.3">
      <c r="B14" s="32" t="s">
        <v>68</v>
      </c>
      <c r="C14" s="29" t="s">
        <v>8</v>
      </c>
      <c r="D14" s="29">
        <v>36</v>
      </c>
      <c r="E14" s="29" t="s">
        <v>13</v>
      </c>
      <c r="F14" s="34">
        <v>44019</v>
      </c>
      <c r="G14" s="29" t="s">
        <v>23</v>
      </c>
      <c r="H14" s="29">
        <v>118840</v>
      </c>
      <c r="I14" s="29" t="s">
        <v>207</v>
      </c>
      <c r="J14" s="35">
        <v>4.2410958904109588</v>
      </c>
      <c r="K14" s="36">
        <v>3566</v>
      </c>
    </row>
    <row r="15" spans="1:11" x14ac:dyDescent="0.3">
      <c r="B15" s="33" t="s">
        <v>77</v>
      </c>
      <c r="C15" s="30" t="s">
        <v>15</v>
      </c>
      <c r="D15" s="30">
        <v>37</v>
      </c>
      <c r="E15" s="30" t="s">
        <v>13</v>
      </c>
      <c r="F15" s="37">
        <v>44451</v>
      </c>
      <c r="G15" s="30" t="s">
        <v>26</v>
      </c>
      <c r="H15" s="30">
        <v>118100</v>
      </c>
      <c r="I15" s="30" t="s">
        <v>207</v>
      </c>
      <c r="J15" s="38">
        <v>3.0575342465753423</v>
      </c>
      <c r="K15" s="39">
        <v>3543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24E23-9482-4597-9015-FE9245CB0B8B}">
  <sheetPr>
    <tabColor rgb="FF002060"/>
  </sheetPr>
  <dimension ref="A1"/>
  <sheetViews>
    <sheetView workbookViewId="0">
      <selection activeCell="P13" sqref="P13"/>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20EA6-8530-42D3-8BEE-CF5BFF428882}">
  <sheetPr>
    <tabColor theme="1" tint="0.249977111117893"/>
  </sheetPr>
  <dimension ref="B3:D9"/>
  <sheetViews>
    <sheetView workbookViewId="0">
      <selection activeCell="W13" sqref="W13"/>
    </sheetView>
  </sheetViews>
  <sheetFormatPr defaultRowHeight="14.4" x14ac:dyDescent="0.3"/>
  <cols>
    <col min="2" max="2" width="13.109375" bestFit="1" customWidth="1"/>
    <col min="3" max="3" width="13.88671875" bestFit="1" customWidth="1"/>
    <col min="4" max="4" width="15.77734375" style="16" bestFit="1" customWidth="1"/>
    <col min="5" max="70" width="6" bestFit="1" customWidth="1"/>
    <col min="71" max="92" width="7" bestFit="1" customWidth="1"/>
    <col min="93" max="93" width="10.77734375" bestFit="1" customWidth="1"/>
  </cols>
  <sheetData>
    <row r="3" spans="2:4" x14ac:dyDescent="0.3">
      <c r="B3" s="25" t="s">
        <v>233</v>
      </c>
      <c r="C3" t="s">
        <v>232</v>
      </c>
      <c r="D3" s="16" t="s">
        <v>225</v>
      </c>
    </row>
    <row r="4" spans="2:4" x14ac:dyDescent="0.3">
      <c r="B4" s="26" t="s">
        <v>43</v>
      </c>
      <c r="C4">
        <v>4</v>
      </c>
      <c r="D4" s="16">
        <v>92080</v>
      </c>
    </row>
    <row r="5" spans="2:4" x14ac:dyDescent="0.3">
      <c r="B5" s="26" t="s">
        <v>10</v>
      </c>
      <c r="C5">
        <v>20</v>
      </c>
      <c r="D5" s="16">
        <v>75933</v>
      </c>
    </row>
    <row r="6" spans="2:4" x14ac:dyDescent="0.3">
      <c r="B6" s="26" t="s">
        <v>13</v>
      </c>
      <c r="C6">
        <v>137</v>
      </c>
      <c r="D6" s="16">
        <v>76798.759124087592</v>
      </c>
    </row>
    <row r="7" spans="2:4" x14ac:dyDescent="0.3">
      <c r="B7" s="26" t="s">
        <v>18</v>
      </c>
      <c r="C7">
        <v>16</v>
      </c>
      <c r="D7" s="16">
        <v>78115</v>
      </c>
    </row>
    <row r="8" spans="2:4" x14ac:dyDescent="0.3">
      <c r="B8" s="26" t="s">
        <v>49</v>
      </c>
      <c r="C8">
        <v>6</v>
      </c>
      <c r="D8" s="16">
        <v>77423.333333333328</v>
      </c>
    </row>
    <row r="9" spans="2:4" x14ac:dyDescent="0.3">
      <c r="B9" s="26" t="s">
        <v>231</v>
      </c>
      <c r="C9">
        <v>183</v>
      </c>
      <c r="D9" s="16">
        <v>77173.715846994543</v>
      </c>
    </row>
  </sheetData>
  <conditionalFormatting sqref="D1:D3 D10:D1048576">
    <cfRule type="colorScale" priority="3">
      <colorScale>
        <cfvo type="min"/>
        <cfvo type="max"/>
        <color rgb="FFFCFCFF"/>
        <color rgb="FF63BE7B"/>
      </colorScale>
    </cfRule>
  </conditionalFormatting>
  <conditionalFormatting pivot="1" sqref="D4:D9">
    <cfRule type="dataBar" priority="2">
      <dataBar>
        <cfvo type="min"/>
        <cfvo type="max"/>
        <color rgb="FF638EC6"/>
      </dataBar>
      <extLst>
        <ext xmlns:x14="http://schemas.microsoft.com/office/spreadsheetml/2009/9/main" uri="{B025F937-C7B1-47D3-B67F-A62EFF666E3E}">
          <x14:id>{3C890827-0491-4653-9650-3C94F11DF8DE}</x14:id>
        </ext>
      </extLst>
    </cfRule>
  </conditionalFormatting>
  <conditionalFormatting pivot="1" sqref="D4:D9">
    <cfRule type="dataBar" priority="1">
      <dataBar>
        <cfvo type="min"/>
        <cfvo type="max"/>
        <color rgb="FF008AEF"/>
      </dataBar>
      <extLst>
        <ext xmlns:x14="http://schemas.microsoft.com/office/spreadsheetml/2009/9/main" uri="{B025F937-C7B1-47D3-B67F-A62EFF666E3E}">
          <x14:id>{87BBACCB-D804-4B80-BA9B-2C49EF7F2512}</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3C890827-0491-4653-9650-3C94F11DF8DE}">
            <x14:dataBar minLength="0" maxLength="100" border="1" negativeBarBorderColorSameAsPositive="0">
              <x14:cfvo type="autoMin"/>
              <x14:cfvo type="autoMax"/>
              <x14:borderColor rgb="FF638EC6"/>
              <x14:negativeFillColor rgb="FFFF0000"/>
              <x14:negativeBorderColor rgb="FFFF0000"/>
              <x14:axisColor rgb="FF000000"/>
            </x14:dataBar>
          </x14:cfRule>
          <xm:sqref>D4:D9</xm:sqref>
        </x14:conditionalFormatting>
        <x14:conditionalFormatting xmlns:xm="http://schemas.microsoft.com/office/excel/2006/main" pivot="1">
          <x14:cfRule type="dataBar" id="{87BBACCB-D804-4B80-BA9B-2C49EF7F2512}">
            <x14:dataBar minLength="0" maxLength="100" border="1" negativeBarBorderColorSameAsPositive="0">
              <x14:cfvo type="autoMin"/>
              <x14:cfvo type="autoMax"/>
              <x14:borderColor rgb="FF008AEF"/>
              <x14:negativeFillColor rgb="FFFF0000"/>
              <x14:negativeBorderColor rgb="FFFF0000"/>
              <x14:axisColor rgb="FF000000"/>
            </x14:dataBar>
          </x14:cfRule>
          <xm:sqref>D4:D9</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EAB33-4F94-4C3F-82F6-ED626521B26F}">
  <sheetPr>
    <tabColor theme="5" tint="-0.499984740745262"/>
  </sheetPr>
  <dimension ref="A1:L38"/>
  <sheetViews>
    <sheetView workbookViewId="0">
      <selection activeCell="N8" sqref="N8"/>
    </sheetView>
  </sheetViews>
  <sheetFormatPr defaultRowHeight="14.4" x14ac:dyDescent="0.3"/>
  <cols>
    <col min="1" max="1" width="12.5546875" bestFit="1" customWidth="1"/>
    <col min="2" max="2" width="13.88671875" bestFit="1" customWidth="1"/>
    <col min="3" max="3" width="10.33203125" bestFit="1" customWidth="1"/>
    <col min="4" max="4" width="12.109375" bestFit="1" customWidth="1"/>
    <col min="5" max="6" width="10.33203125" bestFit="1" customWidth="1"/>
    <col min="7" max="7" width="13.88671875" bestFit="1" customWidth="1"/>
    <col min="8" max="11" width="10.33203125" bestFit="1" customWidth="1"/>
    <col min="12" max="12" width="7.21875" style="47" bestFit="1" customWidth="1"/>
    <col min="13" max="161" width="10.33203125" bestFit="1" customWidth="1"/>
    <col min="162" max="162" width="10.77734375" bestFit="1" customWidth="1"/>
  </cols>
  <sheetData>
    <row r="1" spans="1:4" ht="17.399999999999999" x14ac:dyDescent="0.45">
      <c r="A1" s="59" t="s">
        <v>243</v>
      </c>
      <c r="B1" s="59"/>
      <c r="C1" s="59"/>
      <c r="D1" s="59"/>
    </row>
    <row r="2" spans="1:4" x14ac:dyDescent="0.3">
      <c r="A2" s="8"/>
      <c r="B2" s="48" t="s">
        <v>239</v>
      </c>
      <c r="C2" s="8" t="s">
        <v>240</v>
      </c>
      <c r="D2" s="8" t="s">
        <v>241</v>
      </c>
    </row>
    <row r="3" spans="1:4" x14ac:dyDescent="0.3">
      <c r="A3" s="8" cm="1">
        <f t="array" ref="A3:A38">_xlfn.SEQUENCE(36)</f>
        <v>1</v>
      </c>
      <c r="B3" s="48" cm="1">
        <f t="array" ref="B3:B38">EDATE(DATE(2020,4,5),_xlfn.ANCHORARRAY(A3)+0)</f>
        <v>43956</v>
      </c>
      <c r="C3" s="8">
        <f>COUNTIFS(Staff[Date Joined],"&gt;="&amp;B3,  Staff[Date Joined],"&lt;="&amp;EOMONTH(B3,0))</f>
        <v>3</v>
      </c>
      <c r="D3" s="8">
        <f>SUM($C$3:C3)</f>
        <v>3</v>
      </c>
    </row>
    <row r="4" spans="1:4" x14ac:dyDescent="0.3">
      <c r="A4" s="8">
        <v>2</v>
      </c>
      <c r="B4" s="48">
        <v>43987</v>
      </c>
      <c r="C4" s="8">
        <f>COUNTIFS(Staff[Date Joined],"&gt;="&amp;B4,  Staff[Date Joined],"&lt;="&amp;EOMONTH(B4,0))</f>
        <v>1</v>
      </c>
      <c r="D4" s="8">
        <f>SUM($C$3:C4)</f>
        <v>4</v>
      </c>
    </row>
    <row r="5" spans="1:4" x14ac:dyDescent="0.3">
      <c r="A5" s="8">
        <v>3</v>
      </c>
      <c r="B5" s="48">
        <v>44017</v>
      </c>
      <c r="C5" s="8">
        <f>COUNTIFS(Staff[Date Joined],"&gt;="&amp;B5,  Staff[Date Joined],"&lt;="&amp;EOMONTH(B5,0))</f>
        <v>5</v>
      </c>
      <c r="D5" s="8">
        <f>SUM($C$3:C5)</f>
        <v>9</v>
      </c>
    </row>
    <row r="6" spans="1:4" x14ac:dyDescent="0.3">
      <c r="A6" s="8">
        <v>4</v>
      </c>
      <c r="B6" s="48">
        <v>44048</v>
      </c>
      <c r="C6" s="8">
        <f>COUNTIFS(Staff[Date Joined],"&gt;="&amp;B6,  Staff[Date Joined],"&lt;="&amp;EOMONTH(B6,0))</f>
        <v>3</v>
      </c>
      <c r="D6" s="8">
        <f>SUM($C$3:C6)</f>
        <v>12</v>
      </c>
    </row>
    <row r="7" spans="1:4" x14ac:dyDescent="0.3">
      <c r="A7" s="8">
        <v>5</v>
      </c>
      <c r="B7" s="48">
        <v>44079</v>
      </c>
      <c r="C7" s="8">
        <f>COUNTIFS(Staff[Date Joined],"&gt;="&amp;B7,  Staff[Date Joined],"&lt;="&amp;EOMONTH(B7,0))</f>
        <v>6</v>
      </c>
      <c r="D7" s="8">
        <f>SUM($C$3:C7)</f>
        <v>18</v>
      </c>
    </row>
    <row r="8" spans="1:4" x14ac:dyDescent="0.3">
      <c r="A8" s="8">
        <v>6</v>
      </c>
      <c r="B8" s="48">
        <v>44109</v>
      </c>
      <c r="C8" s="8">
        <f>COUNTIFS(Staff[Date Joined],"&gt;="&amp;B8,  Staff[Date Joined],"&lt;="&amp;EOMONTH(B8,0))</f>
        <v>6</v>
      </c>
      <c r="D8" s="8">
        <f>SUM($C$3:C8)</f>
        <v>24</v>
      </c>
    </row>
    <row r="9" spans="1:4" x14ac:dyDescent="0.3">
      <c r="A9" s="8">
        <v>7</v>
      </c>
      <c r="B9" s="48">
        <v>44140</v>
      </c>
      <c r="C9" s="8">
        <f>COUNTIFS(Staff[Date Joined],"&gt;="&amp;B9,  Staff[Date Joined],"&lt;="&amp;EOMONTH(B9,0))</f>
        <v>6</v>
      </c>
      <c r="D9" s="8">
        <f>SUM($C$3:C9)</f>
        <v>30</v>
      </c>
    </row>
    <row r="10" spans="1:4" x14ac:dyDescent="0.3">
      <c r="A10" s="8">
        <v>8</v>
      </c>
      <c r="B10" s="48">
        <v>44170</v>
      </c>
      <c r="C10" s="8">
        <f>COUNTIFS(Staff[Date Joined],"&gt;="&amp;B10,  Staff[Date Joined],"&lt;="&amp;EOMONTH(B10,0))</f>
        <v>7</v>
      </c>
      <c r="D10" s="8">
        <f>SUM($C$3:C10)</f>
        <v>37</v>
      </c>
    </row>
    <row r="11" spans="1:4" x14ac:dyDescent="0.3">
      <c r="A11" s="8">
        <v>9</v>
      </c>
      <c r="B11" s="48">
        <v>44201</v>
      </c>
      <c r="C11" s="8">
        <f>COUNTIFS(Staff[Date Joined],"&gt;="&amp;B11,  Staff[Date Joined],"&lt;="&amp;EOMONTH(B11,0))</f>
        <v>6</v>
      </c>
      <c r="D11" s="8">
        <f>SUM($C$3:C11)</f>
        <v>43</v>
      </c>
    </row>
    <row r="12" spans="1:4" x14ac:dyDescent="0.3">
      <c r="A12" s="8">
        <v>10</v>
      </c>
      <c r="B12" s="48">
        <v>44232</v>
      </c>
      <c r="C12" s="8">
        <f>COUNTIFS(Staff[Date Joined],"&gt;="&amp;B12,  Staff[Date Joined],"&lt;="&amp;EOMONTH(B12,0))</f>
        <v>4</v>
      </c>
      <c r="D12" s="8">
        <f>SUM($C$3:C12)</f>
        <v>47</v>
      </c>
    </row>
    <row r="13" spans="1:4" x14ac:dyDescent="0.3">
      <c r="A13" s="8">
        <v>11</v>
      </c>
      <c r="B13" s="48">
        <v>44260</v>
      </c>
      <c r="C13" s="8">
        <f>COUNTIFS(Staff[Date Joined],"&gt;="&amp;B13,  Staff[Date Joined],"&lt;="&amp;EOMONTH(B13,0))</f>
        <v>8</v>
      </c>
      <c r="D13" s="8">
        <f>SUM($C$3:C13)</f>
        <v>55</v>
      </c>
    </row>
    <row r="14" spans="1:4" x14ac:dyDescent="0.3">
      <c r="A14" s="8">
        <v>12</v>
      </c>
      <c r="B14" s="48">
        <v>44291</v>
      </c>
      <c r="C14" s="8">
        <f>COUNTIFS(Staff[Date Joined],"&gt;="&amp;B14,  Staff[Date Joined],"&lt;="&amp;EOMONTH(B14,0))</f>
        <v>5</v>
      </c>
      <c r="D14" s="8">
        <f>SUM($C$3:C14)</f>
        <v>60</v>
      </c>
    </row>
    <row r="15" spans="1:4" x14ac:dyDescent="0.3">
      <c r="A15" s="8">
        <v>13</v>
      </c>
      <c r="B15" s="48">
        <v>44321</v>
      </c>
      <c r="C15" s="8">
        <f>COUNTIFS(Staff[Date Joined],"&gt;="&amp;B15,  Staff[Date Joined],"&lt;="&amp;EOMONTH(B15,0))</f>
        <v>8</v>
      </c>
      <c r="D15" s="8">
        <f>SUM($C$3:C15)</f>
        <v>68</v>
      </c>
    </row>
    <row r="16" spans="1:4" x14ac:dyDescent="0.3">
      <c r="A16" s="8">
        <v>14</v>
      </c>
      <c r="B16" s="48">
        <v>44352</v>
      </c>
      <c r="C16" s="8">
        <f>COUNTIFS(Staff[Date Joined],"&gt;="&amp;B16,  Staff[Date Joined],"&lt;="&amp;EOMONTH(B16,0))</f>
        <v>5</v>
      </c>
      <c r="D16" s="8">
        <f>SUM($C$3:C16)</f>
        <v>73</v>
      </c>
    </row>
    <row r="17" spans="1:7" x14ac:dyDescent="0.3">
      <c r="A17" s="8">
        <v>15</v>
      </c>
      <c r="B17" s="48">
        <v>44382</v>
      </c>
      <c r="C17" s="8">
        <f>COUNTIFS(Staff[Date Joined],"&gt;="&amp;B17,  Staff[Date Joined],"&lt;="&amp;EOMONTH(B17,0))</f>
        <v>11</v>
      </c>
      <c r="D17" s="8">
        <f>SUM($C$3:C17)</f>
        <v>84</v>
      </c>
      <c r="F17" s="25" t="s">
        <v>230</v>
      </c>
      <c r="G17" t="s">
        <v>232</v>
      </c>
    </row>
    <row r="18" spans="1:7" x14ac:dyDescent="0.3">
      <c r="A18" s="8">
        <v>16</v>
      </c>
      <c r="B18" s="48">
        <v>44413</v>
      </c>
      <c r="C18" s="8">
        <f>COUNTIFS(Staff[Date Joined],"&gt;="&amp;B18,  Staff[Date Joined],"&lt;="&amp;EOMONTH(B18,0))</f>
        <v>3</v>
      </c>
      <c r="D18" s="8">
        <f>SUM($C$3:C18)</f>
        <v>87</v>
      </c>
      <c r="F18" s="26" t="s">
        <v>235</v>
      </c>
      <c r="G18">
        <v>37</v>
      </c>
    </row>
    <row r="19" spans="1:7" x14ac:dyDescent="0.3">
      <c r="A19" s="8">
        <v>17</v>
      </c>
      <c r="B19" s="48">
        <v>44444</v>
      </c>
      <c r="C19" s="8">
        <f>COUNTIFS(Staff[Date Joined],"&gt;="&amp;B19,  Staff[Date Joined],"&lt;="&amp;EOMONTH(B19,0))</f>
        <v>10</v>
      </c>
      <c r="D19" s="8">
        <f>SUM($C$3:C19)</f>
        <v>97</v>
      </c>
      <c r="F19" s="26" t="s">
        <v>236</v>
      </c>
      <c r="G19">
        <v>119</v>
      </c>
    </row>
    <row r="20" spans="1:7" x14ac:dyDescent="0.3">
      <c r="A20" s="8">
        <v>18</v>
      </c>
      <c r="B20" s="48">
        <v>44474</v>
      </c>
      <c r="C20" s="8">
        <f>COUNTIFS(Staff[Date Joined],"&gt;="&amp;B20,  Staff[Date Joined],"&lt;="&amp;EOMONTH(B20,0))</f>
        <v>3</v>
      </c>
      <c r="D20" s="8">
        <f>SUM($C$3:C20)</f>
        <v>100</v>
      </c>
      <c r="F20" s="26" t="s">
        <v>237</v>
      </c>
      <c r="G20">
        <v>181</v>
      </c>
    </row>
    <row r="21" spans="1:7" x14ac:dyDescent="0.3">
      <c r="A21" s="8">
        <v>19</v>
      </c>
      <c r="B21" s="48">
        <v>44505</v>
      </c>
      <c r="C21" s="8">
        <f>COUNTIFS(Staff[Date Joined],"&gt;="&amp;B21,  Staff[Date Joined],"&lt;="&amp;EOMONTH(B21,0))</f>
        <v>4</v>
      </c>
      <c r="D21" s="8">
        <f>SUM($C$3:C21)</f>
        <v>104</v>
      </c>
      <c r="F21" s="26" t="s">
        <v>238</v>
      </c>
      <c r="G21">
        <v>183</v>
      </c>
    </row>
    <row r="22" spans="1:7" x14ac:dyDescent="0.3">
      <c r="A22" s="8">
        <v>20</v>
      </c>
      <c r="B22" s="48">
        <v>44535</v>
      </c>
      <c r="C22" s="8">
        <f>COUNTIFS(Staff[Date Joined],"&gt;="&amp;B22,  Staff[Date Joined],"&lt;="&amp;EOMONTH(B22,0))</f>
        <v>7</v>
      </c>
      <c r="D22" s="8">
        <f>SUM($C$3:C22)</f>
        <v>111</v>
      </c>
      <c r="F22" s="26" t="s">
        <v>231</v>
      </c>
    </row>
    <row r="23" spans="1:7" x14ac:dyDescent="0.3">
      <c r="A23" s="8">
        <v>21</v>
      </c>
      <c r="B23" s="48">
        <v>44566</v>
      </c>
      <c r="C23" s="8">
        <f>COUNTIFS(Staff[Date Joined],"&gt;="&amp;B23,  Staff[Date Joined],"&lt;="&amp;EOMONTH(B23,0))</f>
        <v>3</v>
      </c>
      <c r="D23" s="8">
        <f>SUM($C$3:C23)</f>
        <v>114</v>
      </c>
    </row>
    <row r="24" spans="1:7" x14ac:dyDescent="0.3">
      <c r="A24" s="8">
        <v>22</v>
      </c>
      <c r="B24" s="48">
        <v>44597</v>
      </c>
      <c r="C24" s="8">
        <f>COUNTIFS(Staff[Date Joined],"&gt;="&amp;B24,  Staff[Date Joined],"&lt;="&amp;EOMONTH(B24,0))</f>
        <v>9</v>
      </c>
      <c r="D24" s="8">
        <f>SUM($C$3:C24)</f>
        <v>123</v>
      </c>
    </row>
    <row r="25" spans="1:7" x14ac:dyDescent="0.3">
      <c r="A25" s="8">
        <v>23</v>
      </c>
      <c r="B25" s="48">
        <v>44625</v>
      </c>
      <c r="C25" s="8">
        <f>COUNTIFS(Staff[Date Joined],"&gt;="&amp;B25,  Staff[Date Joined],"&lt;="&amp;EOMONTH(B25,0))</f>
        <v>9</v>
      </c>
      <c r="D25" s="8">
        <f>SUM($C$3:C25)</f>
        <v>132</v>
      </c>
    </row>
    <row r="26" spans="1:7" x14ac:dyDescent="0.3">
      <c r="A26" s="8">
        <v>24</v>
      </c>
      <c r="B26" s="48">
        <v>44656</v>
      </c>
      <c r="C26" s="8">
        <f>COUNTIFS(Staff[Date Joined],"&gt;="&amp;B26,  Staff[Date Joined],"&lt;="&amp;EOMONTH(B26,0))</f>
        <v>8</v>
      </c>
      <c r="D26" s="8">
        <f>SUM($C$3:C26)</f>
        <v>140</v>
      </c>
    </row>
    <row r="27" spans="1:7" x14ac:dyDescent="0.3">
      <c r="A27" s="8">
        <v>25</v>
      </c>
      <c r="B27" s="48">
        <v>44686</v>
      </c>
      <c r="C27" s="8">
        <f>COUNTIFS(Staff[Date Joined],"&gt;="&amp;B27,  Staff[Date Joined],"&lt;="&amp;EOMONTH(B27,0))</f>
        <v>8</v>
      </c>
      <c r="D27" s="8">
        <f>SUM($C$3:C27)</f>
        <v>148</v>
      </c>
    </row>
    <row r="28" spans="1:7" x14ac:dyDescent="0.3">
      <c r="A28" s="8">
        <v>26</v>
      </c>
      <c r="B28" s="48">
        <v>44717</v>
      </c>
      <c r="C28" s="8">
        <f>COUNTIFS(Staff[Date Joined],"&gt;="&amp;B28,  Staff[Date Joined],"&lt;="&amp;EOMONTH(B28,0))</f>
        <v>6</v>
      </c>
      <c r="D28" s="8">
        <f>SUM($C$3:C28)</f>
        <v>154</v>
      </c>
    </row>
    <row r="29" spans="1:7" x14ac:dyDescent="0.3">
      <c r="A29" s="8">
        <v>27</v>
      </c>
      <c r="B29" s="48">
        <v>44747</v>
      </c>
      <c r="C29" s="8">
        <f>COUNTIFS(Staff[Date Joined],"&gt;="&amp;B29,  Staff[Date Joined],"&lt;="&amp;EOMONTH(B29,0))</f>
        <v>4</v>
      </c>
      <c r="D29" s="8">
        <f>SUM($C$3:C29)</f>
        <v>158</v>
      </c>
    </row>
    <row r="30" spans="1:7" x14ac:dyDescent="0.3">
      <c r="A30" s="8">
        <v>28</v>
      </c>
      <c r="B30" s="48">
        <v>44778</v>
      </c>
      <c r="C30" s="8">
        <f>COUNTIFS(Staff[Date Joined],"&gt;="&amp;B30,  Staff[Date Joined],"&lt;="&amp;EOMONTH(B30,0))</f>
        <v>4</v>
      </c>
      <c r="D30" s="8">
        <f>SUM($C$3:C30)</f>
        <v>162</v>
      </c>
    </row>
    <row r="31" spans="1:7" x14ac:dyDescent="0.3">
      <c r="A31" s="8">
        <v>29</v>
      </c>
      <c r="B31" s="48">
        <v>44809</v>
      </c>
      <c r="C31" s="8">
        <f>COUNTIFS(Staff[Date Joined],"&gt;="&amp;B31,  Staff[Date Joined],"&lt;="&amp;EOMONTH(B31,0))</f>
        <v>2</v>
      </c>
      <c r="D31" s="8">
        <f>SUM($C$3:C31)</f>
        <v>164</v>
      </c>
    </row>
    <row r="32" spans="1:7" x14ac:dyDescent="0.3">
      <c r="A32" s="8">
        <v>30</v>
      </c>
      <c r="B32" s="48">
        <v>44839</v>
      </c>
      <c r="C32" s="8">
        <f>COUNTIFS(Staff[Date Joined],"&gt;="&amp;B32,  Staff[Date Joined],"&lt;="&amp;EOMONTH(B32,0))</f>
        <v>3</v>
      </c>
      <c r="D32" s="8">
        <f>SUM($C$3:C32)</f>
        <v>167</v>
      </c>
    </row>
    <row r="33" spans="1:4" x14ac:dyDescent="0.3">
      <c r="A33" s="8">
        <v>31</v>
      </c>
      <c r="B33" s="48">
        <v>44870</v>
      </c>
      <c r="C33" s="8">
        <f>COUNTIFS(Staff[Date Joined],"&gt;="&amp;B33,  Staff[Date Joined],"&lt;="&amp;EOMONTH(B33,0))</f>
        <v>0</v>
      </c>
      <c r="D33" s="8">
        <f>SUM($C$3:C33)</f>
        <v>167</v>
      </c>
    </row>
    <row r="34" spans="1:4" x14ac:dyDescent="0.3">
      <c r="A34" s="8">
        <v>32</v>
      </c>
      <c r="B34" s="48">
        <v>44900</v>
      </c>
      <c r="C34" s="8">
        <f>COUNTIFS(Staff[Date Joined],"&gt;="&amp;B34,  Staff[Date Joined],"&lt;="&amp;EOMONTH(B34,0))</f>
        <v>0</v>
      </c>
      <c r="D34" s="8">
        <f>SUM($C$3:C34)</f>
        <v>167</v>
      </c>
    </row>
    <row r="35" spans="1:4" x14ac:dyDescent="0.3">
      <c r="A35" s="8">
        <v>33</v>
      </c>
      <c r="B35" s="48">
        <v>44931</v>
      </c>
      <c r="C35" s="8">
        <f>COUNTIFS(Staff[Date Joined],"&gt;="&amp;B35,  Staff[Date Joined],"&lt;="&amp;EOMONTH(B35,0))</f>
        <v>0</v>
      </c>
      <c r="D35" s="8">
        <f>SUM($C$3:C35)</f>
        <v>167</v>
      </c>
    </row>
    <row r="36" spans="1:4" x14ac:dyDescent="0.3">
      <c r="A36" s="8">
        <v>34</v>
      </c>
      <c r="B36" s="48">
        <v>44962</v>
      </c>
      <c r="C36" s="8">
        <f>COUNTIFS(Staff[Date Joined],"&gt;="&amp;B36,  Staff[Date Joined],"&lt;="&amp;EOMONTH(B36,0))</f>
        <v>1</v>
      </c>
      <c r="D36" s="8">
        <f>SUM($C$3:C36)</f>
        <v>168</v>
      </c>
    </row>
    <row r="37" spans="1:4" x14ac:dyDescent="0.3">
      <c r="A37" s="8">
        <v>35</v>
      </c>
      <c r="B37" s="48">
        <v>44990</v>
      </c>
      <c r="C37" s="8">
        <f>COUNTIFS(Staff[Date Joined],"&gt;="&amp;B37,  Staff[Date Joined],"&lt;="&amp;EOMONTH(B37,0))</f>
        <v>0</v>
      </c>
      <c r="D37" s="8">
        <f>SUM($C$3:C37)</f>
        <v>168</v>
      </c>
    </row>
    <row r="38" spans="1:4" x14ac:dyDescent="0.3">
      <c r="A38" s="8">
        <v>36</v>
      </c>
      <c r="B38" s="48">
        <v>45021</v>
      </c>
      <c r="C38" s="8">
        <f>COUNTIFS(Staff[Date Joined],"&gt;="&amp;B38,  Staff[Date Joined],"&lt;="&amp;EOMONTH(B38,0))</f>
        <v>1</v>
      </c>
      <c r="D38" s="8">
        <f>SUM($C$3:C38)</f>
        <v>169</v>
      </c>
    </row>
  </sheetData>
  <mergeCells count="1">
    <mergeCell ref="A1:D1"/>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72782-9B50-406C-84B1-B13A2F5584DD}">
  <sheetPr>
    <tabColor rgb="FF7030A0"/>
  </sheetPr>
  <dimension ref="D2:O6"/>
  <sheetViews>
    <sheetView workbookViewId="0">
      <selection activeCell="R5" sqref="R5"/>
    </sheetView>
  </sheetViews>
  <sheetFormatPr defaultRowHeight="14.4" x14ac:dyDescent="0.3"/>
  <cols>
    <col min="1" max="3" width="8.88671875" customWidth="1"/>
    <col min="4" max="4" width="15" customWidth="1"/>
    <col min="5" max="5" width="1.21875" customWidth="1"/>
    <col min="6" max="6" width="15" customWidth="1"/>
    <col min="7" max="7" width="1.44140625" customWidth="1"/>
    <col min="8" max="8" width="15" customWidth="1"/>
    <col min="9" max="10" width="8.88671875" customWidth="1"/>
    <col min="11" max="11" width="15" customWidth="1"/>
    <col min="12" max="12" width="1.21875" customWidth="1"/>
    <col min="13" max="13" width="15" customWidth="1"/>
    <col min="14" max="14" width="1.44140625" customWidth="1"/>
    <col min="15" max="15" width="15" customWidth="1"/>
    <col min="17" max="17" width="8.88671875" customWidth="1"/>
    <col min="19" max="19" width="8.88671875" customWidth="1"/>
  </cols>
  <sheetData>
    <row r="2" spans="4:15" ht="34.200000000000003" x14ac:dyDescent="0.8">
      <c r="D2" s="61" t="s">
        <v>207</v>
      </c>
      <c r="E2" s="62"/>
      <c r="F2" s="62"/>
      <c r="G2" s="62"/>
      <c r="H2" s="62"/>
      <c r="K2" s="63" t="s">
        <v>204</v>
      </c>
      <c r="L2" s="63"/>
      <c r="M2" s="63"/>
      <c r="N2" s="63"/>
      <c r="O2" s="63"/>
    </row>
    <row r="4" spans="4:15" ht="76.2" customHeight="1" x14ac:dyDescent="0.3">
      <c r="D4" s="50">
        <f>COUNTIF(Staff[Country],"NZ")</f>
        <v>91</v>
      </c>
      <c r="F4" s="54">
        <f>COUNTIFS(Staff[Country],"NZ",Staff[Gender],"Female")/D4</f>
        <v>0.47252747252747251</v>
      </c>
      <c r="H4" s="55">
        <f>AVERAGEIFS(Staff[Salary],Staff[Country],"NZ")</f>
        <v>76978.791208791212</v>
      </c>
      <c r="K4" s="51">
        <f>COUNTIF(Staff[Country],"IND")</f>
        <v>92</v>
      </c>
      <c r="M4" s="53">
        <f>COUNTIFS(Staff[Country],"IND",Staff[Gender],"Female")/K4</f>
        <v>0.46739130434782611</v>
      </c>
      <c r="O4" s="52">
        <f>AVERAGEIFS(Staff[Salary],Staff[Country],"NZ")</f>
        <v>76978.791208791212</v>
      </c>
    </row>
    <row r="5" spans="4:15" x14ac:dyDescent="0.3">
      <c r="F5" s="49"/>
    </row>
    <row r="6" spans="4:15" x14ac:dyDescent="0.3">
      <c r="D6" s="60" t="s">
        <v>242</v>
      </c>
      <c r="E6" s="60"/>
      <c r="F6" s="60"/>
      <c r="G6" s="60"/>
      <c r="H6" s="60"/>
      <c r="I6" s="60"/>
      <c r="J6" s="60"/>
      <c r="K6" s="60"/>
      <c r="L6" s="60"/>
      <c r="M6" s="60"/>
      <c r="N6" s="60"/>
      <c r="O6" s="60"/>
    </row>
  </sheetData>
  <mergeCells count="3">
    <mergeCell ref="D6:O6"/>
    <mergeCell ref="D2:H2"/>
    <mergeCell ref="K2:O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5F3B6-AC7E-4460-9F7F-C39DE9FDC7B6}">
  <dimension ref="B2:F10"/>
  <sheetViews>
    <sheetView workbookViewId="0">
      <selection activeCell="E25" sqref="E25"/>
    </sheetView>
  </sheetViews>
  <sheetFormatPr defaultRowHeight="14.4" x14ac:dyDescent="0.3"/>
  <cols>
    <col min="1" max="2" width="12.5546875" bestFit="1" customWidth="1"/>
    <col min="3" max="3" width="13.88671875" bestFit="1" customWidth="1"/>
    <col min="5" max="5" width="12.5546875" bestFit="1" customWidth="1"/>
    <col min="6" max="6" width="13.88671875" bestFit="1" customWidth="1"/>
  </cols>
  <sheetData>
    <row r="2" spans="2:6" x14ac:dyDescent="0.3">
      <c r="B2" s="25" t="s">
        <v>205</v>
      </c>
      <c r="C2" t="s" vm="1">
        <v>207</v>
      </c>
      <c r="E2" s="25" t="s">
        <v>205</v>
      </c>
      <c r="F2" t="s" vm="2">
        <v>204</v>
      </c>
    </row>
    <row r="4" spans="2:6" x14ac:dyDescent="0.3">
      <c r="B4" s="25" t="s">
        <v>230</v>
      </c>
      <c r="C4" t="s">
        <v>232</v>
      </c>
      <c r="E4" s="25" t="s">
        <v>230</v>
      </c>
      <c r="F4" t="s">
        <v>232</v>
      </c>
    </row>
    <row r="5" spans="2:6" x14ac:dyDescent="0.3">
      <c r="B5" s="26" t="s">
        <v>23</v>
      </c>
      <c r="C5">
        <v>27</v>
      </c>
      <c r="E5" s="26" t="s">
        <v>12</v>
      </c>
      <c r="F5">
        <v>28</v>
      </c>
    </row>
    <row r="6" spans="2:6" x14ac:dyDescent="0.3">
      <c r="B6" s="26" t="s">
        <v>12</v>
      </c>
      <c r="C6">
        <v>27</v>
      </c>
      <c r="E6" s="26" t="s">
        <v>23</v>
      </c>
      <c r="F6">
        <v>27</v>
      </c>
    </row>
    <row r="7" spans="2:6" x14ac:dyDescent="0.3">
      <c r="B7" s="26" t="s">
        <v>17</v>
      </c>
      <c r="C7">
        <v>19</v>
      </c>
      <c r="E7" s="26" t="s">
        <v>17</v>
      </c>
      <c r="F7">
        <v>19</v>
      </c>
    </row>
    <row r="8" spans="2:6" x14ac:dyDescent="0.3">
      <c r="B8" s="26" t="s">
        <v>9</v>
      </c>
      <c r="C8">
        <v>14</v>
      </c>
      <c r="E8" s="26" t="s">
        <v>9</v>
      </c>
      <c r="F8">
        <v>14</v>
      </c>
    </row>
    <row r="9" spans="2:6" x14ac:dyDescent="0.3">
      <c r="B9" s="26" t="s">
        <v>26</v>
      </c>
      <c r="C9">
        <v>4</v>
      </c>
      <c r="E9" s="26" t="s">
        <v>26</v>
      </c>
      <c r="F9">
        <v>4</v>
      </c>
    </row>
    <row r="10" spans="2:6" x14ac:dyDescent="0.3">
      <c r="B10" s="26" t="s">
        <v>231</v>
      </c>
      <c r="C10">
        <v>91</v>
      </c>
      <c r="E10" s="26" t="s">
        <v>231</v>
      </c>
      <c r="F10">
        <v>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6B511-B716-46BB-8CFB-E447B06B740D}">
  <dimension ref="B3:C7"/>
  <sheetViews>
    <sheetView workbookViewId="0">
      <selection activeCell="L20" sqref="L20:L21"/>
    </sheetView>
  </sheetViews>
  <sheetFormatPr defaultRowHeight="14.4" x14ac:dyDescent="0.3"/>
  <cols>
    <col min="2" max="2" width="13.109375" bestFit="1" customWidth="1"/>
  </cols>
  <sheetData>
    <row r="3" spans="2:3" x14ac:dyDescent="0.3">
      <c r="B3" s="46" t="s">
        <v>43</v>
      </c>
      <c r="C3" s="8">
        <v>5</v>
      </c>
    </row>
    <row r="4" spans="2:3" x14ac:dyDescent="0.3">
      <c r="B4" s="46" t="s">
        <v>10</v>
      </c>
      <c r="C4" s="8">
        <v>4</v>
      </c>
    </row>
    <row r="5" spans="2:3" x14ac:dyDescent="0.3">
      <c r="B5" s="46" t="s">
        <v>13</v>
      </c>
      <c r="C5" s="8">
        <v>3</v>
      </c>
    </row>
    <row r="6" spans="2:3" x14ac:dyDescent="0.3">
      <c r="B6" s="46" t="s">
        <v>18</v>
      </c>
      <c r="C6" s="8">
        <v>2</v>
      </c>
    </row>
    <row r="7" spans="2:3" x14ac:dyDescent="0.3">
      <c r="B7" s="46" t="s">
        <v>49</v>
      </c>
      <c r="C7" s="8">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0E51629-045F-425C-8AFD-74D961F06F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Nz_staff</vt:lpstr>
      <vt:lpstr>India_stuff</vt:lpstr>
      <vt:lpstr>Staff</vt:lpstr>
      <vt:lpstr>Info Finder</vt:lpstr>
      <vt:lpstr>male vs female</vt:lpstr>
      <vt:lpstr>Top 10</vt:lpstr>
      <vt:lpstr>salary spread</vt:lpstr>
      <vt:lpstr>salary vs rating</vt:lpstr>
      <vt:lpstr>Number of people</vt:lpstr>
      <vt:lpstr>Report</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 Jain</dc:creator>
  <cp:lastModifiedBy>Riya Jain</cp:lastModifiedBy>
  <dcterms:created xsi:type="dcterms:W3CDTF">2024-10-02T04:13:55Z</dcterms:created>
  <dcterms:modified xsi:type="dcterms:W3CDTF">2024-10-03T09:15:28Z</dcterms:modified>
</cp:coreProperties>
</file>