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\proj\QM17-01-06A-SALD-ZnO-Ellinger\dat\"/>
    </mc:Choice>
  </mc:AlternateContent>
  <bookViews>
    <workbookView xWindow="0" yWindow="0" windowWidth="21570" windowHeight="9090" activeTab="1" xr2:uid="{00000000-000D-0000-FFFF-FFFF00000000}"/>
  </bookViews>
  <sheets>
    <sheet name="calc-from-patent" sheetId="1" r:id="rId1"/>
    <sheet name="calc-from-patent-to-mass-fract" sheetId="5" r:id="rId2"/>
    <sheet name="calc-wf-summary" sheetId="2" r:id="rId3"/>
    <sheet name="Major Transitions" sheetId="4" r:id="rId4"/>
    <sheet name="Exptl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5" l="1"/>
  <c r="Q8" i="5"/>
  <c r="Q9" i="5"/>
  <c r="Q10" i="5"/>
  <c r="Q11" i="5"/>
  <c r="Q12" i="5"/>
  <c r="Q13" i="5"/>
  <c r="Q14" i="5"/>
  <c r="Q15" i="5"/>
  <c r="Q16" i="5"/>
  <c r="Q17" i="5"/>
  <c r="Q18" i="5"/>
  <c r="Q19" i="5"/>
  <c r="Q7" i="5"/>
  <c r="P21" i="5"/>
  <c r="L21" i="5"/>
  <c r="L8" i="5"/>
  <c r="L9" i="5"/>
  <c r="L10" i="5"/>
  <c r="L11" i="5"/>
  <c r="L12" i="5"/>
  <c r="L13" i="5"/>
  <c r="L14" i="5"/>
  <c r="L15" i="5"/>
  <c r="L16" i="5"/>
  <c r="L17" i="5"/>
  <c r="L18" i="5"/>
  <c r="L19" i="5"/>
  <c r="L7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J21" i="5"/>
  <c r="I19" i="5"/>
  <c r="J19" i="5" s="1"/>
  <c r="G19" i="5"/>
  <c r="H19" i="5" s="1"/>
  <c r="I18" i="5"/>
  <c r="J18" i="5" s="1"/>
  <c r="G18" i="5"/>
  <c r="H18" i="5" s="1"/>
  <c r="I17" i="5"/>
  <c r="J17" i="5" s="1"/>
  <c r="G17" i="5"/>
  <c r="H17" i="5" s="1"/>
  <c r="I16" i="5"/>
  <c r="J16" i="5" s="1"/>
  <c r="G16" i="5"/>
  <c r="H16" i="5" s="1"/>
  <c r="I15" i="5"/>
  <c r="J15" i="5" s="1"/>
  <c r="G15" i="5"/>
  <c r="H15" i="5" s="1"/>
  <c r="I14" i="5"/>
  <c r="J14" i="5" s="1"/>
  <c r="G14" i="5"/>
  <c r="H14" i="5" s="1"/>
  <c r="I13" i="5"/>
  <c r="J13" i="5" s="1"/>
  <c r="G13" i="5"/>
  <c r="H13" i="5" s="1"/>
  <c r="I12" i="5"/>
  <c r="J12" i="5" s="1"/>
  <c r="G12" i="5"/>
  <c r="H12" i="5" s="1"/>
  <c r="I11" i="5"/>
  <c r="J11" i="5" s="1"/>
  <c r="G11" i="5"/>
  <c r="H11" i="5" s="1"/>
  <c r="I10" i="5"/>
  <c r="J10" i="5" s="1"/>
  <c r="G10" i="5"/>
  <c r="H10" i="5" s="1"/>
  <c r="I9" i="5"/>
  <c r="J9" i="5" s="1"/>
  <c r="G9" i="5"/>
  <c r="H9" i="5" s="1"/>
  <c r="G8" i="5"/>
  <c r="J8" i="5" s="1"/>
  <c r="J7" i="5"/>
  <c r="G7" i="5"/>
  <c r="H7" i="5" s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K21" i="5" l="1"/>
  <c r="H8" i="5"/>
  <c r="J48" i="3"/>
  <c r="I48" i="3"/>
  <c r="H48" i="3"/>
  <c r="F48" i="3"/>
  <c r="E48" i="3"/>
  <c r="D48" i="3"/>
  <c r="C48" i="3"/>
  <c r="E47" i="3"/>
  <c r="J47" i="3"/>
  <c r="I47" i="3"/>
  <c r="H47" i="3"/>
  <c r="F47" i="3"/>
  <c r="D47" i="3"/>
  <c r="C47" i="3"/>
  <c r="J38" i="3"/>
  <c r="I38" i="3"/>
  <c r="I40" i="3" s="1"/>
  <c r="H38" i="3"/>
  <c r="J46" i="3"/>
  <c r="I46" i="3"/>
  <c r="H46" i="3"/>
  <c r="G46" i="3"/>
  <c r="F46" i="3"/>
  <c r="E46" i="3"/>
  <c r="D46" i="3"/>
  <c r="C46" i="3"/>
  <c r="J39" i="3"/>
  <c r="I39" i="3"/>
  <c r="H39" i="3"/>
  <c r="F39" i="3"/>
  <c r="F40" i="3" s="1"/>
  <c r="F38" i="3"/>
  <c r="E39" i="3"/>
  <c r="E40" i="3" s="1"/>
  <c r="E38" i="3"/>
  <c r="D39" i="3"/>
  <c r="D40" i="3" s="1"/>
  <c r="D38" i="3"/>
  <c r="C39" i="3"/>
  <c r="C40" i="3" s="1"/>
  <c r="C38" i="3"/>
  <c r="J40" i="3" l="1"/>
  <c r="H40" i="3"/>
  <c r="C10" i="2"/>
  <c r="C4" i="2"/>
  <c r="C2" i="2"/>
  <c r="C17" i="2"/>
  <c r="B17" i="2"/>
  <c r="C3" i="2"/>
  <c r="C5" i="2"/>
  <c r="C6" i="2"/>
  <c r="C7" i="2"/>
  <c r="C8" i="2"/>
  <c r="C9" i="2"/>
  <c r="C11" i="2"/>
  <c r="C12" i="2"/>
  <c r="C13" i="2"/>
  <c r="C14" i="2"/>
  <c r="C15" i="2"/>
  <c r="Z16" i="1" l="1"/>
  <c r="Y15" i="1"/>
  <c r="X14" i="1"/>
  <c r="X18" i="1" s="1"/>
  <c r="X19" i="1" s="1"/>
  <c r="W13" i="1"/>
  <c r="V12" i="1"/>
  <c r="U11" i="1"/>
  <c r="T10" i="1"/>
  <c r="S9" i="1"/>
  <c r="R8" i="1"/>
  <c r="Q7" i="1"/>
  <c r="P6" i="1"/>
  <c r="O5" i="1"/>
  <c r="O18" i="1"/>
  <c r="O19" i="1" s="1"/>
  <c r="N4" i="1"/>
  <c r="N18" i="1" s="1"/>
  <c r="N19" i="1" s="1"/>
  <c r="M5" i="1"/>
  <c r="M6" i="1"/>
  <c r="M7" i="1"/>
  <c r="M8" i="1"/>
  <c r="M9" i="1"/>
  <c r="M10" i="1"/>
  <c r="M11" i="1"/>
  <c r="M12" i="1"/>
  <c r="M13" i="1"/>
  <c r="M14" i="1"/>
  <c r="M15" i="1"/>
  <c r="M16" i="1"/>
  <c r="Z18" i="1" s="1"/>
  <c r="Z19" i="1" s="1"/>
  <c r="M4" i="1"/>
  <c r="Y19" i="1"/>
  <c r="W19" i="1"/>
  <c r="V19" i="1"/>
  <c r="U19" i="1"/>
  <c r="T19" i="1"/>
  <c r="S19" i="1"/>
  <c r="Y18" i="1"/>
  <c r="W18" i="1"/>
  <c r="V18" i="1"/>
  <c r="U18" i="1"/>
  <c r="T18" i="1"/>
  <c r="S18" i="1"/>
  <c r="R18" i="1"/>
  <c r="R19" i="1" s="1"/>
  <c r="Q18" i="1"/>
  <c r="Q19" i="1" s="1"/>
  <c r="P18" i="1"/>
  <c r="P19" i="1" s="1"/>
  <c r="K18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J16" i="1"/>
  <c r="J15" i="1"/>
  <c r="J14" i="1"/>
  <c r="J13" i="1"/>
  <c r="J12" i="1"/>
  <c r="J11" i="1"/>
  <c r="J10" i="1"/>
  <c r="J9" i="1"/>
  <c r="J8" i="1"/>
  <c r="J7" i="1"/>
  <c r="J6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M18" i="1" l="1"/>
  <c r="M19" i="1" s="1"/>
  <c r="AB19" i="1" s="1"/>
</calcChain>
</file>

<file path=xl/sharedStrings.xml><?xml version="1.0" encoding="utf-8"?>
<sst xmlns="http://schemas.openxmlformats.org/spreadsheetml/2006/main" count="359" uniqueCount="165">
  <si>
    <t>Oxide Composition</t>
  </si>
  <si>
    <t>Mole % per US7935649 B2</t>
  </si>
  <si>
    <r>
      <t>SiO</t>
    </r>
    <r>
      <rPr>
        <vertAlign val="subscript"/>
        <sz val="10"/>
        <color rgb="FF000000"/>
        <rFont val="Arial"/>
        <family val="2"/>
        <charset val="1"/>
      </rPr>
      <t>2</t>
    </r>
  </si>
  <si>
    <t>64.0 - 71.0</t>
  </si>
  <si>
    <r>
      <t>Al</t>
    </r>
    <r>
      <rPr>
        <vertAlign val="sub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vertAlign val="subscript"/>
        <sz val="10"/>
        <color rgb="FF000000"/>
        <rFont val="Arial"/>
        <family val="2"/>
        <charset val="1"/>
      </rPr>
      <t>3</t>
    </r>
  </si>
  <si>
    <t>9.0 - 12.0</t>
  </si>
  <si>
    <r>
      <t>B</t>
    </r>
    <r>
      <rPr>
        <vertAlign val="sub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vertAlign val="subscript"/>
        <sz val="10"/>
        <color rgb="FF000000"/>
        <rFont val="Arial"/>
        <family val="2"/>
        <charset val="1"/>
      </rPr>
      <t>3</t>
    </r>
  </si>
  <si>
    <t>7.0 - 12.0</t>
  </si>
  <si>
    <t>MgO</t>
  </si>
  <si>
    <t>1.0 - 3.0</t>
  </si>
  <si>
    <t>CaO</t>
  </si>
  <si>
    <t>6.0 - 11.5</t>
  </si>
  <si>
    <t>SrO</t>
  </si>
  <si>
    <t>0 - 1.0</t>
  </si>
  <si>
    <r>
      <t>SnO</t>
    </r>
    <r>
      <rPr>
        <vertAlign val="subscript"/>
        <sz val="10"/>
        <color rgb="FF000000"/>
        <rFont val="Arial"/>
        <family val="2"/>
        <charset val="1"/>
      </rPr>
      <t>2</t>
    </r>
  </si>
  <si>
    <t>0.017- 0.11</t>
  </si>
  <si>
    <t>BaO</t>
  </si>
  <si>
    <t>0 - 0.1</t>
  </si>
  <si>
    <r>
      <t>As</t>
    </r>
    <r>
      <rPr>
        <vertAlign val="sub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vertAlign val="subscript"/>
        <sz val="10"/>
        <color rgb="FF000000"/>
        <rFont val="Arial"/>
        <family val="2"/>
        <charset val="1"/>
      </rPr>
      <t>3</t>
    </r>
  </si>
  <si>
    <t>&lt;0.02</t>
  </si>
  <si>
    <r>
      <t>Sb</t>
    </r>
    <r>
      <rPr>
        <vertAlign val="sub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vertAlign val="subscript"/>
        <sz val="10"/>
        <color rgb="FF000000"/>
        <rFont val="Arial"/>
        <family val="2"/>
        <charset val="1"/>
      </rPr>
      <t>3</t>
    </r>
  </si>
  <si>
    <r>
      <t>Fe</t>
    </r>
    <r>
      <rPr>
        <vertAlign val="subscript"/>
        <sz val="10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vertAlign val="subscript"/>
        <sz val="10"/>
        <color rgb="FF000000"/>
        <rFont val="Arial"/>
        <family val="2"/>
        <charset val="1"/>
      </rPr>
      <t>3</t>
    </r>
  </si>
  <si>
    <t>0.01 – 0.03</t>
  </si>
  <si>
    <r>
      <t>ZrO</t>
    </r>
    <r>
      <rPr>
        <vertAlign val="subscript"/>
        <sz val="10"/>
        <color rgb="FF000000"/>
        <rFont val="Arial"/>
        <family val="2"/>
        <charset val="1"/>
      </rPr>
      <t>2</t>
    </r>
  </si>
  <si>
    <r>
      <t>TiO</t>
    </r>
    <r>
      <rPr>
        <vertAlign val="subscript"/>
        <sz val="10"/>
        <color rgb="FF000000"/>
        <rFont val="Arial"/>
        <family val="2"/>
        <charset val="1"/>
      </rPr>
      <t>2</t>
    </r>
  </si>
  <si>
    <t>min</t>
  </si>
  <si>
    <t>max</t>
  </si>
  <si>
    <t>mid</t>
  </si>
  <si>
    <t>oxide</t>
  </si>
  <si>
    <t>gfw</t>
  </si>
  <si>
    <t>mass</t>
  </si>
  <si>
    <t>Si</t>
  </si>
  <si>
    <t>O</t>
  </si>
  <si>
    <t>Al</t>
  </si>
  <si>
    <t>B</t>
  </si>
  <si>
    <t>Mg</t>
  </si>
  <si>
    <t>Ca</t>
  </si>
  <si>
    <t>Sr</t>
  </si>
  <si>
    <t>Sn</t>
  </si>
  <si>
    <t>Ba</t>
  </si>
  <si>
    <t>As</t>
  </si>
  <si>
    <t>Sb</t>
  </si>
  <si>
    <t>Fe</t>
  </si>
  <si>
    <t>Zr</t>
  </si>
  <si>
    <t>Ti</t>
  </si>
  <si>
    <t>sum</t>
  </si>
  <si>
    <t>mass frac</t>
  </si>
  <si>
    <t>mass % O</t>
  </si>
  <si>
    <t>element</t>
  </si>
  <si>
    <t>wt %</t>
  </si>
  <si>
    <t>EagleXG-S1</t>
  </si>
  <si>
    <t>Line Type</t>
  </si>
  <si>
    <t>Apparent Concentration</t>
  </si>
  <si>
    <t>k Ratio</t>
  </si>
  <si>
    <t>Wt%</t>
  </si>
  <si>
    <t>Wt% Sigma</t>
  </si>
  <si>
    <t>Atomic %</t>
  </si>
  <si>
    <t>Standard Label</t>
  </si>
  <si>
    <t>K series</t>
  </si>
  <si>
    <t>SiO2</t>
  </si>
  <si>
    <t>Al2O3</t>
  </si>
  <si>
    <t>Wollastonite</t>
  </si>
  <si>
    <t>L series</t>
  </si>
  <si>
    <t>SrF2</t>
  </si>
  <si>
    <t>Total</t>
  </si>
  <si>
    <t>EagleXG-S2</t>
  </si>
  <si>
    <t>Eagle-XG-S3</t>
  </si>
  <si>
    <t>mean</t>
  </si>
  <si>
    <t>s</t>
  </si>
  <si>
    <t>cov</t>
  </si>
  <si>
    <t>patent mean</t>
  </si>
  <si>
    <t>ND</t>
  </si>
  <si>
    <t>delta</t>
  </si>
  <si>
    <t>delta (%)</t>
  </si>
  <si>
    <t>Siegbahn</t>
  </si>
  <si>
    <t>Weight</t>
  </si>
  <si>
    <t>Energy</t>
  </si>
  <si>
    <t>Wavelength</t>
  </si>
  <si>
    <t>(keV)</t>
  </si>
  <si>
    <t>(Å)</t>
  </si>
  <si>
    <t>O Kα1</t>
  </si>
  <si>
    <t>O Kα2</t>
  </si>
  <si>
    <t>Si Kα1</t>
  </si>
  <si>
    <t>Si Kα2</t>
  </si>
  <si>
    <t>Al Kα1</t>
  </si>
  <si>
    <t>Al Kα2</t>
  </si>
  <si>
    <t>Ca Lℓ</t>
  </si>
  <si>
    <t>Ca Kα2</t>
  </si>
  <si>
    <t>Ca Kα1</t>
  </si>
  <si>
    <t>B Kα1</t>
  </si>
  <si>
    <t>Mg Kα1</t>
  </si>
  <si>
    <t>Mg Kα2</t>
  </si>
  <si>
    <t>Sr Lα1</t>
  </si>
  <si>
    <t>Sr Lβ1</t>
  </si>
  <si>
    <t>Sr Kα2</t>
  </si>
  <si>
    <t>Sr Kα1</t>
  </si>
  <si>
    <t>Sn Mγ</t>
  </si>
  <si>
    <t>Sn Lα1</t>
  </si>
  <si>
    <t>Sn Lβ1</t>
  </si>
  <si>
    <t>Ba Mζ1</t>
  </si>
  <si>
    <t>Ba Lα1</t>
  </si>
  <si>
    <t>Ba Lβ1</t>
  </si>
  <si>
    <t>Sb M2N1</t>
  </si>
  <si>
    <t>Sb Mγ</t>
  </si>
  <si>
    <t>Sb Lα1</t>
  </si>
  <si>
    <t>Sb Lβ1</t>
  </si>
  <si>
    <t>Fe Lα1</t>
  </si>
  <si>
    <t>Fe Kα1</t>
  </si>
  <si>
    <t>As Lα1</t>
  </si>
  <si>
    <t>As Kα2</t>
  </si>
  <si>
    <t>As Kα1</t>
  </si>
  <si>
    <t>Zr Lα1</t>
  </si>
  <si>
    <t>Zr Lβ1</t>
  </si>
  <si>
    <t>Zr Kα1</t>
  </si>
  <si>
    <t>Ti Lℓ</t>
  </si>
  <si>
    <t>Ti Lα1</t>
  </si>
  <si>
    <t>Ti Kα1</t>
  </si>
  <si>
    <t>IUPAC</t>
  </si>
  <si>
    <t>Major transitions in Eagle XG glass in mass fraction order</t>
  </si>
  <si>
    <t>C K-L2</t>
  </si>
  <si>
    <t>C Kα2</t>
  </si>
  <si>
    <t>C K-L3</t>
  </si>
  <si>
    <t>C Kα1</t>
  </si>
  <si>
    <t>O K-L3</t>
  </si>
  <si>
    <t>O K-L2</t>
  </si>
  <si>
    <t xml:space="preserve"> </t>
  </si>
  <si>
    <t>Si K-L3</t>
  </si>
  <si>
    <t>Si K-L2</t>
  </si>
  <si>
    <t>Al K-L3</t>
  </si>
  <si>
    <t>Al K-L2</t>
  </si>
  <si>
    <t>Ca L3-M1</t>
  </si>
  <si>
    <t>Ca K-L2</t>
  </si>
  <si>
    <t>Ca K-L3</t>
  </si>
  <si>
    <t>B K-L3</t>
  </si>
  <si>
    <t>Mg K-L3</t>
  </si>
  <si>
    <t>Mg K-L2</t>
  </si>
  <si>
    <t>Sr L3-M5</t>
  </si>
  <si>
    <t>Sr L2-M4</t>
  </si>
  <si>
    <t>Sr K-L2</t>
  </si>
  <si>
    <t>Sr K-L3</t>
  </si>
  <si>
    <t>Sn M3-N5</t>
  </si>
  <si>
    <t>Sn L3-M5</t>
  </si>
  <si>
    <t>Sn L2-M4</t>
  </si>
  <si>
    <t>Ba M5-N3</t>
  </si>
  <si>
    <t>Ba L3-M5</t>
  </si>
  <si>
    <t>Ba L2-M4</t>
  </si>
  <si>
    <t>Sb M2-N1</t>
  </si>
  <si>
    <t>Sb M3-N5</t>
  </si>
  <si>
    <t>Sb L3-M5</t>
  </si>
  <si>
    <t>Sb L2-M4</t>
  </si>
  <si>
    <t>Fe L3-M5</t>
  </si>
  <si>
    <t>Fe K-L3</t>
  </si>
  <si>
    <t>As L3-M5</t>
  </si>
  <si>
    <t>As K-L2</t>
  </si>
  <si>
    <t>As K-L3</t>
  </si>
  <si>
    <t>Zr L3-M5</t>
  </si>
  <si>
    <t>Zr L2-M4</t>
  </si>
  <si>
    <t>Zr K-L3</t>
  </si>
  <si>
    <t>Ti L3-M1</t>
  </si>
  <si>
    <t>Ti L3-M5</t>
  </si>
  <si>
    <t>Ti K-L3</t>
  </si>
  <si>
    <t>mid-mf</t>
  </si>
  <si>
    <t>total mass</t>
  </si>
  <si>
    <t>mass-fraction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</si>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</sst>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%"/>
    <numFmt numFmtId="167" formatCode="0.0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vertAlign val="subscript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3" xfId="0" applyFont="1" applyFill="1" applyBorder="1" applyAlignment="1">
      <alignment wrapText="1"/>
    </xf>
    <xf numFmtId="164" fontId="0" fillId="0" borderId="0" xfId="0" applyNumberFormat="1"/>
    <xf numFmtId="0" fontId="1" fillId="3" borderId="0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Alignment="1">
      <alignment vertical="center" wrapText="1"/>
    </xf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1"/>
  <sheetViews>
    <sheetView topLeftCell="C1" workbookViewId="0">
      <selection activeCell="C2" sqref="C2:K16"/>
    </sheetView>
  </sheetViews>
  <sheetFormatPr defaultRowHeight="15" x14ac:dyDescent="0.25"/>
  <cols>
    <col min="2" max="2" width="16.85546875" bestFit="1" customWidth="1"/>
    <col min="3" max="3" width="23.85546875" bestFit="1" customWidth="1"/>
    <col min="4" max="4" width="23.85546875" customWidth="1"/>
    <col min="5" max="5" width="11.85546875" customWidth="1"/>
    <col min="9" max="9" width="16.7109375" customWidth="1"/>
  </cols>
  <sheetData>
    <row r="1" spans="2:26" ht="15.75" thickBot="1" x14ac:dyDescent="0.3"/>
    <row r="2" spans="2:26" x14ac:dyDescent="0.25">
      <c r="B2" s="14" t="s">
        <v>0</v>
      </c>
      <c r="C2" s="16" t="s">
        <v>1</v>
      </c>
      <c r="D2" s="5"/>
      <c r="E2" s="5"/>
    </row>
    <row r="3" spans="2:26" ht="15.75" thickBot="1" x14ac:dyDescent="0.3">
      <c r="B3" s="15"/>
      <c r="C3" s="17"/>
      <c r="D3" s="5"/>
      <c r="E3" s="5" t="s">
        <v>28</v>
      </c>
      <c r="F3" t="s">
        <v>25</v>
      </c>
      <c r="G3" t="s">
        <v>26</v>
      </c>
      <c r="H3" t="s">
        <v>27</v>
      </c>
      <c r="I3" t="s">
        <v>161</v>
      </c>
      <c r="J3" t="s">
        <v>29</v>
      </c>
      <c r="K3" t="s">
        <v>30</v>
      </c>
      <c r="L3" t="s">
        <v>47</v>
      </c>
      <c r="M3" t="s">
        <v>32</v>
      </c>
      <c r="N3" t="s">
        <v>31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</row>
    <row r="4" spans="2:26" ht="16.5" thickBot="1" x14ac:dyDescent="0.35">
      <c r="B4" s="1" t="s">
        <v>2</v>
      </c>
      <c r="C4" s="4" t="s">
        <v>3</v>
      </c>
      <c r="D4" s="3"/>
      <c r="E4" s="3" t="s">
        <v>2</v>
      </c>
      <c r="F4">
        <v>64</v>
      </c>
      <c r="G4">
        <v>71</v>
      </c>
      <c r="H4" s="2">
        <f>(G4+F4)/2</f>
        <v>67.5</v>
      </c>
      <c r="I4" s="6">
        <f>H4/100</f>
        <v>0.67500000000000004</v>
      </c>
      <c r="J4">
        <v>60.084000000000003</v>
      </c>
      <c r="K4">
        <f>J4*H4</f>
        <v>4055.67</v>
      </c>
      <c r="L4">
        <v>53.256999999999998</v>
      </c>
      <c r="M4">
        <f>K4*L4/100</f>
        <v>2159.9281719000001</v>
      </c>
      <c r="N4">
        <f>K4*(100-L4)/100</f>
        <v>1895.7418281</v>
      </c>
    </row>
    <row r="5" spans="2:26" ht="16.5" thickBot="1" x14ac:dyDescent="0.35">
      <c r="B5" s="1" t="s">
        <v>4</v>
      </c>
      <c r="C5" s="4" t="s">
        <v>5</v>
      </c>
      <c r="D5" s="3"/>
      <c r="E5" s="3" t="s">
        <v>4</v>
      </c>
      <c r="F5">
        <v>9</v>
      </c>
      <c r="G5">
        <v>12</v>
      </c>
      <c r="H5" s="2">
        <f t="shared" ref="H5:H16" si="0">(G5+F5)/2</f>
        <v>10.5</v>
      </c>
      <c r="I5" s="6">
        <f t="shared" ref="I5:I16" si="1">H5/100</f>
        <v>0.105</v>
      </c>
      <c r="J5">
        <v>101.961</v>
      </c>
      <c r="K5">
        <f t="shared" ref="K5:K16" si="2">J5*H5</f>
        <v>1070.5905</v>
      </c>
      <c r="L5">
        <v>47.075400000000002</v>
      </c>
      <c r="M5">
        <f t="shared" ref="M5:M16" si="3">K5*L5/100</f>
        <v>503.98476023699999</v>
      </c>
      <c r="O5">
        <f>K5*(100-L5)/100</f>
        <v>566.60573976299997</v>
      </c>
    </row>
    <row r="6" spans="2:26" ht="16.5" thickBot="1" x14ac:dyDescent="0.35">
      <c r="B6" s="1" t="s">
        <v>6</v>
      </c>
      <c r="C6" s="4" t="s">
        <v>7</v>
      </c>
      <c r="D6" s="3"/>
      <c r="E6" s="3" t="s">
        <v>6</v>
      </c>
      <c r="F6">
        <v>7</v>
      </c>
      <c r="G6">
        <v>12</v>
      </c>
      <c r="H6" s="2">
        <f t="shared" si="0"/>
        <v>9.5</v>
      </c>
      <c r="I6" s="6">
        <f t="shared" si="1"/>
        <v>9.5000000000000001E-2</v>
      </c>
      <c r="J6">
        <f>2*10.811+3*15.999</f>
        <v>69.619</v>
      </c>
      <c r="K6">
        <f t="shared" si="2"/>
        <v>661.38049999999998</v>
      </c>
      <c r="L6">
        <v>68.943700000000007</v>
      </c>
      <c r="M6">
        <f t="shared" si="3"/>
        <v>455.98018777850007</v>
      </c>
      <c r="P6">
        <f>K6*(100-L6)/100</f>
        <v>205.40031222149995</v>
      </c>
    </row>
    <row r="7" spans="2:26" ht="15.75" thickBot="1" x14ac:dyDescent="0.3">
      <c r="B7" s="1" t="s">
        <v>8</v>
      </c>
      <c r="C7" s="4" t="s">
        <v>9</v>
      </c>
      <c r="D7" s="3"/>
      <c r="E7" s="3" t="s">
        <v>8</v>
      </c>
      <c r="F7">
        <v>1</v>
      </c>
      <c r="G7">
        <v>3</v>
      </c>
      <c r="H7" s="2">
        <f t="shared" si="0"/>
        <v>2</v>
      </c>
      <c r="I7" s="6">
        <f t="shared" si="1"/>
        <v>0.02</v>
      </c>
      <c r="J7">
        <f>24.305+15.999</f>
        <v>40.304000000000002</v>
      </c>
      <c r="K7">
        <f t="shared" si="2"/>
        <v>80.608000000000004</v>
      </c>
      <c r="L7">
        <v>39.697000000000003</v>
      </c>
      <c r="M7">
        <f t="shared" si="3"/>
        <v>31.998957760000003</v>
      </c>
      <c r="Q7">
        <f>K7*(100-L7)/100</f>
        <v>48.609042240000001</v>
      </c>
    </row>
    <row r="8" spans="2:26" ht="15.75" thickBot="1" x14ac:dyDescent="0.3">
      <c r="B8" s="1" t="s">
        <v>10</v>
      </c>
      <c r="C8" s="4" t="s">
        <v>11</v>
      </c>
      <c r="D8" s="3"/>
      <c r="E8" s="3" t="s">
        <v>10</v>
      </c>
      <c r="F8">
        <v>6</v>
      </c>
      <c r="G8">
        <v>11.5</v>
      </c>
      <c r="H8" s="2">
        <f t="shared" si="0"/>
        <v>8.75</v>
      </c>
      <c r="I8" s="6">
        <f t="shared" si="1"/>
        <v>8.7499999999999994E-2</v>
      </c>
      <c r="J8">
        <f>22.99+15.999</f>
        <v>38.988999999999997</v>
      </c>
      <c r="K8">
        <f t="shared" si="2"/>
        <v>341.15375</v>
      </c>
      <c r="L8">
        <v>28.5307</v>
      </c>
      <c r="M8">
        <f t="shared" si="3"/>
        <v>97.333552951249999</v>
      </c>
      <c r="R8">
        <f>K8*(100-L8)/100</f>
        <v>243.82019704875</v>
      </c>
    </row>
    <row r="9" spans="2:26" ht="15.75" thickBot="1" x14ac:dyDescent="0.3">
      <c r="B9" s="1" t="s">
        <v>12</v>
      </c>
      <c r="C9" s="4" t="s">
        <v>13</v>
      </c>
      <c r="D9" s="3"/>
      <c r="E9" s="3" t="s">
        <v>12</v>
      </c>
      <c r="F9">
        <v>0</v>
      </c>
      <c r="G9">
        <v>1</v>
      </c>
      <c r="H9" s="2">
        <f t="shared" si="0"/>
        <v>0.5</v>
      </c>
      <c r="I9" s="6">
        <f t="shared" si="1"/>
        <v>5.0000000000000001E-3</v>
      </c>
      <c r="J9">
        <f>87.62+15.999</f>
        <v>103.619</v>
      </c>
      <c r="K9">
        <f t="shared" si="2"/>
        <v>51.8095</v>
      </c>
      <c r="L9">
        <v>15.441000000000001</v>
      </c>
      <c r="M9">
        <f t="shared" si="3"/>
        <v>7.9999048950000011</v>
      </c>
      <c r="S9">
        <f>K9*(100-L9)/100</f>
        <v>43.809595105</v>
      </c>
    </row>
    <row r="10" spans="2:26" ht="16.5" thickBot="1" x14ac:dyDescent="0.35">
      <c r="B10" s="1" t="s">
        <v>14</v>
      </c>
      <c r="C10" s="4" t="s">
        <v>15</v>
      </c>
      <c r="D10" s="3"/>
      <c r="E10" s="3" t="s">
        <v>14</v>
      </c>
      <c r="F10">
        <v>1.7000000000000001E-2</v>
      </c>
      <c r="G10">
        <v>0.11</v>
      </c>
      <c r="H10" s="2">
        <f t="shared" si="0"/>
        <v>6.3500000000000001E-2</v>
      </c>
      <c r="I10" s="6">
        <f t="shared" si="1"/>
        <v>6.3500000000000004E-4</v>
      </c>
      <c r="J10">
        <f>118.71+2*15.999</f>
        <v>150.708</v>
      </c>
      <c r="K10">
        <f t="shared" si="2"/>
        <v>9.5699579999999997</v>
      </c>
      <c r="L10">
        <v>21.235700000000001</v>
      </c>
      <c r="M10">
        <f t="shared" si="3"/>
        <v>2.0322475710060002</v>
      </c>
      <c r="T10">
        <f>K10*(100-L10)/100</f>
        <v>7.5377104289939982</v>
      </c>
    </row>
    <row r="11" spans="2:26" ht="15.75" thickBot="1" x14ac:dyDescent="0.3">
      <c r="B11" s="1" t="s">
        <v>16</v>
      </c>
      <c r="C11" s="4" t="s">
        <v>17</v>
      </c>
      <c r="D11" s="3"/>
      <c r="E11" s="3" t="s">
        <v>16</v>
      </c>
      <c r="F11">
        <v>0</v>
      </c>
      <c r="G11">
        <v>0.1</v>
      </c>
      <c r="H11" s="2">
        <f t="shared" si="0"/>
        <v>0.05</v>
      </c>
      <c r="I11" s="6">
        <f t="shared" si="1"/>
        <v>5.0000000000000001E-4</v>
      </c>
      <c r="J11">
        <f>137.33+15.999</f>
        <v>153.32900000000001</v>
      </c>
      <c r="K11">
        <f t="shared" si="2"/>
        <v>7.6664500000000011</v>
      </c>
      <c r="L11">
        <v>10.4343</v>
      </c>
      <c r="M11">
        <f t="shared" si="3"/>
        <v>0.79994039235000014</v>
      </c>
      <c r="U11">
        <f>K11*(100-L11)/100</f>
        <v>6.8665096076500003</v>
      </c>
    </row>
    <row r="12" spans="2:26" ht="16.5" thickBot="1" x14ac:dyDescent="0.35">
      <c r="B12" s="1" t="s">
        <v>18</v>
      </c>
      <c r="C12" s="4" t="s">
        <v>19</v>
      </c>
      <c r="D12" s="3"/>
      <c r="E12" s="3" t="s">
        <v>18</v>
      </c>
      <c r="F12">
        <v>0</v>
      </c>
      <c r="G12">
        <v>0.02</v>
      </c>
      <c r="H12" s="2">
        <f t="shared" si="0"/>
        <v>0.01</v>
      </c>
      <c r="I12" s="6">
        <f t="shared" si="1"/>
        <v>1E-4</v>
      </c>
      <c r="J12">
        <f>2*74.922+3*15.999</f>
        <v>197.84100000000001</v>
      </c>
      <c r="K12">
        <f t="shared" si="2"/>
        <v>1.9784100000000002</v>
      </c>
      <c r="L12">
        <v>24.261500000000002</v>
      </c>
      <c r="M12">
        <f t="shared" si="3"/>
        <v>0.47999194215000007</v>
      </c>
      <c r="V12">
        <f>K12*(100-L12)/100</f>
        <v>1.4984180578500002</v>
      </c>
    </row>
    <row r="13" spans="2:26" ht="16.5" thickBot="1" x14ac:dyDescent="0.35">
      <c r="B13" s="1" t="s">
        <v>20</v>
      </c>
      <c r="C13" s="4" t="s">
        <v>19</v>
      </c>
      <c r="D13" s="3"/>
      <c r="E13" s="3" t="s">
        <v>20</v>
      </c>
      <c r="F13">
        <v>0</v>
      </c>
      <c r="G13">
        <v>0.02</v>
      </c>
      <c r="H13" s="2">
        <f t="shared" si="0"/>
        <v>0.01</v>
      </c>
      <c r="I13" s="6">
        <f t="shared" si="1"/>
        <v>1E-4</v>
      </c>
      <c r="J13">
        <f>2*121.76+3*15.999</f>
        <v>291.517</v>
      </c>
      <c r="K13">
        <f t="shared" si="2"/>
        <v>2.9151699999999998</v>
      </c>
      <c r="L13">
        <v>16.4666</v>
      </c>
      <c r="M13">
        <f t="shared" si="3"/>
        <v>0.48002938321999999</v>
      </c>
      <c r="W13">
        <f>K13*(100-L13)/100</f>
        <v>2.43514061678</v>
      </c>
    </row>
    <row r="14" spans="2:26" ht="16.5" thickBot="1" x14ac:dyDescent="0.35">
      <c r="B14" s="1" t="s">
        <v>21</v>
      </c>
      <c r="C14" s="4" t="s">
        <v>22</v>
      </c>
      <c r="D14" s="3"/>
      <c r="E14" s="3" t="s">
        <v>21</v>
      </c>
      <c r="F14">
        <v>0.01</v>
      </c>
      <c r="G14">
        <v>0.03</v>
      </c>
      <c r="H14" s="2">
        <f t="shared" si="0"/>
        <v>0.02</v>
      </c>
      <c r="I14" s="6">
        <f t="shared" si="1"/>
        <v>2.0000000000000001E-4</v>
      </c>
      <c r="J14">
        <f>2*55.847+3*15.999</f>
        <v>159.691</v>
      </c>
      <c r="K14">
        <f t="shared" si="2"/>
        <v>3.1938200000000001</v>
      </c>
      <c r="L14">
        <v>30.057500000000001</v>
      </c>
      <c r="M14">
        <f t="shared" si="3"/>
        <v>0.95998244650000009</v>
      </c>
      <c r="X14">
        <f>K14*(100-L14)/100</f>
        <v>2.2338375534999999</v>
      </c>
    </row>
    <row r="15" spans="2:26" ht="16.5" thickBot="1" x14ac:dyDescent="0.35">
      <c r="B15" s="1" t="s">
        <v>23</v>
      </c>
      <c r="C15" s="4" t="s">
        <v>22</v>
      </c>
      <c r="D15" s="3"/>
      <c r="E15" s="3" t="s">
        <v>23</v>
      </c>
      <c r="F15">
        <v>0.01</v>
      </c>
      <c r="G15">
        <v>0.02</v>
      </c>
      <c r="H15" s="2">
        <f t="shared" si="0"/>
        <v>1.4999999999999999E-2</v>
      </c>
      <c r="I15" s="6">
        <f t="shared" si="1"/>
        <v>1.4999999999999999E-4</v>
      </c>
      <c r="J15">
        <f>91.22+2*15.999</f>
        <v>123.218</v>
      </c>
      <c r="K15">
        <f t="shared" si="2"/>
        <v>1.8482700000000001</v>
      </c>
      <c r="L15">
        <v>25.969799999999999</v>
      </c>
      <c r="M15">
        <f t="shared" si="3"/>
        <v>0.47999202246000006</v>
      </c>
      <c r="Y15">
        <f>K15*(100-L15)/100</f>
        <v>1.3682779775400002</v>
      </c>
    </row>
    <row r="16" spans="2:26" ht="16.5" thickBot="1" x14ac:dyDescent="0.35">
      <c r="B16" s="1" t="s">
        <v>24</v>
      </c>
      <c r="C16" s="4" t="s">
        <v>22</v>
      </c>
      <c r="D16" s="3"/>
      <c r="E16" s="3" t="s">
        <v>24</v>
      </c>
      <c r="F16">
        <v>0.01</v>
      </c>
      <c r="G16">
        <v>0.03</v>
      </c>
      <c r="H16" s="2">
        <f t="shared" si="0"/>
        <v>0.02</v>
      </c>
      <c r="I16" s="6">
        <f t="shared" si="1"/>
        <v>2.0000000000000001E-4</v>
      </c>
      <c r="J16">
        <f>47.88+2*15.999</f>
        <v>79.878</v>
      </c>
      <c r="K16">
        <f t="shared" si="2"/>
        <v>1.5975600000000001</v>
      </c>
      <c r="L16">
        <v>40.0501</v>
      </c>
      <c r="M16">
        <f t="shared" si="3"/>
        <v>0.63982437755999999</v>
      </c>
      <c r="Z16">
        <f>K16*(100-L16)/100</f>
        <v>0.95773562243999999</v>
      </c>
    </row>
    <row r="18" spans="10:28" x14ac:dyDescent="0.25">
      <c r="J18" t="s">
        <v>45</v>
      </c>
      <c r="K18">
        <f>SUM(K4:K16)</f>
        <v>6289.9818880000021</v>
      </c>
      <c r="M18">
        <f>SUM(M4:M16)</f>
        <v>3263.0975436569961</v>
      </c>
      <c r="N18">
        <f t="shared" ref="N18:Z18" si="4">SUM(N4:N16)</f>
        <v>1895.7418281</v>
      </c>
      <c r="O18">
        <f t="shared" si="4"/>
        <v>566.60573976299997</v>
      </c>
      <c r="P18">
        <f t="shared" si="4"/>
        <v>205.40031222149995</v>
      </c>
      <c r="Q18">
        <f t="shared" si="4"/>
        <v>48.609042240000001</v>
      </c>
      <c r="R18">
        <f t="shared" si="4"/>
        <v>243.82019704875</v>
      </c>
      <c r="S18">
        <f t="shared" si="4"/>
        <v>43.809595105</v>
      </c>
      <c r="T18">
        <f t="shared" si="4"/>
        <v>7.5377104289939982</v>
      </c>
      <c r="U18">
        <f t="shared" si="4"/>
        <v>6.8665096076500003</v>
      </c>
      <c r="V18">
        <f t="shared" si="4"/>
        <v>1.4984180578500002</v>
      </c>
      <c r="W18">
        <f t="shared" si="4"/>
        <v>2.43514061678</v>
      </c>
      <c r="X18">
        <f t="shared" si="4"/>
        <v>2.2338375534999999</v>
      </c>
      <c r="Y18">
        <f t="shared" si="4"/>
        <v>1.3682779775400002</v>
      </c>
      <c r="Z18">
        <f t="shared" si="4"/>
        <v>0.95773562243999999</v>
      </c>
    </row>
    <row r="19" spans="10:28" x14ac:dyDescent="0.25">
      <c r="J19" t="s">
        <v>46</v>
      </c>
      <c r="M19">
        <f>M18/$K$18</f>
        <v>0.51877693795626312</v>
      </c>
      <c r="N19">
        <f t="shared" ref="N19:Z19" si="5">N18/$K$18</f>
        <v>0.30139066564192935</v>
      </c>
      <c r="O19">
        <f t="shared" si="5"/>
        <v>9.0080663164383304E-2</v>
      </c>
      <c r="P19">
        <f t="shared" si="5"/>
        <v>3.265515161710747E-2</v>
      </c>
      <c r="Q19">
        <f t="shared" si="5"/>
        <v>7.7280098902567755E-3</v>
      </c>
      <c r="R19">
        <f t="shared" si="5"/>
        <v>3.8763259003004293E-2</v>
      </c>
      <c r="S19">
        <f t="shared" si="5"/>
        <v>6.9649795317502806E-3</v>
      </c>
      <c r="T19">
        <f t="shared" si="5"/>
        <v>1.1983675888438418E-3</v>
      </c>
      <c r="U19">
        <f t="shared" si="5"/>
        <v>1.0916580889922586E-3</v>
      </c>
      <c r="V19">
        <f t="shared" si="5"/>
        <v>2.3822295270971687E-4</v>
      </c>
      <c r="W19">
        <f t="shared" si="5"/>
        <v>3.8714588692628034E-4</v>
      </c>
      <c r="X19">
        <f t="shared" si="5"/>
        <v>3.5514212811354903E-4</v>
      </c>
      <c r="Y19">
        <f t="shared" si="5"/>
        <v>2.1753289626324593E-4</v>
      </c>
      <c r="Z19">
        <f t="shared" si="5"/>
        <v>1.5226365345616711E-4</v>
      </c>
      <c r="AB19">
        <f>SUM(M19:Z19)</f>
        <v>0.99999999999999944</v>
      </c>
    </row>
    <row r="21" spans="10:28" x14ac:dyDescent="0.25">
      <c r="J21" t="s">
        <v>46</v>
      </c>
      <c r="M21" s="6">
        <v>0.51877693795626312</v>
      </c>
      <c r="N21" s="6">
        <v>0.30139066564192935</v>
      </c>
      <c r="O21" s="6">
        <v>9.0080663164383304E-2</v>
      </c>
      <c r="P21" s="6">
        <v>3.265515161710747E-2</v>
      </c>
      <c r="Q21" s="6">
        <v>7.7280098902567755E-3</v>
      </c>
      <c r="R21" s="6">
        <v>3.8763259003004293E-2</v>
      </c>
      <c r="S21" s="6">
        <v>6.9649795317502806E-3</v>
      </c>
      <c r="T21" s="6">
        <v>1.1983675888438418E-3</v>
      </c>
      <c r="U21" s="6">
        <v>1.0916580889922586E-3</v>
      </c>
      <c r="V21" s="6">
        <v>2.3822295270971687E-4</v>
      </c>
      <c r="W21" s="6">
        <v>3.8714588692628034E-4</v>
      </c>
      <c r="X21" s="6">
        <v>3.5514212811354903E-4</v>
      </c>
      <c r="Y21" s="6">
        <v>2.1753289626324593E-4</v>
      </c>
      <c r="Z21" s="6">
        <v>1.5226365345616711E-4</v>
      </c>
    </row>
  </sheetData>
  <mergeCells count="2">
    <mergeCell ref="B2:B3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11BF-41F5-4D12-B9FD-3D908CB381E4}">
  <dimension ref="B4:Q21"/>
  <sheetViews>
    <sheetView tabSelected="1" workbookViewId="0">
      <selection activeCell="B5" sqref="B5:B6"/>
    </sheetView>
  </sheetViews>
  <sheetFormatPr defaultRowHeight="15" x14ac:dyDescent="0.25"/>
  <cols>
    <col min="2" max="2" width="25.7109375" customWidth="1"/>
    <col min="9" max="9" width="10.140625" customWidth="1"/>
    <col min="11" max="11" width="13.5703125" customWidth="1"/>
    <col min="12" max="12" width="15" customWidth="1"/>
    <col min="16" max="16" width="13.28515625" customWidth="1"/>
  </cols>
  <sheetData>
    <row r="4" spans="2:17" ht="15.75" thickBot="1" x14ac:dyDescent="0.3">
      <c r="O4" s="18" t="s">
        <v>164</v>
      </c>
      <c r="P4" s="18"/>
    </row>
    <row r="5" spans="2:17" x14ac:dyDescent="0.25">
      <c r="B5" s="16" t="s">
        <v>1</v>
      </c>
      <c r="C5" s="5"/>
      <c r="D5" s="5"/>
    </row>
    <row r="6" spans="2:17" ht="15.75" thickBot="1" x14ac:dyDescent="0.3">
      <c r="B6" s="17"/>
      <c r="C6" s="5"/>
      <c r="D6" s="5" t="s">
        <v>28</v>
      </c>
      <c r="E6" t="s">
        <v>25</v>
      </c>
      <c r="F6" t="s">
        <v>26</v>
      </c>
      <c r="G6" t="s">
        <v>27</v>
      </c>
      <c r="H6" t="s">
        <v>161</v>
      </c>
      <c r="I6" t="s">
        <v>29</v>
      </c>
      <c r="J6" t="s">
        <v>30</v>
      </c>
      <c r="K6" t="s">
        <v>163</v>
      </c>
      <c r="L6" t="s">
        <v>163</v>
      </c>
      <c r="O6" s="5" t="s">
        <v>28</v>
      </c>
      <c r="P6" t="s">
        <v>163</v>
      </c>
      <c r="Q6" t="s">
        <v>49</v>
      </c>
    </row>
    <row r="7" spans="2:17" ht="16.5" thickBot="1" x14ac:dyDescent="0.35">
      <c r="B7" s="4" t="s">
        <v>3</v>
      </c>
      <c r="C7" s="3"/>
      <c r="D7" s="3" t="s">
        <v>2</v>
      </c>
      <c r="E7">
        <v>64</v>
      </c>
      <c r="F7">
        <v>71</v>
      </c>
      <c r="G7" s="2">
        <f>(F7+E7)/2</f>
        <v>67.5</v>
      </c>
      <c r="H7" s="6">
        <f>G7/100</f>
        <v>0.67500000000000004</v>
      </c>
      <c r="I7">
        <v>60.084000000000003</v>
      </c>
      <c r="J7">
        <f>I7*G7</f>
        <v>4055.67</v>
      </c>
      <c r="K7" s="19">
        <f>J7/J21</f>
        <v>0.64478246077900292</v>
      </c>
      <c r="L7" s="19">
        <f>ROUND(K7,7)</f>
        <v>0.64478250000000004</v>
      </c>
      <c r="O7" s="3" t="s">
        <v>2</v>
      </c>
      <c r="P7" s="19">
        <v>0.64478250000000004</v>
      </c>
      <c r="Q7">
        <f>100*P7</f>
        <v>64.478250000000003</v>
      </c>
    </row>
    <row r="8" spans="2:17" ht="16.5" thickBot="1" x14ac:dyDescent="0.35">
      <c r="B8" s="4" t="s">
        <v>5</v>
      </c>
      <c r="C8" s="3"/>
      <c r="D8" s="3" t="s">
        <v>4</v>
      </c>
      <c r="E8">
        <v>9</v>
      </c>
      <c r="F8">
        <v>12</v>
      </c>
      <c r="G8" s="2">
        <f t="shared" ref="G8:G19" si="0">(F8+E8)/2</f>
        <v>10.5</v>
      </c>
      <c r="H8" s="6">
        <f t="shared" ref="H8:H19" si="1">G8/100</f>
        <v>0.105</v>
      </c>
      <c r="I8">
        <v>101.961</v>
      </c>
      <c r="J8">
        <f t="shared" ref="J8:J19" si="2">I8*G8</f>
        <v>1070.5905</v>
      </c>
      <c r="K8" s="19">
        <f t="shared" ref="K8:K19" si="3">J8/$J$21</f>
        <v>0.17020565703733861</v>
      </c>
      <c r="L8" s="19">
        <f t="shared" ref="L8:L19" si="4">ROUND(K8,7)</f>
        <v>0.17020569999999999</v>
      </c>
      <c r="O8" s="3" t="s">
        <v>4</v>
      </c>
      <c r="P8" s="19">
        <v>0.17020569999999999</v>
      </c>
      <c r="Q8">
        <f t="shared" ref="Q8:Q19" si="5">100*P8</f>
        <v>17.020569999999999</v>
      </c>
    </row>
    <row r="9" spans="2:17" ht="16.5" thickBot="1" x14ac:dyDescent="0.35">
      <c r="B9" s="4" t="s">
        <v>7</v>
      </c>
      <c r="C9" s="3"/>
      <c r="D9" s="3" t="s">
        <v>6</v>
      </c>
      <c r="E9">
        <v>7</v>
      </c>
      <c r="F9">
        <v>12</v>
      </c>
      <c r="G9" s="2">
        <f t="shared" si="0"/>
        <v>9.5</v>
      </c>
      <c r="H9" s="6">
        <f t="shared" si="1"/>
        <v>9.5000000000000001E-2</v>
      </c>
      <c r="I9">
        <f>2*10.811+3*15.999</f>
        <v>69.619</v>
      </c>
      <c r="J9">
        <f t="shared" si="2"/>
        <v>661.38049999999998</v>
      </c>
      <c r="K9" s="19">
        <f t="shared" si="3"/>
        <v>0.1051482360007711</v>
      </c>
      <c r="L9" s="19">
        <f t="shared" si="4"/>
        <v>0.1051482</v>
      </c>
      <c r="O9" s="3" t="s">
        <v>6</v>
      </c>
      <c r="P9" s="19">
        <v>0.1051482</v>
      </c>
      <c r="Q9">
        <f t="shared" si="5"/>
        <v>10.51482</v>
      </c>
    </row>
    <row r="10" spans="2:17" ht="15.75" thickBot="1" x14ac:dyDescent="0.3">
      <c r="B10" s="4" t="s">
        <v>9</v>
      </c>
      <c r="C10" s="3"/>
      <c r="D10" s="3" t="s">
        <v>8</v>
      </c>
      <c r="E10">
        <v>1</v>
      </c>
      <c r="F10">
        <v>3</v>
      </c>
      <c r="G10" s="2">
        <f t="shared" si="0"/>
        <v>2</v>
      </c>
      <c r="H10" s="6">
        <f t="shared" si="1"/>
        <v>0.02</v>
      </c>
      <c r="I10">
        <f>24.305+15.999</f>
        <v>40.304000000000002</v>
      </c>
      <c r="J10">
        <f t="shared" si="2"/>
        <v>80.608000000000004</v>
      </c>
      <c r="K10" s="19">
        <f t="shared" si="3"/>
        <v>1.2815299222686725E-2</v>
      </c>
      <c r="L10" s="19">
        <f t="shared" si="4"/>
        <v>1.28153E-2</v>
      </c>
      <c r="O10" s="3" t="s">
        <v>10</v>
      </c>
      <c r="P10" s="19">
        <v>5.4237599999999997E-2</v>
      </c>
      <c r="Q10">
        <f t="shared" si="5"/>
        <v>5.4237599999999997</v>
      </c>
    </row>
    <row r="11" spans="2:17" ht="15.75" thickBot="1" x14ac:dyDescent="0.3">
      <c r="B11" s="4" t="s">
        <v>11</v>
      </c>
      <c r="C11" s="3"/>
      <c r="D11" s="3" t="s">
        <v>10</v>
      </c>
      <c r="E11">
        <v>6</v>
      </c>
      <c r="F11">
        <v>11.5</v>
      </c>
      <c r="G11" s="2">
        <f t="shared" si="0"/>
        <v>8.75</v>
      </c>
      <c r="H11" s="6">
        <f t="shared" si="1"/>
        <v>8.7499999999999994E-2</v>
      </c>
      <c r="I11">
        <f>22.99+15.999</f>
        <v>38.988999999999997</v>
      </c>
      <c r="J11">
        <f t="shared" si="2"/>
        <v>341.15375</v>
      </c>
      <c r="K11" s="19">
        <f t="shared" si="3"/>
        <v>5.4237636303985474E-2</v>
      </c>
      <c r="L11" s="19">
        <f t="shared" si="4"/>
        <v>5.4237599999999997E-2</v>
      </c>
      <c r="O11" s="3" t="s">
        <v>8</v>
      </c>
      <c r="P11" s="19">
        <v>1.28153E-2</v>
      </c>
      <c r="Q11">
        <f t="shared" si="5"/>
        <v>1.2815300000000001</v>
      </c>
    </row>
    <row r="12" spans="2:17" ht="15.75" thickBot="1" x14ac:dyDescent="0.3">
      <c r="B12" s="4" t="s">
        <v>13</v>
      </c>
      <c r="C12" s="3"/>
      <c r="D12" s="3" t="s">
        <v>12</v>
      </c>
      <c r="E12">
        <v>0</v>
      </c>
      <c r="F12">
        <v>1</v>
      </c>
      <c r="G12" s="2">
        <f t="shared" si="0"/>
        <v>0.5</v>
      </c>
      <c r="H12" s="6">
        <f t="shared" si="1"/>
        <v>5.0000000000000001E-3</v>
      </c>
      <c r="I12">
        <f>87.62+15.999</f>
        <v>103.619</v>
      </c>
      <c r="J12">
        <f t="shared" si="2"/>
        <v>51.8095</v>
      </c>
      <c r="K12" s="19">
        <f t="shared" si="3"/>
        <v>8.2368281693850215E-3</v>
      </c>
      <c r="L12" s="19">
        <f t="shared" si="4"/>
        <v>8.2368000000000007E-3</v>
      </c>
      <c r="O12" s="3" t="s">
        <v>12</v>
      </c>
      <c r="P12" s="19">
        <v>8.2368000000000007E-3</v>
      </c>
      <c r="Q12">
        <f t="shared" si="5"/>
        <v>0.82368000000000008</v>
      </c>
    </row>
    <row r="13" spans="2:17" ht="16.5" thickBot="1" x14ac:dyDescent="0.35">
      <c r="B13" s="4" t="s">
        <v>15</v>
      </c>
      <c r="C13" s="3"/>
      <c r="D13" s="3" t="s">
        <v>14</v>
      </c>
      <c r="E13">
        <v>1.7000000000000001E-2</v>
      </c>
      <c r="F13">
        <v>0.11</v>
      </c>
      <c r="G13" s="2">
        <f t="shared" si="0"/>
        <v>6.3500000000000001E-2</v>
      </c>
      <c r="H13" s="6">
        <f t="shared" si="1"/>
        <v>6.3500000000000004E-4</v>
      </c>
      <c r="I13">
        <f>118.71+2*15.999</f>
        <v>150.708</v>
      </c>
      <c r="J13">
        <f t="shared" si="2"/>
        <v>9.5699579999999997</v>
      </c>
      <c r="K13" s="19">
        <f t="shared" si="3"/>
        <v>1.5214603428759502E-3</v>
      </c>
      <c r="L13" s="19">
        <f t="shared" si="4"/>
        <v>1.5215000000000001E-3</v>
      </c>
      <c r="O13" s="3" t="s">
        <v>14</v>
      </c>
      <c r="P13" s="19">
        <v>1.5215000000000001E-3</v>
      </c>
      <c r="Q13">
        <f t="shared" si="5"/>
        <v>0.15215000000000001</v>
      </c>
    </row>
    <row r="14" spans="2:17" ht="15.75" thickBot="1" x14ac:dyDescent="0.3">
      <c r="B14" s="4" t="s">
        <v>17</v>
      </c>
      <c r="C14" s="3"/>
      <c r="D14" s="3" t="s">
        <v>16</v>
      </c>
      <c r="E14">
        <v>0</v>
      </c>
      <c r="F14">
        <v>0.1</v>
      </c>
      <c r="G14" s="2">
        <f t="shared" si="0"/>
        <v>0.05</v>
      </c>
      <c r="H14" s="6">
        <f t="shared" si="1"/>
        <v>5.0000000000000001E-4</v>
      </c>
      <c r="I14">
        <f>137.33+15.999</f>
        <v>153.32900000000001</v>
      </c>
      <c r="J14">
        <f t="shared" si="2"/>
        <v>7.6664500000000011</v>
      </c>
      <c r="K14" s="19">
        <f t="shared" si="3"/>
        <v>1.2188349881620516E-3</v>
      </c>
      <c r="L14" s="19">
        <f t="shared" si="4"/>
        <v>1.2187999999999999E-3</v>
      </c>
      <c r="O14" s="3" t="s">
        <v>16</v>
      </c>
      <c r="P14" s="19">
        <v>1.2187999999999999E-3</v>
      </c>
      <c r="Q14">
        <f t="shared" si="5"/>
        <v>0.12187999999999999</v>
      </c>
    </row>
    <row r="15" spans="2:17" ht="16.5" thickBot="1" x14ac:dyDescent="0.35">
      <c r="B15" s="4" t="s">
        <v>19</v>
      </c>
      <c r="C15" s="3"/>
      <c r="D15" s="3" t="s">
        <v>18</v>
      </c>
      <c r="E15">
        <v>0</v>
      </c>
      <c r="F15">
        <v>0.02</v>
      </c>
      <c r="G15" s="2">
        <f t="shared" si="0"/>
        <v>0.01</v>
      </c>
      <c r="H15" s="6">
        <f t="shared" si="1"/>
        <v>1E-4</v>
      </c>
      <c r="I15">
        <f>2*74.922+3*15.999</f>
        <v>197.84100000000001</v>
      </c>
      <c r="J15">
        <f t="shared" si="2"/>
        <v>1.9784100000000002</v>
      </c>
      <c r="K15" s="19">
        <f t="shared" si="3"/>
        <v>3.1453349711139895E-4</v>
      </c>
      <c r="L15" s="19">
        <f t="shared" si="4"/>
        <v>3.145E-4</v>
      </c>
      <c r="O15" s="3" t="s">
        <v>21</v>
      </c>
      <c r="P15" s="19">
        <v>5.0779999999999998E-4</v>
      </c>
      <c r="Q15">
        <f t="shared" si="5"/>
        <v>5.0779999999999999E-2</v>
      </c>
    </row>
    <row r="16" spans="2:17" ht="16.5" thickBot="1" x14ac:dyDescent="0.35">
      <c r="B16" s="4" t="s">
        <v>19</v>
      </c>
      <c r="C16" s="3"/>
      <c r="D16" s="3" t="s">
        <v>20</v>
      </c>
      <c r="E16">
        <v>0</v>
      </c>
      <c r="F16">
        <v>0.02</v>
      </c>
      <c r="G16" s="2">
        <f t="shared" si="0"/>
        <v>0.01</v>
      </c>
      <c r="H16" s="6">
        <f t="shared" si="1"/>
        <v>1E-4</v>
      </c>
      <c r="I16">
        <f>2*121.76+3*15.999</f>
        <v>291.517</v>
      </c>
      <c r="J16">
        <f t="shared" si="2"/>
        <v>2.9151699999999998</v>
      </c>
      <c r="K16" s="19">
        <f t="shared" si="3"/>
        <v>4.6346238382046021E-4</v>
      </c>
      <c r="L16" s="19">
        <f t="shared" si="4"/>
        <v>4.6349999999999999E-4</v>
      </c>
      <c r="O16" s="3" t="s">
        <v>20</v>
      </c>
      <c r="P16" s="19">
        <v>4.6349999999999999E-4</v>
      </c>
      <c r="Q16">
        <f t="shared" si="5"/>
        <v>4.6350000000000002E-2</v>
      </c>
    </row>
    <row r="17" spans="2:17" ht="16.5" thickBot="1" x14ac:dyDescent="0.35">
      <c r="B17" s="4" t="s">
        <v>22</v>
      </c>
      <c r="C17" s="3"/>
      <c r="D17" s="3" t="s">
        <v>21</v>
      </c>
      <c r="E17">
        <v>0.01</v>
      </c>
      <c r="F17">
        <v>0.03</v>
      </c>
      <c r="G17" s="2">
        <f t="shared" si="0"/>
        <v>0.02</v>
      </c>
      <c r="H17" s="6">
        <f t="shared" si="1"/>
        <v>2.0000000000000001E-4</v>
      </c>
      <c r="I17">
        <f>2*55.847+3*15.999</f>
        <v>159.691</v>
      </c>
      <c r="J17">
        <f t="shared" si="2"/>
        <v>3.1938200000000001</v>
      </c>
      <c r="K17" s="19">
        <f t="shared" si="3"/>
        <v>5.0776298833119936E-4</v>
      </c>
      <c r="L17" s="19">
        <f t="shared" si="4"/>
        <v>5.0779999999999998E-4</v>
      </c>
      <c r="O17" s="3" t="s">
        <v>18</v>
      </c>
      <c r="P17" s="19">
        <v>3.145E-4</v>
      </c>
      <c r="Q17">
        <f t="shared" si="5"/>
        <v>3.1449999999999999E-2</v>
      </c>
    </row>
    <row r="18" spans="2:17" ht="16.5" thickBot="1" x14ac:dyDescent="0.35">
      <c r="B18" s="4" t="s">
        <v>22</v>
      </c>
      <c r="C18" s="3"/>
      <c r="D18" s="3" t="s">
        <v>23</v>
      </c>
      <c r="E18">
        <v>0.01</v>
      </c>
      <c r="F18">
        <v>0.02</v>
      </c>
      <c r="G18" s="2">
        <f t="shared" si="0"/>
        <v>1.4999999999999999E-2</v>
      </c>
      <c r="H18" s="6">
        <f t="shared" si="1"/>
        <v>1.4999999999999999E-4</v>
      </c>
      <c r="I18">
        <f>91.22+2*15.999</f>
        <v>123.218</v>
      </c>
      <c r="J18">
        <f t="shared" si="2"/>
        <v>1.8482700000000001</v>
      </c>
      <c r="K18" s="19">
        <f t="shared" si="3"/>
        <v>2.9384345343285025E-4</v>
      </c>
      <c r="L18" s="19">
        <f t="shared" si="4"/>
        <v>2.9379999999999999E-4</v>
      </c>
      <c r="O18" s="3" t="s">
        <v>23</v>
      </c>
      <c r="P18" s="19">
        <v>2.9379999999999999E-4</v>
      </c>
      <c r="Q18">
        <f t="shared" si="5"/>
        <v>2.938E-2</v>
      </c>
    </row>
    <row r="19" spans="2:17" ht="16.5" thickBot="1" x14ac:dyDescent="0.35">
      <c r="B19" s="4" t="s">
        <v>22</v>
      </c>
      <c r="C19" s="3"/>
      <c r="D19" s="3" t="s">
        <v>24</v>
      </c>
      <c r="E19">
        <v>0.01</v>
      </c>
      <c r="F19">
        <v>0.03</v>
      </c>
      <c r="G19" s="2">
        <f t="shared" si="0"/>
        <v>0.02</v>
      </c>
      <c r="H19" s="6">
        <f t="shared" si="1"/>
        <v>2.0000000000000001E-4</v>
      </c>
      <c r="I19">
        <f>47.88+2*15.999</f>
        <v>79.878</v>
      </c>
      <c r="J19">
        <f t="shared" si="2"/>
        <v>1.5975600000000001</v>
      </c>
      <c r="K19" s="19">
        <f t="shared" si="3"/>
        <v>2.5398483309591361E-4</v>
      </c>
      <c r="L19" s="19">
        <f t="shared" si="4"/>
        <v>2.5399999999999999E-4</v>
      </c>
      <c r="O19" s="3" t="s">
        <v>24</v>
      </c>
      <c r="P19" s="19">
        <v>2.5399999999999999E-4</v>
      </c>
      <c r="Q19">
        <f t="shared" si="5"/>
        <v>2.5399999999999999E-2</v>
      </c>
    </row>
    <row r="21" spans="2:17" x14ac:dyDescent="0.25">
      <c r="I21" t="s">
        <v>162</v>
      </c>
      <c r="J21">
        <f>SUM(J7:J19)</f>
        <v>6289.9818880000021</v>
      </c>
      <c r="K21" s="19">
        <f>SUM(K7:K19)</f>
        <v>0.99999999999999956</v>
      </c>
      <c r="L21" s="19">
        <f>SUM(L7:L19)</f>
        <v>0.99999999999999989</v>
      </c>
      <c r="P21" s="19">
        <f>SUM(P7:P19)</f>
        <v>0.99999999999999989</v>
      </c>
      <c r="Q21">
        <f>SUM(Q7:Q19)</f>
        <v>100.00000000000003</v>
      </c>
    </row>
  </sheetData>
  <sortState ref="O7:P19">
    <sortCondition descending="1" ref="P7:P19"/>
  </sortState>
  <mergeCells count="2">
    <mergeCell ref="B5:B6"/>
    <mergeCell ref="O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48</v>
      </c>
      <c r="B1" t="s">
        <v>46</v>
      </c>
      <c r="C1" t="s">
        <v>49</v>
      </c>
    </row>
    <row r="2" spans="1:3" x14ac:dyDescent="0.25">
      <c r="A2" t="s">
        <v>32</v>
      </c>
      <c r="B2">
        <v>0.51877693795626312</v>
      </c>
      <c r="C2">
        <f>100*B2</f>
        <v>51.877693795626314</v>
      </c>
    </row>
    <row r="3" spans="1:3" x14ac:dyDescent="0.25">
      <c r="A3" t="s">
        <v>31</v>
      </c>
      <c r="B3">
        <v>0.30139066564192935</v>
      </c>
      <c r="C3">
        <f t="shared" ref="C3:C15" si="0">100*B3</f>
        <v>30.139066564192934</v>
      </c>
    </row>
    <row r="4" spans="1:3" x14ac:dyDescent="0.25">
      <c r="A4" t="s">
        <v>33</v>
      </c>
      <c r="B4">
        <v>9.0080663164383304E-2</v>
      </c>
      <c r="C4">
        <f t="shared" si="0"/>
        <v>9.008066316438331</v>
      </c>
    </row>
    <row r="5" spans="1:3" x14ac:dyDescent="0.25">
      <c r="A5" t="s">
        <v>36</v>
      </c>
      <c r="B5">
        <v>3.8763259003004293E-2</v>
      </c>
      <c r="C5">
        <f t="shared" si="0"/>
        <v>3.8763259003004293</v>
      </c>
    </row>
    <row r="6" spans="1:3" x14ac:dyDescent="0.25">
      <c r="A6" t="s">
        <v>34</v>
      </c>
      <c r="B6">
        <v>3.265515161710747E-2</v>
      </c>
      <c r="C6">
        <f t="shared" si="0"/>
        <v>3.2655151617107467</v>
      </c>
    </row>
    <row r="7" spans="1:3" x14ac:dyDescent="0.25">
      <c r="A7" t="s">
        <v>35</v>
      </c>
      <c r="B7">
        <v>7.7280098902567755E-3</v>
      </c>
      <c r="C7">
        <f t="shared" si="0"/>
        <v>0.77280098902567751</v>
      </c>
    </row>
    <row r="8" spans="1:3" x14ac:dyDescent="0.25">
      <c r="A8" t="s">
        <v>37</v>
      </c>
      <c r="B8">
        <v>6.9649795317502806E-3</v>
      </c>
      <c r="C8">
        <f t="shared" si="0"/>
        <v>0.69649795317502805</v>
      </c>
    </row>
    <row r="9" spans="1:3" x14ac:dyDescent="0.25">
      <c r="A9" t="s">
        <v>38</v>
      </c>
      <c r="B9">
        <v>1.1983675888438418E-3</v>
      </c>
      <c r="C9">
        <f t="shared" si="0"/>
        <v>0.11983675888438418</v>
      </c>
    </row>
    <row r="10" spans="1:3" x14ac:dyDescent="0.25">
      <c r="A10" t="s">
        <v>39</v>
      </c>
      <c r="B10">
        <v>1.0916580889922586E-3</v>
      </c>
      <c r="C10">
        <f>100*B10</f>
        <v>0.10916580889922586</v>
      </c>
    </row>
    <row r="11" spans="1:3" x14ac:dyDescent="0.25">
      <c r="A11" t="s">
        <v>41</v>
      </c>
      <c r="B11">
        <v>3.8714588692628034E-4</v>
      </c>
      <c r="C11">
        <f t="shared" si="0"/>
        <v>3.8714588692628032E-2</v>
      </c>
    </row>
    <row r="12" spans="1:3" x14ac:dyDescent="0.25">
      <c r="A12" t="s">
        <v>42</v>
      </c>
      <c r="B12">
        <v>3.5514212811354903E-4</v>
      </c>
      <c r="C12">
        <f t="shared" si="0"/>
        <v>3.5514212811354903E-2</v>
      </c>
    </row>
    <row r="13" spans="1:3" x14ac:dyDescent="0.25">
      <c r="A13" t="s">
        <v>40</v>
      </c>
      <c r="B13">
        <v>2.3822295270971687E-4</v>
      </c>
      <c r="C13">
        <f t="shared" si="0"/>
        <v>2.3822295270971686E-2</v>
      </c>
    </row>
    <row r="14" spans="1:3" x14ac:dyDescent="0.25">
      <c r="A14" t="s">
        <v>43</v>
      </c>
      <c r="B14">
        <v>2.1753289626324593E-4</v>
      </c>
      <c r="C14">
        <f t="shared" si="0"/>
        <v>2.1753289626324591E-2</v>
      </c>
    </row>
    <row r="15" spans="1:3" x14ac:dyDescent="0.25">
      <c r="A15" t="s">
        <v>44</v>
      </c>
      <c r="B15">
        <v>1.5226365345616711E-4</v>
      </c>
      <c r="C15">
        <f t="shared" si="0"/>
        <v>1.5226365345616711E-2</v>
      </c>
    </row>
    <row r="17" spans="1:3" x14ac:dyDescent="0.25">
      <c r="A17" t="s">
        <v>45</v>
      </c>
      <c r="B17">
        <f>SUM(B2:B15)</f>
        <v>0.99999999999999944</v>
      </c>
      <c r="C17">
        <f>SUM(C2:C15)</f>
        <v>99.999999999999957</v>
      </c>
    </row>
  </sheetData>
  <sortState ref="A2:B15">
    <sortCondition descending="1" ref="B2:B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61"/>
  <sheetViews>
    <sheetView topLeftCell="A16" workbookViewId="0">
      <selection activeCell="B7" sqref="B7:F7"/>
    </sheetView>
  </sheetViews>
  <sheetFormatPr defaultRowHeight="15" x14ac:dyDescent="0.25"/>
  <cols>
    <col min="2" max="2" width="10.140625" customWidth="1"/>
    <col min="3" max="3" width="10" customWidth="1"/>
    <col min="4" max="5" width="9.85546875" customWidth="1"/>
    <col min="6" max="6" width="11.5703125" customWidth="1"/>
  </cols>
  <sheetData>
    <row r="2" spans="2:7" x14ac:dyDescent="0.25">
      <c r="B2" s="10" t="s">
        <v>117</v>
      </c>
      <c r="C2" s="10" t="s">
        <v>74</v>
      </c>
      <c r="D2" s="10" t="s">
        <v>75</v>
      </c>
      <c r="E2" s="10" t="s">
        <v>76</v>
      </c>
      <c r="F2" s="10" t="s">
        <v>77</v>
      </c>
    </row>
    <row r="3" spans="2:7" x14ac:dyDescent="0.25">
      <c r="B3" s="10" t="s">
        <v>119</v>
      </c>
      <c r="C3" s="10" t="s">
        <v>120</v>
      </c>
      <c r="D3" s="13">
        <v>0.5</v>
      </c>
      <c r="E3" s="13">
        <v>0.27739999999999998</v>
      </c>
      <c r="F3" s="12">
        <v>44.695099999999996</v>
      </c>
    </row>
    <row r="4" spans="2:7" x14ac:dyDescent="0.25">
      <c r="B4" s="10" t="s">
        <v>121</v>
      </c>
      <c r="C4" s="10" t="s">
        <v>122</v>
      </c>
      <c r="D4" s="13">
        <v>1</v>
      </c>
      <c r="E4" s="13">
        <v>0.28177000000000002</v>
      </c>
      <c r="F4" s="12">
        <v>44.001899999999999</v>
      </c>
    </row>
    <row r="5" spans="2:7" x14ac:dyDescent="0.25">
      <c r="B5" s="10"/>
      <c r="C5" s="10"/>
      <c r="D5" s="10"/>
      <c r="E5" s="10"/>
      <c r="F5" s="10"/>
    </row>
    <row r="7" spans="2:7" x14ac:dyDescent="0.25">
      <c r="B7" s="18" t="s">
        <v>118</v>
      </c>
      <c r="C7" s="18"/>
      <c r="D7" s="18"/>
      <c r="E7" s="18"/>
      <c r="F7" s="18"/>
      <c r="G7" s="11"/>
    </row>
    <row r="10" spans="2:7" x14ac:dyDescent="0.25">
      <c r="B10" s="10" t="s">
        <v>117</v>
      </c>
      <c r="C10" s="10" t="s">
        <v>74</v>
      </c>
      <c r="D10" s="10" t="s">
        <v>75</v>
      </c>
      <c r="E10" s="10" t="s">
        <v>76</v>
      </c>
      <c r="F10" s="10" t="s">
        <v>77</v>
      </c>
    </row>
    <row r="11" spans="2:7" x14ac:dyDescent="0.25">
      <c r="E11" s="10" t="s">
        <v>78</v>
      </c>
      <c r="F11" s="10" t="s">
        <v>79</v>
      </c>
    </row>
    <row r="12" spans="2:7" x14ac:dyDescent="0.25">
      <c r="B12" t="s">
        <v>123</v>
      </c>
      <c r="C12" t="s">
        <v>80</v>
      </c>
      <c r="D12" s="2">
        <v>1</v>
      </c>
      <c r="E12" s="13">
        <v>0.52490000000000003</v>
      </c>
      <c r="F12" s="12">
        <v>23.6205</v>
      </c>
    </row>
    <row r="13" spans="2:7" x14ac:dyDescent="0.25">
      <c r="B13" t="s">
        <v>124</v>
      </c>
      <c r="C13" t="s">
        <v>81</v>
      </c>
      <c r="D13" s="2">
        <v>0.5</v>
      </c>
      <c r="E13" s="13">
        <v>0.52490000000000003</v>
      </c>
      <c r="F13" s="12">
        <v>23.6205</v>
      </c>
    </row>
    <row r="14" spans="2:7" x14ac:dyDescent="0.25">
      <c r="B14" t="s">
        <v>125</v>
      </c>
      <c r="D14" s="2"/>
      <c r="E14" s="13"/>
      <c r="F14" s="12"/>
    </row>
    <row r="15" spans="2:7" x14ac:dyDescent="0.25">
      <c r="B15" t="s">
        <v>126</v>
      </c>
      <c r="C15" t="s">
        <v>82</v>
      </c>
      <c r="D15" s="2">
        <v>1</v>
      </c>
      <c r="E15" s="13">
        <v>1.7397</v>
      </c>
      <c r="F15" s="12">
        <v>7.12676</v>
      </c>
    </row>
    <row r="16" spans="2:7" x14ac:dyDescent="0.25">
      <c r="B16" t="s">
        <v>127</v>
      </c>
      <c r="C16" t="s">
        <v>83</v>
      </c>
      <c r="D16" s="2">
        <v>0.505</v>
      </c>
      <c r="E16" s="13">
        <v>1.7397</v>
      </c>
      <c r="F16" s="12">
        <v>7.12676</v>
      </c>
    </row>
    <row r="17" spans="2:6" x14ac:dyDescent="0.25">
      <c r="B17" t="s">
        <v>125</v>
      </c>
      <c r="D17" s="2"/>
      <c r="E17" s="13"/>
      <c r="F17" s="12"/>
    </row>
    <row r="18" spans="2:6" x14ac:dyDescent="0.25">
      <c r="B18" t="s">
        <v>128</v>
      </c>
      <c r="C18" t="s">
        <v>84</v>
      </c>
      <c r="D18" s="2">
        <v>1</v>
      </c>
      <c r="E18" s="13">
        <v>1.4864999999999999</v>
      </c>
      <c r="F18" s="12">
        <v>8.3406800000000008</v>
      </c>
    </row>
    <row r="19" spans="2:6" x14ac:dyDescent="0.25">
      <c r="B19" t="s">
        <v>129</v>
      </c>
      <c r="C19" t="s">
        <v>85</v>
      </c>
      <c r="D19" s="2">
        <v>0.50700000000000001</v>
      </c>
      <c r="E19" s="13">
        <v>1.4864999999999999</v>
      </c>
      <c r="F19" s="12">
        <v>8.3406800000000008</v>
      </c>
    </row>
    <row r="20" spans="2:6" x14ac:dyDescent="0.25">
      <c r="B20" t="s">
        <v>125</v>
      </c>
      <c r="D20" s="2"/>
      <c r="E20" s="13"/>
      <c r="F20" s="12"/>
    </row>
    <row r="21" spans="2:6" x14ac:dyDescent="0.25">
      <c r="B21" t="s">
        <v>130</v>
      </c>
      <c r="C21" t="s">
        <v>86</v>
      </c>
      <c r="D21" s="2">
        <v>1</v>
      </c>
      <c r="E21" s="13">
        <v>0.30270000000000002</v>
      </c>
      <c r="F21" s="12">
        <v>40.959400000000002</v>
      </c>
    </row>
    <row r="22" spans="2:6" x14ac:dyDescent="0.25">
      <c r="B22" t="s">
        <v>131</v>
      </c>
      <c r="C22" t="s">
        <v>87</v>
      </c>
      <c r="D22" s="2">
        <v>0.50700000000000001</v>
      </c>
      <c r="E22" s="13">
        <v>3.6880999999999999</v>
      </c>
      <c r="F22" s="12">
        <v>3.3617400000000002</v>
      </c>
    </row>
    <row r="23" spans="2:6" x14ac:dyDescent="0.25">
      <c r="B23" t="s">
        <v>132</v>
      </c>
      <c r="C23" t="s">
        <v>88</v>
      </c>
      <c r="D23" s="2">
        <v>1</v>
      </c>
      <c r="E23" s="13">
        <v>3.6917</v>
      </c>
      <c r="F23" s="12">
        <v>3.35846</v>
      </c>
    </row>
    <row r="24" spans="2:6" x14ac:dyDescent="0.25">
      <c r="B24" t="s">
        <v>125</v>
      </c>
      <c r="D24" s="2"/>
      <c r="E24" s="13"/>
      <c r="F24" s="12"/>
    </row>
    <row r="25" spans="2:6" x14ac:dyDescent="0.25">
      <c r="B25" t="s">
        <v>133</v>
      </c>
      <c r="C25" t="s">
        <v>89</v>
      </c>
      <c r="D25" s="2">
        <v>1</v>
      </c>
      <c r="E25" s="13">
        <v>0.18504999999999999</v>
      </c>
      <c r="F25" s="12">
        <v>67.000399999999999</v>
      </c>
    </row>
    <row r="26" spans="2:6" x14ac:dyDescent="0.25">
      <c r="B26" t="s">
        <v>125</v>
      </c>
      <c r="D26" s="2"/>
      <c r="E26" s="13"/>
      <c r="F26" s="12"/>
    </row>
    <row r="27" spans="2:6" x14ac:dyDescent="0.25">
      <c r="B27" t="s">
        <v>134</v>
      </c>
      <c r="C27" t="s">
        <v>90</v>
      </c>
      <c r="D27" s="2">
        <v>1</v>
      </c>
      <c r="E27" s="13">
        <v>1.2536</v>
      </c>
      <c r="F27" s="12">
        <v>9.89025</v>
      </c>
    </row>
    <row r="28" spans="2:6" x14ac:dyDescent="0.25">
      <c r="B28" t="s">
        <v>135</v>
      </c>
      <c r="C28" t="s">
        <v>91</v>
      </c>
      <c r="D28" s="2">
        <v>0.503</v>
      </c>
      <c r="E28" s="13">
        <v>1.2536</v>
      </c>
      <c r="F28" s="12">
        <v>9.89025</v>
      </c>
    </row>
    <row r="29" spans="2:6" x14ac:dyDescent="0.25">
      <c r="B29" t="s">
        <v>125</v>
      </c>
      <c r="D29" s="2"/>
      <c r="E29" s="13"/>
      <c r="F29" s="12"/>
    </row>
    <row r="30" spans="2:6" x14ac:dyDescent="0.25">
      <c r="B30" t="s">
        <v>136</v>
      </c>
      <c r="C30" t="s">
        <v>92</v>
      </c>
      <c r="D30" s="2">
        <v>1</v>
      </c>
      <c r="E30" s="13">
        <v>1.8065</v>
      </c>
      <c r="F30" s="12">
        <v>6.8632299999999997</v>
      </c>
    </row>
    <row r="31" spans="2:6" x14ac:dyDescent="0.25">
      <c r="B31" t="s">
        <v>137</v>
      </c>
      <c r="C31" t="s">
        <v>93</v>
      </c>
      <c r="D31" s="2">
        <v>0.47</v>
      </c>
      <c r="E31" s="13">
        <v>1.8717999999999999</v>
      </c>
      <c r="F31" s="12">
        <v>6.6237899999999996</v>
      </c>
    </row>
    <row r="32" spans="2:6" x14ac:dyDescent="0.25">
      <c r="B32" t="s">
        <v>138</v>
      </c>
      <c r="C32" t="s">
        <v>94</v>
      </c>
      <c r="D32" s="2">
        <v>0.57499999999999996</v>
      </c>
      <c r="E32" s="13">
        <v>14.097799999999999</v>
      </c>
      <c r="F32" s="12">
        <v>0.87945799999999996</v>
      </c>
    </row>
    <row r="33" spans="2:6" x14ac:dyDescent="0.25">
      <c r="B33" t="s">
        <v>139</v>
      </c>
      <c r="C33" t="s">
        <v>95</v>
      </c>
      <c r="D33" s="2">
        <v>1</v>
      </c>
      <c r="E33" s="13">
        <v>14.164999999999999</v>
      </c>
      <c r="F33" s="12">
        <v>0.87528499999999998</v>
      </c>
    </row>
    <row r="34" spans="2:6" x14ac:dyDescent="0.25">
      <c r="B34" t="s">
        <v>125</v>
      </c>
      <c r="D34" s="2"/>
      <c r="E34" s="13"/>
      <c r="F34" s="12"/>
    </row>
    <row r="35" spans="2:6" x14ac:dyDescent="0.25">
      <c r="B35" t="s">
        <v>140</v>
      </c>
      <c r="C35" t="s">
        <v>96</v>
      </c>
      <c r="D35" s="2">
        <v>1</v>
      </c>
      <c r="E35" s="13">
        <v>0.6905</v>
      </c>
      <c r="F35" s="12">
        <v>17.9557</v>
      </c>
    </row>
    <row r="36" spans="2:6" x14ac:dyDescent="0.25">
      <c r="B36" t="s">
        <v>141</v>
      </c>
      <c r="C36" t="s">
        <v>97</v>
      </c>
      <c r="D36" s="2">
        <v>1</v>
      </c>
      <c r="E36" s="13">
        <v>3.444</v>
      </c>
      <c r="F36" s="12">
        <v>3.6000100000000002</v>
      </c>
    </row>
    <row r="37" spans="2:6" x14ac:dyDescent="0.25">
      <c r="B37" t="s">
        <v>142</v>
      </c>
      <c r="C37" t="s">
        <v>98</v>
      </c>
      <c r="D37" s="2">
        <v>0.43459999999999999</v>
      </c>
      <c r="E37" s="13">
        <v>3.6627999999999998</v>
      </c>
      <c r="F37" s="12">
        <v>3.38496</v>
      </c>
    </row>
    <row r="38" spans="2:6" x14ac:dyDescent="0.25">
      <c r="B38" t="s">
        <v>125</v>
      </c>
      <c r="D38" s="2"/>
      <c r="E38" s="13"/>
      <c r="F38" s="12"/>
    </row>
    <row r="39" spans="2:6" x14ac:dyDescent="0.25">
      <c r="B39" t="s">
        <v>143</v>
      </c>
      <c r="C39" t="s">
        <v>99</v>
      </c>
      <c r="D39" s="2">
        <v>1</v>
      </c>
      <c r="E39" s="13">
        <v>0.60099999999999998</v>
      </c>
      <c r="F39" s="12">
        <v>20.6296</v>
      </c>
    </row>
    <row r="40" spans="2:6" x14ac:dyDescent="0.25">
      <c r="B40" t="s">
        <v>144</v>
      </c>
      <c r="C40" t="s">
        <v>100</v>
      </c>
      <c r="D40" s="2">
        <v>1</v>
      </c>
      <c r="E40" s="13">
        <v>4.4663000000000004</v>
      </c>
      <c r="F40" s="12">
        <v>2.7759900000000002</v>
      </c>
    </row>
    <row r="41" spans="2:6" x14ac:dyDescent="0.25">
      <c r="B41" t="s">
        <v>145</v>
      </c>
      <c r="C41" t="s">
        <v>101</v>
      </c>
      <c r="D41" s="2">
        <v>0.5111</v>
      </c>
      <c r="E41" s="13">
        <v>4.8274999999999997</v>
      </c>
      <c r="F41" s="12">
        <v>2.5682900000000002</v>
      </c>
    </row>
    <row r="42" spans="2:6" x14ac:dyDescent="0.25">
      <c r="B42" t="s">
        <v>125</v>
      </c>
      <c r="D42" s="2"/>
      <c r="E42" s="13"/>
      <c r="F42" s="12"/>
    </row>
    <row r="43" spans="2:6" x14ac:dyDescent="0.25">
      <c r="B43" t="s">
        <v>146</v>
      </c>
      <c r="C43" t="s">
        <v>102</v>
      </c>
      <c r="D43" s="2">
        <v>0.55000000000000004</v>
      </c>
      <c r="E43" s="13">
        <v>0.65990000000000004</v>
      </c>
      <c r="F43" s="12">
        <v>18.7883</v>
      </c>
    </row>
    <row r="44" spans="2:6" x14ac:dyDescent="0.25">
      <c r="B44" t="s">
        <v>147</v>
      </c>
      <c r="C44" t="s">
        <v>103</v>
      </c>
      <c r="D44" s="2">
        <v>1</v>
      </c>
      <c r="E44" s="13">
        <v>0.73419999999999996</v>
      </c>
      <c r="F44" s="12">
        <v>16.887</v>
      </c>
    </row>
    <row r="45" spans="2:6" x14ac:dyDescent="0.25">
      <c r="B45" t="s">
        <v>148</v>
      </c>
      <c r="C45" t="s">
        <v>104</v>
      </c>
      <c r="D45" s="2">
        <v>1</v>
      </c>
      <c r="E45" s="13">
        <v>3.6046999999999998</v>
      </c>
      <c r="F45" s="12">
        <v>3.4395099999999998</v>
      </c>
    </row>
    <row r="46" spans="2:6" x14ac:dyDescent="0.25">
      <c r="B46" t="s">
        <v>149</v>
      </c>
      <c r="C46" t="s">
        <v>105</v>
      </c>
      <c r="D46" s="2">
        <v>0.42759999999999998</v>
      </c>
      <c r="E46" s="13">
        <v>3.8435000000000001</v>
      </c>
      <c r="F46" s="12">
        <v>3.2258100000000001</v>
      </c>
    </row>
    <row r="47" spans="2:6" x14ac:dyDescent="0.25">
      <c r="B47" t="s">
        <v>125</v>
      </c>
      <c r="D47" s="2"/>
      <c r="E47" s="13"/>
      <c r="F47" s="12"/>
    </row>
    <row r="48" spans="2:6" x14ac:dyDescent="0.25">
      <c r="B48" t="s">
        <v>150</v>
      </c>
      <c r="C48" t="s">
        <v>106</v>
      </c>
      <c r="D48" s="2">
        <v>1</v>
      </c>
      <c r="E48" s="13">
        <v>0.70450000000000002</v>
      </c>
      <c r="F48" s="12">
        <v>17.5989</v>
      </c>
    </row>
    <row r="49" spans="2:6" x14ac:dyDescent="0.25">
      <c r="B49" t="s">
        <v>151</v>
      </c>
      <c r="C49" t="s">
        <v>107</v>
      </c>
      <c r="D49" s="2">
        <v>1</v>
      </c>
      <c r="E49" s="13">
        <v>6.4039000000000001</v>
      </c>
      <c r="F49" s="12">
        <v>1.93607</v>
      </c>
    </row>
    <row r="50" spans="2:6" x14ac:dyDescent="0.25">
      <c r="B50" t="s">
        <v>125</v>
      </c>
      <c r="D50" s="2"/>
      <c r="E50" s="13"/>
      <c r="F50" s="12"/>
    </row>
    <row r="51" spans="2:6" x14ac:dyDescent="0.25">
      <c r="B51" t="s">
        <v>152</v>
      </c>
      <c r="C51" t="s">
        <v>108</v>
      </c>
      <c r="D51" s="2">
        <v>1</v>
      </c>
      <c r="E51" s="13">
        <v>1.2819</v>
      </c>
      <c r="F51" s="12">
        <v>9.6719100000000005</v>
      </c>
    </row>
    <row r="52" spans="2:6" x14ac:dyDescent="0.25">
      <c r="B52" t="s">
        <v>153</v>
      </c>
      <c r="C52" t="s">
        <v>109</v>
      </c>
      <c r="D52" s="2">
        <v>0.48699999999999999</v>
      </c>
      <c r="E52" s="13">
        <v>10.508100000000001</v>
      </c>
      <c r="F52" s="12">
        <v>1.1798900000000001</v>
      </c>
    </row>
    <row r="53" spans="2:6" x14ac:dyDescent="0.25">
      <c r="B53" t="s">
        <v>154</v>
      </c>
      <c r="C53" t="s">
        <v>110</v>
      </c>
      <c r="D53" s="2">
        <v>1</v>
      </c>
      <c r="E53" s="13">
        <v>10.5436</v>
      </c>
      <c r="F53" s="12">
        <v>1.1759200000000001</v>
      </c>
    </row>
    <row r="54" spans="2:6" x14ac:dyDescent="0.25">
      <c r="B54" t="s">
        <v>125</v>
      </c>
      <c r="D54" s="2"/>
      <c r="E54" s="13"/>
      <c r="F54" s="12"/>
    </row>
    <row r="55" spans="2:6" x14ac:dyDescent="0.25">
      <c r="B55" t="s">
        <v>155</v>
      </c>
      <c r="C55" t="s">
        <v>111</v>
      </c>
      <c r="D55" s="2">
        <v>1</v>
      </c>
      <c r="E55" s="13">
        <v>2.0423</v>
      </c>
      <c r="F55" s="12">
        <v>6.0708099999999998</v>
      </c>
    </row>
    <row r="56" spans="2:6" x14ac:dyDescent="0.25">
      <c r="B56" t="s">
        <v>156</v>
      </c>
      <c r="C56" t="s">
        <v>112</v>
      </c>
      <c r="D56" s="2">
        <v>0.47799999999999998</v>
      </c>
      <c r="E56" s="13">
        <v>2.1242999999999999</v>
      </c>
      <c r="F56" s="12">
        <v>5.8364700000000003</v>
      </c>
    </row>
    <row r="57" spans="2:6" x14ac:dyDescent="0.25">
      <c r="B57" t="s">
        <v>157</v>
      </c>
      <c r="C57" t="s">
        <v>113</v>
      </c>
      <c r="D57" s="2">
        <v>1</v>
      </c>
      <c r="E57" s="13">
        <v>15.7753</v>
      </c>
      <c r="F57" s="12">
        <v>0.78593900000000005</v>
      </c>
    </row>
    <row r="58" spans="2:6" x14ac:dyDescent="0.25">
      <c r="B58" t="s">
        <v>125</v>
      </c>
      <c r="D58" s="2"/>
      <c r="E58" s="13"/>
      <c r="F58" s="12"/>
    </row>
    <row r="59" spans="2:6" x14ac:dyDescent="0.25">
      <c r="B59" t="s">
        <v>158</v>
      </c>
      <c r="C59" t="s">
        <v>114</v>
      </c>
      <c r="D59" s="2">
        <v>1</v>
      </c>
      <c r="E59" s="13">
        <v>0.3952</v>
      </c>
      <c r="F59" s="12">
        <v>31.372499999999999</v>
      </c>
    </row>
    <row r="60" spans="2:6" x14ac:dyDescent="0.25">
      <c r="B60" t="s">
        <v>159</v>
      </c>
      <c r="C60" t="s">
        <v>115</v>
      </c>
      <c r="D60" s="2">
        <v>0.61599999999999999</v>
      </c>
      <c r="E60" s="13">
        <v>0.45200000000000001</v>
      </c>
      <c r="F60" s="12">
        <v>27.430099999999999</v>
      </c>
    </row>
    <row r="61" spans="2:6" x14ac:dyDescent="0.25">
      <c r="B61" t="s">
        <v>160</v>
      </c>
      <c r="C61" t="s">
        <v>116</v>
      </c>
      <c r="D61" s="2">
        <v>1</v>
      </c>
      <c r="E61" s="13">
        <v>4.5109000000000004</v>
      </c>
      <c r="F61" s="12">
        <v>2.7485499999999998</v>
      </c>
    </row>
  </sheetData>
  <mergeCells count="1">
    <mergeCell ref="B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48"/>
  <sheetViews>
    <sheetView topLeftCell="A22" workbookViewId="0">
      <selection activeCell="C2" sqref="C2"/>
    </sheetView>
  </sheetViews>
  <sheetFormatPr defaultRowHeight="15" x14ac:dyDescent="0.25"/>
  <cols>
    <col min="2" max="2" width="12.42578125" customWidth="1"/>
    <col min="9" max="9" width="13.42578125" customWidth="1"/>
  </cols>
  <sheetData>
    <row r="3" spans="2:9" ht="60" x14ac:dyDescent="0.25">
      <c r="B3" s="7" t="s">
        <v>50</v>
      </c>
      <c r="C3" s="7" t="s">
        <v>51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</row>
    <row r="4" spans="2:9" x14ac:dyDescent="0.25">
      <c r="B4" s="7" t="s">
        <v>32</v>
      </c>
      <c r="C4" s="7" t="s">
        <v>58</v>
      </c>
      <c r="D4" s="7">
        <v>43.12</v>
      </c>
      <c r="E4" s="7">
        <v>0.14512</v>
      </c>
      <c r="F4" s="7">
        <v>51.78</v>
      </c>
      <c r="G4" s="7">
        <v>0.13</v>
      </c>
      <c r="H4" s="7">
        <v>66.66</v>
      </c>
      <c r="I4" s="7" t="s">
        <v>59</v>
      </c>
    </row>
    <row r="5" spans="2:9" x14ac:dyDescent="0.25">
      <c r="B5" s="7" t="s">
        <v>31</v>
      </c>
      <c r="C5" s="7" t="s">
        <v>58</v>
      </c>
      <c r="D5" s="7">
        <v>25.83</v>
      </c>
      <c r="E5" s="7">
        <v>0.20469000000000001</v>
      </c>
      <c r="F5" s="7">
        <v>30.18</v>
      </c>
      <c r="G5" s="7">
        <v>0.05</v>
      </c>
      <c r="H5" s="7">
        <v>22.13</v>
      </c>
      <c r="I5" s="7" t="s">
        <v>59</v>
      </c>
    </row>
    <row r="6" spans="2:9" x14ac:dyDescent="0.25">
      <c r="B6" s="7" t="s">
        <v>33</v>
      </c>
      <c r="C6" s="7" t="s">
        <v>58</v>
      </c>
      <c r="D6" s="7">
        <v>8.82</v>
      </c>
      <c r="E6" s="7">
        <v>6.336E-2</v>
      </c>
      <c r="F6" s="7">
        <v>9.67</v>
      </c>
      <c r="G6" s="7">
        <v>0.03</v>
      </c>
      <c r="H6" s="7">
        <v>7.38</v>
      </c>
      <c r="I6" s="7" t="s">
        <v>60</v>
      </c>
    </row>
    <row r="7" spans="2:9" ht="30" x14ac:dyDescent="0.25">
      <c r="B7" s="7" t="s">
        <v>36</v>
      </c>
      <c r="C7" s="7" t="s">
        <v>58</v>
      </c>
      <c r="D7" s="7">
        <v>5.35</v>
      </c>
      <c r="E7" s="7">
        <v>4.7829999999999998E-2</v>
      </c>
      <c r="F7" s="7">
        <v>5.65</v>
      </c>
      <c r="G7" s="7">
        <v>0.03</v>
      </c>
      <c r="H7" s="7">
        <v>2.9</v>
      </c>
      <c r="I7" s="7" t="s">
        <v>61</v>
      </c>
    </row>
    <row r="8" spans="2:9" x14ac:dyDescent="0.25">
      <c r="B8" s="7" t="s">
        <v>35</v>
      </c>
      <c r="C8" s="7" t="s">
        <v>58</v>
      </c>
      <c r="D8" s="7">
        <v>0.72</v>
      </c>
      <c r="E8" s="7">
        <v>4.7800000000000004E-3</v>
      </c>
      <c r="F8" s="7">
        <v>0.88</v>
      </c>
      <c r="G8" s="7">
        <v>0.02</v>
      </c>
      <c r="H8" s="7">
        <v>0.74</v>
      </c>
      <c r="I8" s="7" t="s">
        <v>8</v>
      </c>
    </row>
    <row r="9" spans="2:9" x14ac:dyDescent="0.25">
      <c r="B9" s="7" t="s">
        <v>37</v>
      </c>
      <c r="C9" s="7" t="s">
        <v>62</v>
      </c>
      <c r="D9" s="7">
        <v>0.52</v>
      </c>
      <c r="E9" s="7">
        <v>4.62E-3</v>
      </c>
      <c r="F9" s="7">
        <v>0.65</v>
      </c>
      <c r="G9" s="7">
        <v>7.0000000000000007E-2</v>
      </c>
      <c r="H9" s="7">
        <v>0.15</v>
      </c>
      <c r="I9" s="7" t="s">
        <v>63</v>
      </c>
    </row>
    <row r="10" spans="2:9" x14ac:dyDescent="0.25">
      <c r="B10" s="7" t="s">
        <v>38</v>
      </c>
      <c r="C10" s="7" t="s">
        <v>62</v>
      </c>
      <c r="D10" s="7">
        <v>0.13</v>
      </c>
      <c r="E10" s="7">
        <v>1.31E-3</v>
      </c>
      <c r="F10" s="7">
        <v>0.18</v>
      </c>
      <c r="G10" s="7">
        <v>0.03</v>
      </c>
      <c r="H10" s="7">
        <v>0.03</v>
      </c>
      <c r="I10" s="7" t="s">
        <v>38</v>
      </c>
    </row>
    <row r="11" spans="2:9" x14ac:dyDescent="0.25">
      <c r="B11" s="7" t="s">
        <v>64</v>
      </c>
      <c r="C11" s="7"/>
      <c r="D11" s="7"/>
      <c r="E11" s="7"/>
      <c r="F11" s="7">
        <v>98.99</v>
      </c>
      <c r="G11" s="7"/>
      <c r="H11" s="7">
        <v>100</v>
      </c>
      <c r="I11" s="7"/>
    </row>
    <row r="14" spans="2:9" ht="60" x14ac:dyDescent="0.25">
      <c r="B14" s="7" t="s">
        <v>65</v>
      </c>
      <c r="C14" s="7" t="s">
        <v>51</v>
      </c>
      <c r="D14" s="7" t="s">
        <v>52</v>
      </c>
      <c r="E14" s="7" t="s">
        <v>53</v>
      </c>
      <c r="F14" s="7" t="s">
        <v>54</v>
      </c>
      <c r="G14" s="7" t="s">
        <v>55</v>
      </c>
      <c r="H14" s="7" t="s">
        <v>56</v>
      </c>
      <c r="I14" s="7" t="s">
        <v>57</v>
      </c>
    </row>
    <row r="15" spans="2:9" x14ac:dyDescent="0.25">
      <c r="B15" s="7" t="s">
        <v>32</v>
      </c>
      <c r="C15" s="7" t="s">
        <v>58</v>
      </c>
      <c r="D15" s="7">
        <v>43.08</v>
      </c>
      <c r="E15" s="7">
        <v>0.14498</v>
      </c>
      <c r="F15" s="7">
        <v>51.75</v>
      </c>
      <c r="G15" s="7">
        <v>0.13</v>
      </c>
      <c r="H15" s="7">
        <v>66.650000000000006</v>
      </c>
      <c r="I15" s="7" t="s">
        <v>59</v>
      </c>
    </row>
    <row r="16" spans="2:9" x14ac:dyDescent="0.25">
      <c r="B16" s="7" t="s">
        <v>31</v>
      </c>
      <c r="C16" s="7" t="s">
        <v>58</v>
      </c>
      <c r="D16" s="7">
        <v>25.84</v>
      </c>
      <c r="E16" s="7">
        <v>0.20476</v>
      </c>
      <c r="F16" s="7">
        <v>30.19</v>
      </c>
      <c r="G16" s="7">
        <v>0.05</v>
      </c>
      <c r="H16" s="7">
        <v>22.15</v>
      </c>
      <c r="I16" s="7" t="s">
        <v>59</v>
      </c>
    </row>
    <row r="17" spans="2:9" x14ac:dyDescent="0.25">
      <c r="B17" s="7" t="s">
        <v>33</v>
      </c>
      <c r="C17" s="7" t="s">
        <v>58</v>
      </c>
      <c r="D17" s="7">
        <v>8.82</v>
      </c>
      <c r="E17" s="7">
        <v>6.3369999999999996E-2</v>
      </c>
      <c r="F17" s="7">
        <v>9.67</v>
      </c>
      <c r="G17" s="7">
        <v>0.03</v>
      </c>
      <c r="H17" s="7">
        <v>7.38</v>
      </c>
      <c r="I17" s="7" t="s">
        <v>60</v>
      </c>
    </row>
    <row r="18" spans="2:9" ht="30" x14ac:dyDescent="0.25">
      <c r="B18" s="7" t="s">
        <v>36</v>
      </c>
      <c r="C18" s="7" t="s">
        <v>58</v>
      </c>
      <c r="D18" s="7">
        <v>5.39</v>
      </c>
      <c r="E18" s="7">
        <v>4.8180000000000001E-2</v>
      </c>
      <c r="F18" s="7">
        <v>5.69</v>
      </c>
      <c r="G18" s="7">
        <v>0.03</v>
      </c>
      <c r="H18" s="7">
        <v>2.92</v>
      </c>
      <c r="I18" s="7" t="s">
        <v>61</v>
      </c>
    </row>
    <row r="19" spans="2:9" x14ac:dyDescent="0.25">
      <c r="B19" s="7" t="s">
        <v>35</v>
      </c>
      <c r="C19" s="7" t="s">
        <v>58</v>
      </c>
      <c r="D19" s="7">
        <v>0.71</v>
      </c>
      <c r="E19" s="7">
        <v>4.7000000000000002E-3</v>
      </c>
      <c r="F19" s="7">
        <v>0.86</v>
      </c>
      <c r="G19" s="7">
        <v>0.02</v>
      </c>
      <c r="H19" s="7">
        <v>0.73</v>
      </c>
      <c r="I19" s="7" t="s">
        <v>8</v>
      </c>
    </row>
    <row r="20" spans="2:9" x14ac:dyDescent="0.25">
      <c r="B20" s="7" t="s">
        <v>37</v>
      </c>
      <c r="C20" s="7" t="s">
        <v>62</v>
      </c>
      <c r="D20" s="7">
        <v>0.51</v>
      </c>
      <c r="E20" s="7">
        <v>4.45E-3</v>
      </c>
      <c r="F20" s="7">
        <v>0.62</v>
      </c>
      <c r="G20" s="7">
        <v>7.0000000000000007E-2</v>
      </c>
      <c r="H20" s="7">
        <v>0.15</v>
      </c>
      <c r="I20" s="7" t="s">
        <v>63</v>
      </c>
    </row>
    <row r="21" spans="2:9" x14ac:dyDescent="0.25">
      <c r="B21" s="7" t="s">
        <v>38</v>
      </c>
      <c r="C21" s="7" t="s">
        <v>62</v>
      </c>
      <c r="D21" s="7">
        <v>0.09</v>
      </c>
      <c r="E21" s="7">
        <v>8.5999999999999998E-4</v>
      </c>
      <c r="F21" s="7">
        <v>0.12</v>
      </c>
      <c r="G21" s="7">
        <v>0.03</v>
      </c>
      <c r="H21" s="7">
        <v>0.02</v>
      </c>
      <c r="I21" s="7" t="s">
        <v>38</v>
      </c>
    </row>
    <row r="22" spans="2:9" x14ac:dyDescent="0.25">
      <c r="B22" s="7" t="s">
        <v>64</v>
      </c>
      <c r="C22" s="7"/>
      <c r="D22" s="7"/>
      <c r="E22" s="7"/>
      <c r="F22" s="7">
        <v>98.9</v>
      </c>
      <c r="G22" s="7"/>
      <c r="H22" s="7">
        <v>100</v>
      </c>
      <c r="I22" s="7"/>
    </row>
    <row r="25" spans="2:9" ht="60" x14ac:dyDescent="0.25">
      <c r="B25" s="7" t="s">
        <v>66</v>
      </c>
      <c r="C25" s="7" t="s">
        <v>51</v>
      </c>
      <c r="D25" s="7" t="s">
        <v>52</v>
      </c>
      <c r="E25" s="7" t="s">
        <v>53</v>
      </c>
      <c r="F25" s="7" t="s">
        <v>54</v>
      </c>
      <c r="G25" s="7" t="s">
        <v>55</v>
      </c>
      <c r="H25" s="7" t="s">
        <v>56</v>
      </c>
      <c r="I25" s="7" t="s">
        <v>57</v>
      </c>
    </row>
    <row r="26" spans="2:9" x14ac:dyDescent="0.25">
      <c r="B26" s="7" t="s">
        <v>32</v>
      </c>
      <c r="C26" s="7" t="s">
        <v>58</v>
      </c>
      <c r="D26" s="7">
        <v>42.95</v>
      </c>
      <c r="E26" s="7">
        <v>0.14454</v>
      </c>
      <c r="F26" s="7">
        <v>51.63</v>
      </c>
      <c r="G26" s="7">
        <v>0.13</v>
      </c>
      <c r="H26" s="7">
        <v>66.61</v>
      </c>
      <c r="I26" s="7" t="s">
        <v>59</v>
      </c>
    </row>
    <row r="27" spans="2:9" x14ac:dyDescent="0.25">
      <c r="B27" s="7" t="s">
        <v>31</v>
      </c>
      <c r="C27" s="7" t="s">
        <v>58</v>
      </c>
      <c r="D27" s="7">
        <v>25.76</v>
      </c>
      <c r="E27" s="7">
        <v>0.20413000000000001</v>
      </c>
      <c r="F27" s="7">
        <v>30.11</v>
      </c>
      <c r="G27" s="7">
        <v>0.05</v>
      </c>
      <c r="H27" s="7">
        <v>22.13</v>
      </c>
      <c r="I27" s="7" t="s">
        <v>59</v>
      </c>
    </row>
    <row r="28" spans="2:9" x14ac:dyDescent="0.25">
      <c r="B28" s="7" t="s">
        <v>33</v>
      </c>
      <c r="C28" s="7" t="s">
        <v>58</v>
      </c>
      <c r="D28" s="7">
        <v>8.82</v>
      </c>
      <c r="E28" s="7">
        <v>6.3369999999999996E-2</v>
      </c>
      <c r="F28" s="7">
        <v>9.68</v>
      </c>
      <c r="G28" s="7">
        <v>0.03</v>
      </c>
      <c r="H28" s="7">
        <v>7.4</v>
      </c>
      <c r="I28" s="7" t="s">
        <v>60</v>
      </c>
    </row>
    <row r="29" spans="2:9" x14ac:dyDescent="0.25">
      <c r="B29" s="7" t="s">
        <v>36</v>
      </c>
      <c r="C29" s="7" t="s">
        <v>58</v>
      </c>
      <c r="D29" s="7">
        <v>5.36</v>
      </c>
      <c r="E29" s="7">
        <v>4.7899999999999998E-2</v>
      </c>
      <c r="F29" s="7">
        <v>5.65</v>
      </c>
      <c r="G29" s="7">
        <v>0.03</v>
      </c>
      <c r="H29" s="7">
        <v>2.91</v>
      </c>
      <c r="I29" s="7" t="s">
        <v>61</v>
      </c>
    </row>
    <row r="30" spans="2:9" x14ac:dyDescent="0.25">
      <c r="B30" s="7" t="s">
        <v>35</v>
      </c>
      <c r="C30" s="7" t="s">
        <v>58</v>
      </c>
      <c r="D30" s="7">
        <v>0.74</v>
      </c>
      <c r="E30" s="7">
        <v>4.9199999999999999E-3</v>
      </c>
      <c r="F30" s="7">
        <v>0.9</v>
      </c>
      <c r="G30" s="7">
        <v>0.02</v>
      </c>
      <c r="H30" s="7">
        <v>0.77</v>
      </c>
      <c r="I30" s="7" t="s">
        <v>8</v>
      </c>
    </row>
    <row r="31" spans="2:9" x14ac:dyDescent="0.25">
      <c r="B31" s="7" t="s">
        <v>37</v>
      </c>
      <c r="C31" s="7" t="s">
        <v>62</v>
      </c>
      <c r="D31" s="7">
        <v>0.53</v>
      </c>
      <c r="E31" s="7">
        <v>4.64E-3</v>
      </c>
      <c r="F31" s="7">
        <v>0.65</v>
      </c>
      <c r="G31" s="7">
        <v>7.0000000000000007E-2</v>
      </c>
      <c r="H31" s="7">
        <v>0.15</v>
      </c>
      <c r="I31" s="7" t="s">
        <v>63</v>
      </c>
    </row>
    <row r="32" spans="2:9" x14ac:dyDescent="0.25">
      <c r="B32" s="7" t="s">
        <v>38</v>
      </c>
      <c r="C32" s="7" t="s">
        <v>62</v>
      </c>
      <c r="D32" s="7">
        <v>0.13</v>
      </c>
      <c r="E32" s="7">
        <v>1.32E-3</v>
      </c>
      <c r="F32" s="7">
        <v>0.18</v>
      </c>
      <c r="G32" s="7">
        <v>0.03</v>
      </c>
      <c r="H32" s="7">
        <v>0.03</v>
      </c>
      <c r="I32" s="7" t="s">
        <v>38</v>
      </c>
    </row>
    <row r="33" spans="2:10" x14ac:dyDescent="0.25">
      <c r="B33" s="7" t="s">
        <v>64</v>
      </c>
      <c r="C33" s="7"/>
      <c r="D33" s="7"/>
      <c r="E33" s="7"/>
      <c r="F33" s="7">
        <v>98.81</v>
      </c>
      <c r="G33" s="7"/>
      <c r="H33" s="7">
        <v>100</v>
      </c>
      <c r="I33" s="7"/>
    </row>
    <row r="37" spans="2:10" x14ac:dyDescent="0.25">
      <c r="B37" t="s">
        <v>49</v>
      </c>
      <c r="C37" s="7" t="s">
        <v>32</v>
      </c>
      <c r="D37" s="7" t="s">
        <v>31</v>
      </c>
      <c r="E37" s="7" t="s">
        <v>33</v>
      </c>
      <c r="F37" s="7" t="s">
        <v>36</v>
      </c>
      <c r="G37" s="7" t="s">
        <v>34</v>
      </c>
      <c r="H37" s="7" t="s">
        <v>35</v>
      </c>
      <c r="I37" s="7" t="s">
        <v>37</v>
      </c>
      <c r="J37" s="7" t="s">
        <v>38</v>
      </c>
    </row>
    <row r="38" spans="2:10" x14ac:dyDescent="0.25">
      <c r="B38" t="s">
        <v>67</v>
      </c>
      <c r="C38" s="2">
        <f>AVERAGE(F26,F15,F4)</f>
        <v>51.72</v>
      </c>
      <c r="D38" s="2">
        <f>AVERAGE(F27,F16,F5)</f>
        <v>30.159999999999997</v>
      </c>
      <c r="E38" s="2">
        <f>AVERAGE(F28,F17,F6)</f>
        <v>9.6733333333333338</v>
      </c>
      <c r="F38" s="2">
        <f>AVERAGE(F29,F18,F7)</f>
        <v>5.663333333333334</v>
      </c>
      <c r="G38" s="2" t="s">
        <v>71</v>
      </c>
      <c r="H38" s="2">
        <f>AVERAGE(F30,F19,F8)</f>
        <v>0.88</v>
      </c>
      <c r="I38" s="2">
        <f>AVERAGE(F31,F20,F9)</f>
        <v>0.64</v>
      </c>
      <c r="J38" s="2">
        <f>AVERAGE(F32,F21,F10)</f>
        <v>0.16</v>
      </c>
    </row>
    <row r="39" spans="2:10" x14ac:dyDescent="0.25">
      <c r="B39" t="s">
        <v>68</v>
      </c>
      <c r="C39" s="2">
        <f>STDEV(F26,F15,F4)</f>
        <v>7.9372539331936692E-2</v>
      </c>
      <c r="D39" s="2">
        <f>STDEV(F27,F16,F5)</f>
        <v>4.3588989435407434E-2</v>
      </c>
      <c r="E39" s="2">
        <f>STDEV(F28,F17,F6)</f>
        <v>5.7735026918961348E-3</v>
      </c>
      <c r="F39" s="2">
        <f>STDEV(F29,F18,F7)</f>
        <v>2.3094010767585053E-2</v>
      </c>
      <c r="G39" s="2"/>
      <c r="H39" s="2">
        <f>STDEV(F30,F19,F8)</f>
        <v>2.0000000000000018E-2</v>
      </c>
      <c r="I39" s="2">
        <f>STDEV(F31,F20,F9)</f>
        <v>1.7320508075688787E-2</v>
      </c>
      <c r="J39" s="2">
        <f>STDEV(F32,F21,F10)</f>
        <v>3.4641016151377539E-2</v>
      </c>
    </row>
    <row r="40" spans="2:10" x14ac:dyDescent="0.25">
      <c r="B40" t="s">
        <v>69</v>
      </c>
      <c r="C40" s="8">
        <f>C39/C38</f>
        <v>1.5346585331000907E-3</v>
      </c>
      <c r="D40" s="8">
        <f>D39/D38</f>
        <v>1.4452582704047559E-3</v>
      </c>
      <c r="E40" s="8">
        <f t="shared" ref="E40:J40" si="0">E39/E38</f>
        <v>5.9684728034763623E-4</v>
      </c>
      <c r="F40" s="8">
        <f t="shared" si="0"/>
        <v>4.0778123780314977E-3</v>
      </c>
      <c r="G40" s="8"/>
      <c r="H40" s="8">
        <f t="shared" si="0"/>
        <v>2.2727272727272749E-2</v>
      </c>
      <c r="I40" s="8">
        <f t="shared" si="0"/>
        <v>2.706329386826373E-2</v>
      </c>
      <c r="J40" s="8">
        <f t="shared" si="0"/>
        <v>0.21650635094610962</v>
      </c>
    </row>
    <row r="43" spans="2:10" x14ac:dyDescent="0.25">
      <c r="B43" t="s">
        <v>70</v>
      </c>
    </row>
    <row r="44" spans="2:10" x14ac:dyDescent="0.25">
      <c r="B44" t="s">
        <v>48</v>
      </c>
      <c r="C44" t="s">
        <v>32</v>
      </c>
      <c r="D44" t="s">
        <v>31</v>
      </c>
      <c r="E44" t="s">
        <v>33</v>
      </c>
      <c r="F44" t="s">
        <v>36</v>
      </c>
      <c r="G44" t="s">
        <v>34</v>
      </c>
      <c r="H44" t="s">
        <v>35</v>
      </c>
      <c r="I44" t="s">
        <v>37</v>
      </c>
      <c r="J44" t="s">
        <v>38</v>
      </c>
    </row>
    <row r="45" spans="2:10" x14ac:dyDescent="0.25">
      <c r="B45" t="s">
        <v>46</v>
      </c>
      <c r="C45">
        <v>0.51877693795626312</v>
      </c>
      <c r="D45">
        <v>0.30139066564192935</v>
      </c>
      <c r="E45">
        <v>9.0080663164383304E-2</v>
      </c>
      <c r="F45">
        <v>3.8763259003004293E-2</v>
      </c>
      <c r="G45">
        <v>3.265515161710747E-2</v>
      </c>
      <c r="H45">
        <v>7.7280098902567755E-3</v>
      </c>
      <c r="I45">
        <v>6.9649795317502806E-3</v>
      </c>
      <c r="J45">
        <v>1.1983675888438418E-3</v>
      </c>
    </row>
    <row r="46" spans="2:10" x14ac:dyDescent="0.25">
      <c r="B46" t="s">
        <v>49</v>
      </c>
      <c r="C46">
        <f t="shared" ref="C46:J46" si="1">100*C45</f>
        <v>51.877693795626314</v>
      </c>
      <c r="D46">
        <f t="shared" si="1"/>
        <v>30.139066564192934</v>
      </c>
      <c r="E46">
        <f t="shared" si="1"/>
        <v>9.008066316438331</v>
      </c>
      <c r="F46">
        <f t="shared" si="1"/>
        <v>3.8763259003004293</v>
      </c>
      <c r="G46">
        <f t="shared" si="1"/>
        <v>3.2655151617107467</v>
      </c>
      <c r="H46">
        <f t="shared" si="1"/>
        <v>0.77280098902567751</v>
      </c>
      <c r="I46">
        <f t="shared" si="1"/>
        <v>0.69649795317502805</v>
      </c>
      <c r="J46">
        <f t="shared" si="1"/>
        <v>0.11983675888438418</v>
      </c>
    </row>
    <row r="47" spans="2:10" x14ac:dyDescent="0.25">
      <c r="B47" t="s">
        <v>72</v>
      </c>
      <c r="C47" s="2">
        <f>C38-C46</f>
        <v>-0.15769379562631514</v>
      </c>
      <c r="D47" s="2">
        <f t="shared" ref="D47:J47" si="2">D38-D46</f>
        <v>2.093343580706275E-2</v>
      </c>
      <c r="E47" s="2">
        <f>E38-E46</f>
        <v>0.66526701689500278</v>
      </c>
      <c r="F47" s="2">
        <f t="shared" si="2"/>
        <v>1.7870074330329047</v>
      </c>
      <c r="G47" s="2"/>
      <c r="H47" s="2">
        <f t="shared" si="2"/>
        <v>0.1071990109743225</v>
      </c>
      <c r="I47" s="2">
        <f t="shared" si="2"/>
        <v>-5.6497953175028037E-2</v>
      </c>
      <c r="J47" s="2">
        <f t="shared" si="2"/>
        <v>4.0163241115615825E-2</v>
      </c>
    </row>
    <row r="48" spans="2:10" x14ac:dyDescent="0.25">
      <c r="B48" t="s">
        <v>73</v>
      </c>
      <c r="C48" s="9">
        <f>C47/C46</f>
        <v>-3.0397225491085715E-3</v>
      </c>
      <c r="D48" s="9">
        <f t="shared" ref="D48:F48" si="3">D47/D46</f>
        <v>6.9456151744038948E-4</v>
      </c>
      <c r="E48" s="9">
        <f t="shared" si="3"/>
        <v>7.3852366703938799E-2</v>
      </c>
      <c r="F48" s="9">
        <f t="shared" si="3"/>
        <v>0.46100546728911651</v>
      </c>
      <c r="G48" s="9">
        <v>-1</v>
      </c>
      <c r="H48" s="9">
        <f t="shared" ref="H48:J48" si="4">H47/H46</f>
        <v>0.13871489878587701</v>
      </c>
      <c r="I48" s="9">
        <f t="shared" si="4"/>
        <v>-8.1117184792114175E-2</v>
      </c>
      <c r="J48" s="9">
        <f t="shared" si="4"/>
        <v>0.33514959424398671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calc-from-patent</vt:lpstr>
      <vt:lpstr>calc-from-patent-to-mass-fract</vt:lpstr>
      <vt:lpstr>calc-wf-summary</vt:lpstr>
      <vt:lpstr>Major Transitions</vt:lpstr>
      <vt:lpstr>Exptl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2017-06-20T21:42:10Z</dcterms:created>
  <dcterms:modified xsi:type="dcterms:W3CDTF">2018-01-30T23:36:12Z</dcterms:modified>
</cp:coreProperties>
</file>