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4355" windowHeight="7875"/>
  </bookViews>
  <sheets>
    <sheet name="Sheet1" sheetId="1" r:id="rId1"/>
    <sheet name="Sheet2" sheetId="2" r:id="rId2"/>
    <sheet name="Sheet3" sheetId="3" r:id="rId3"/>
  </sheets>
  <definedNames>
    <definedName name="etaCell">Sheet1!$B$12</definedName>
    <definedName name="Faraday">Sheet1!$L$1</definedName>
    <definedName name="Isys">Sheet1!$B$3</definedName>
    <definedName name="mdotCell">Sheet1!$B$15</definedName>
    <definedName name="mdotTot">Sheet1!$B$16</definedName>
    <definedName name="MHstor">Sheet1!$B$19</definedName>
    <definedName name="mTot">Sheet1!$B$18</definedName>
    <definedName name="Ncells">Sheet1!$B$14</definedName>
    <definedName name="OpTimeHrs">Sheet1!$B$5</definedName>
    <definedName name="OpTimeSecs">Sheet1!$B$6</definedName>
    <definedName name="Psys">Sheet1!$B$1</definedName>
    <definedName name="Rbar">Sheet1!$L$2</definedName>
    <definedName name="TstackdegC">Sheet1!$G$10</definedName>
    <definedName name="TstackdegK">Sheet1!$G$11</definedName>
    <definedName name="Vcell">Sheet1!$B$13</definedName>
    <definedName name="Voc">Sheet1!$B$11</definedName>
    <definedName name="Vsys">Sheet1!$B$4</definedName>
  </definedNames>
  <calcPr calcId="145621"/>
  <fileRecoveryPr repairLoad="1"/>
</workbook>
</file>

<file path=xl/calcChain.xml><?xml version="1.0" encoding="utf-8"?>
<calcChain xmlns="http://schemas.openxmlformats.org/spreadsheetml/2006/main">
  <c r="R34" i="1" l="1"/>
  <c r="R29" i="1"/>
  <c r="R30" i="1"/>
  <c r="R31" i="1"/>
  <c r="R28" i="1"/>
  <c r="Q29" i="1"/>
  <c r="Q30" i="1"/>
  <c r="Q31" i="1"/>
  <c r="Q28" i="1"/>
  <c r="G30" i="1"/>
  <c r="G14" i="1"/>
  <c r="G15" i="1" s="1"/>
  <c r="G17" i="1" s="1"/>
  <c r="G18" i="1" s="1"/>
  <c r="G31" i="1" l="1"/>
  <c r="G32" i="1" s="1"/>
  <c r="B27" i="1"/>
  <c r="R11" i="1" l="1"/>
  <c r="R10" i="1"/>
  <c r="R9" i="1"/>
  <c r="R8" i="1"/>
  <c r="R7" i="1"/>
  <c r="R6" i="1"/>
  <c r="R4" i="1"/>
  <c r="G11" i="1" l="1"/>
  <c r="B15" i="1" l="1"/>
  <c r="R17" i="1" s="1"/>
  <c r="B11" i="1"/>
  <c r="G12" i="1" s="1"/>
  <c r="B6" i="1"/>
  <c r="B4" i="1"/>
  <c r="R5" i="1" s="1"/>
  <c r="B2" i="1"/>
  <c r="G38" i="1" l="1"/>
  <c r="R3" i="1"/>
  <c r="G37" i="1"/>
  <c r="G36" i="1"/>
  <c r="B13" i="1"/>
  <c r="R21" i="1"/>
  <c r="B14" i="1" l="1"/>
  <c r="G19" i="1" s="1"/>
  <c r="R15" i="1"/>
  <c r="G20" i="1" l="1"/>
  <c r="G21" i="1" s="1"/>
  <c r="G33" i="1"/>
  <c r="B16" i="1"/>
  <c r="R16" i="1"/>
  <c r="G34" i="1" l="1"/>
  <c r="G35" i="1"/>
  <c r="B17" i="1"/>
  <c r="B18" i="1" s="1"/>
  <c r="B20" i="1" s="1"/>
  <c r="G39" i="1" s="1"/>
  <c r="R18" i="1"/>
  <c r="G40" i="1" l="1"/>
  <c r="G41" i="1" s="1"/>
  <c r="B28" i="1"/>
  <c r="R20" i="1"/>
  <c r="R19" i="1"/>
  <c r="B21" i="1"/>
  <c r="B22" i="1" s="1"/>
  <c r="B24" i="1" s="1"/>
  <c r="B31" i="1" l="1"/>
  <c r="B29" i="1"/>
  <c r="B30" i="1" s="1"/>
  <c r="B32" i="1" l="1"/>
  <c r="B33" i="1" s="1"/>
  <c r="B34" i="1"/>
</calcChain>
</file>

<file path=xl/sharedStrings.xml><?xml version="1.0" encoding="utf-8"?>
<sst xmlns="http://schemas.openxmlformats.org/spreadsheetml/2006/main" count="246" uniqueCount="141">
  <si>
    <t>P sys</t>
  </si>
  <si>
    <t>W</t>
  </si>
  <si>
    <t>kW</t>
  </si>
  <si>
    <t>I sys</t>
  </si>
  <si>
    <t>A</t>
  </si>
  <si>
    <t>V sys</t>
  </si>
  <si>
    <t>V</t>
  </si>
  <si>
    <t>Op Time</t>
  </si>
  <si>
    <t>hrs</t>
  </si>
  <si>
    <t>sec</t>
  </si>
  <si>
    <t>V oc</t>
  </si>
  <si>
    <t>mV</t>
  </si>
  <si>
    <t>N cells</t>
  </si>
  <si>
    <t>Cell eff</t>
  </si>
  <si>
    <t>V cell</t>
  </si>
  <si>
    <t>mdot cell</t>
  </si>
  <si>
    <t>Faraday</t>
  </si>
  <si>
    <t>Rbar</t>
  </si>
  <si>
    <t>g/s</t>
  </si>
  <si>
    <t>mdot tot</t>
  </si>
  <si>
    <t>mtot</t>
  </si>
  <si>
    <t>g</t>
  </si>
  <si>
    <t>kg</t>
  </si>
  <si>
    <t>MH H/M</t>
  </si>
  <si>
    <t>MH req</t>
  </si>
  <si>
    <t>lbs</t>
  </si>
  <si>
    <t>tons</t>
  </si>
  <si>
    <t>MH BED</t>
  </si>
  <si>
    <t>FIXED</t>
  </si>
  <si>
    <t>MH FLOAT 1</t>
  </si>
  <si>
    <t>MH FLOAT 2</t>
  </si>
  <si>
    <t>MH FLOAT 3</t>
  </si>
  <si>
    <t>N</t>
  </si>
  <si>
    <t>Y</t>
  </si>
  <si>
    <t>H</t>
  </si>
  <si>
    <t>L</t>
  </si>
  <si>
    <t>H2 FLOW</t>
  </si>
  <si>
    <t>HEAT FLOW</t>
  </si>
  <si>
    <t>MH1 -&gt; FIXED</t>
  </si>
  <si>
    <t>FIXED -&gt; MH2</t>
  </si>
  <si>
    <t>MH1 -&gt; MH3</t>
  </si>
  <si>
    <t>MH3 -&gt; FIXED</t>
  </si>
  <si>
    <t>FIXED -&gt;MH1</t>
  </si>
  <si>
    <t>MH3 -&gt; MH2</t>
  </si>
  <si>
    <t>MH2 -&gt; FIXED</t>
  </si>
  <si>
    <t>FIXED -&gt; MH3</t>
  </si>
  <si>
    <t>MH2 -&gt; MH1</t>
  </si>
  <si>
    <t># of beds</t>
  </si>
  <si>
    <t>Total MH req'd</t>
  </si>
  <si>
    <t>rho MH</t>
  </si>
  <si>
    <t>g/cm3</t>
  </si>
  <si>
    <t>kg/m3</t>
  </si>
  <si>
    <t>m3</t>
  </si>
  <si>
    <t>Vol MH per bed</t>
  </si>
  <si>
    <t>Tot MH vol</t>
  </si>
  <si>
    <t>ft3</t>
  </si>
  <si>
    <t>ft</t>
  </si>
  <si>
    <t>T stack</t>
  </si>
  <si>
    <t>degC</t>
  </si>
  <si>
    <t>K</t>
  </si>
  <si>
    <t>Pratio</t>
  </si>
  <si>
    <t>CHARGED</t>
  </si>
  <si>
    <t>TEMPERATURE</t>
  </si>
  <si>
    <t>STAGE 1</t>
  </si>
  <si>
    <t>STAGE 2</t>
  </si>
  <si>
    <t>STAGE 3</t>
  </si>
  <si>
    <t>STAGE 4</t>
  </si>
  <si>
    <t>STAGE 5</t>
  </si>
  <si>
    <t>STAGE 6</t>
  </si>
  <si>
    <t>STAGE 7/1</t>
  </si>
  <si>
    <t>MH1-&gt;FIXED</t>
  </si>
  <si>
    <t>System Power</t>
  </si>
  <si>
    <t>System Current</t>
  </si>
  <si>
    <t>System Voltage</t>
  </si>
  <si>
    <t>Stage Run Time</t>
  </si>
  <si>
    <t>Parameter</t>
  </si>
  <si>
    <t>Value</t>
  </si>
  <si>
    <t>Units</t>
  </si>
  <si>
    <t>Cell efficiency</t>
  </si>
  <si>
    <t>Results</t>
  </si>
  <si>
    <t>Target Cell OC Voltage</t>
  </si>
  <si>
    <t>Target Stack Temperature</t>
  </si>
  <si>
    <t>deg C</t>
  </si>
  <si>
    <t>Actual Cell Voltage</t>
  </si>
  <si>
    <t>Number of Cells in Stack</t>
  </si>
  <si>
    <t>Cell hydrogen mass flow rate</t>
  </si>
  <si>
    <t>Total hydrogen mass flow rate</t>
  </si>
  <si>
    <t>Target MH hydrogen storage %</t>
  </si>
  <si>
    <t>Number of Beds (1 fixed/3 floating)</t>
  </si>
  <si>
    <t>MH req'd per bed</t>
  </si>
  <si>
    <t>Average Pressure Ratio req'd</t>
  </si>
  <si>
    <t>Input Parameters</t>
  </si>
  <si>
    <t>Energy density</t>
  </si>
  <si>
    <t>W/L</t>
  </si>
  <si>
    <t>Current Density</t>
  </si>
  <si>
    <t>A/cm2</t>
  </si>
  <si>
    <t>Cell active area</t>
  </si>
  <si>
    <t>cm2</t>
  </si>
  <si>
    <t>Cell length</t>
  </si>
  <si>
    <t>cm</t>
  </si>
  <si>
    <t>Seal %</t>
  </si>
  <si>
    <t>Actual Cell area</t>
  </si>
  <si>
    <t>Total cell area</t>
  </si>
  <si>
    <t>m2</t>
  </si>
  <si>
    <t>ft2</t>
  </si>
  <si>
    <t>Cell thickness</t>
  </si>
  <si>
    <t>microns</t>
  </si>
  <si>
    <t>m</t>
  </si>
  <si>
    <t>Total Cell Volume</t>
  </si>
  <si>
    <t>$/cm3</t>
  </si>
  <si>
    <t>P2O5 cost</t>
  </si>
  <si>
    <t>cm3</t>
  </si>
  <si>
    <t>$/m3</t>
  </si>
  <si>
    <t>$/kW</t>
  </si>
  <si>
    <t>$kW</t>
  </si>
  <si>
    <t>Cell Cost</t>
  </si>
  <si>
    <t>BOP Cost</t>
  </si>
  <si>
    <t>Eelctronic Cost</t>
  </si>
  <si>
    <t>Total Cost</t>
  </si>
  <si>
    <t>Cost/kw</t>
  </si>
  <si>
    <t>Installation cost</t>
  </si>
  <si>
    <t>$/kw</t>
  </si>
  <si>
    <t>MH cost/kg</t>
  </si>
  <si>
    <t>$/kg</t>
  </si>
  <si>
    <t>MH cost</t>
  </si>
  <si>
    <t>Levelized Cost of Energy</t>
  </si>
  <si>
    <t>Period</t>
  </si>
  <si>
    <t>Years</t>
  </si>
  <si>
    <t>Discount Rate</t>
  </si>
  <si>
    <t>Capital Costs</t>
  </si>
  <si>
    <t>Capacity Factor</t>
  </si>
  <si>
    <t>Fixed O&amp;M</t>
  </si>
  <si>
    <t>Variable O&amp;M</t>
  </si>
  <si>
    <t>Simple Levelized Cost of Renewable Energy</t>
  </si>
  <si>
    <t>$/kWh</t>
  </si>
  <si>
    <t>$/kW-yr</t>
  </si>
  <si>
    <t>P2O5 Doped Polyimide Cell cost</t>
  </si>
  <si>
    <t>MEA Stack Packaging Cost</t>
  </si>
  <si>
    <t>Stack Balance of Plant Cost</t>
  </si>
  <si>
    <t>Stack Electronics Cost</t>
  </si>
  <si>
    <t>System Installation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</si>
</sst>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  <numFmt numFmtId="168" formatCode="_(&quot;$&quot;* #,##0.000_);_(&quot;$&quot;* \(#,##0.0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3" borderId="1" xfId="3" applyAlignment="1">
      <alignment vertical="center"/>
    </xf>
    <xf numFmtId="0" fontId="4" fillId="4" borderId="1" xfId="4" applyAlignment="1">
      <alignment vertical="center"/>
    </xf>
    <xf numFmtId="0" fontId="2" fillId="2" borderId="0" xfId="2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2" applyBorder="1" applyAlignment="1">
      <alignment vertical="center"/>
    </xf>
    <xf numFmtId="0" fontId="2" fillId="2" borderId="8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3" fillId="3" borderId="1" xfId="3" applyNumberFormat="1" applyAlignment="1">
      <alignment vertical="center"/>
    </xf>
    <xf numFmtId="10" fontId="4" fillId="4" borderId="1" xfId="4" applyNumberFormat="1" applyAlignment="1">
      <alignment vertical="center"/>
    </xf>
    <xf numFmtId="164" fontId="4" fillId="4" borderId="1" xfId="4" applyNumberFormat="1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vertical="center"/>
    </xf>
    <xf numFmtId="166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0" fontId="5" fillId="5" borderId="0" xfId="5" applyAlignment="1">
      <alignment vertical="center"/>
    </xf>
    <xf numFmtId="0" fontId="2" fillId="2" borderId="0" xfId="2" applyAlignment="1">
      <alignment horizontal="left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5" fillId="5" borderId="3" xfId="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2" fontId="4" fillId="4" borderId="1" xfId="4" applyNumberFormat="1" applyAlignment="1">
      <alignment vertical="center"/>
    </xf>
    <xf numFmtId="1" fontId="4" fillId="4" borderId="1" xfId="4" applyNumberFormat="1" applyAlignment="1">
      <alignment vertical="center"/>
    </xf>
    <xf numFmtId="44" fontId="0" fillId="0" borderId="0" xfId="6" applyFont="1" applyAlignment="1">
      <alignment vertical="center"/>
    </xf>
    <xf numFmtId="44" fontId="3" fillId="3" borderId="1" xfId="3" applyNumberFormat="1" applyAlignment="1">
      <alignment vertical="center"/>
    </xf>
    <xf numFmtId="0" fontId="2" fillId="2" borderId="1" xfId="2" applyBorder="1" applyAlignment="1">
      <alignment vertical="center"/>
    </xf>
    <xf numFmtId="0" fontId="2" fillId="2" borderId="1" xfId="2" applyBorder="1" applyAlignment="1">
      <alignment horizontal="left" vertical="center"/>
    </xf>
    <xf numFmtId="44" fontId="4" fillId="4" borderId="1" xfId="4" applyNumberFormat="1" applyAlignment="1">
      <alignment vertical="center"/>
    </xf>
    <xf numFmtId="168" fontId="0" fillId="0" borderId="0" xfId="6" applyNumberFormat="1" applyFont="1" applyAlignment="1">
      <alignment vertical="center"/>
    </xf>
    <xf numFmtId="0" fontId="0" fillId="0" borderId="19" xfId="0" applyBorder="1" applyAlignment="1">
      <alignment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</cellXfs>
  <cellStyles count="7">
    <cellStyle name="Calculation" xfId="4" builtinId="22"/>
    <cellStyle name="Currency" xfId="6" builtinId="4"/>
    <cellStyle name="Good" xfId="5" builtinId="26"/>
    <cellStyle name="Input" xfId="3" builtinId="20"/>
    <cellStyle name="Neutral" xfId="2" builtinId="28"/>
    <cellStyle name="Normal" xfId="0" builtinId="0"/>
    <cellStyle name="Percent" xfId="1" builtinId="5"/>
  </cellStyles>
  <dxfs count="19"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Q2:S11" totalsRowShown="0" headerRowDxfId="18" dataDxfId="17">
  <tableColumns count="3">
    <tableColumn id="1" name="Parameter" dataDxfId="16"/>
    <tableColumn id="2" name="Value" dataDxfId="15"/>
    <tableColumn id="3" name="Units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Q14:S21" totalsRowShown="0" headerRowDxfId="13" dataDxfId="12">
  <tableColumns count="3">
    <tableColumn id="1" name="Parameter" dataDxfId="11"/>
    <tableColumn id="2" name="Value" dataDxfId="10"/>
    <tableColumn id="3" name="Units" dataDxfId="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Q26:S38" totalsRowShown="0" headerRowDxfId="4" headerRowBorderDxfId="8">
  <tableColumns count="3">
    <tableColumn id="1" name="Parameter" dataDxfId="7"/>
    <tableColumn id="2" name="Value" dataDxfId="6" dataCellStyle="Currency"/>
    <tableColumn id="3" name="Units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F10" zoomScaleNormal="100" workbookViewId="0">
      <selection activeCell="U22" sqref="U22"/>
    </sheetView>
  </sheetViews>
  <sheetFormatPr defaultRowHeight="15" x14ac:dyDescent="0.25"/>
  <cols>
    <col min="1" max="1" width="14.85546875" style="1" bestFit="1" customWidth="1"/>
    <col min="2" max="5" width="9.140625" style="1"/>
    <col min="6" max="6" width="18.140625" style="1" customWidth="1"/>
    <col min="7" max="7" width="14.28515625" style="1" bestFit="1" customWidth="1"/>
    <col min="8" max="16" width="9.140625" style="1"/>
    <col min="17" max="17" width="40.42578125" style="1" bestFit="1" customWidth="1"/>
    <col min="18" max="18" width="11.5703125" style="1" bestFit="1" customWidth="1"/>
    <col min="19" max="19" width="11" style="1" customWidth="1"/>
    <col min="20" max="16384" width="9.140625" style="1"/>
  </cols>
  <sheetData>
    <row r="1" spans="1:19" x14ac:dyDescent="0.25">
      <c r="A1" s="25" t="s">
        <v>0</v>
      </c>
      <c r="B1" s="2">
        <v>10000</v>
      </c>
      <c r="C1" s="24" t="s">
        <v>1</v>
      </c>
      <c r="K1" s="1" t="s">
        <v>16</v>
      </c>
      <c r="L1" s="1">
        <v>96485</v>
      </c>
      <c r="Q1" s="26" t="s">
        <v>91</v>
      </c>
      <c r="R1" s="27"/>
      <c r="S1" s="28"/>
    </row>
    <row r="2" spans="1:19" x14ac:dyDescent="0.25">
      <c r="A2" s="25"/>
      <c r="B2" s="3">
        <f>Psys/1000</f>
        <v>10</v>
      </c>
      <c r="C2" s="24" t="s">
        <v>2</v>
      </c>
      <c r="K2" s="1" t="s">
        <v>17</v>
      </c>
      <c r="L2" s="1">
        <v>8.3140000000000001</v>
      </c>
      <c r="Q2" s="14" t="s">
        <v>75</v>
      </c>
      <c r="R2" s="14" t="s">
        <v>76</v>
      </c>
      <c r="S2" s="14" t="s">
        <v>77</v>
      </c>
    </row>
    <row r="3" spans="1:19" x14ac:dyDescent="0.25">
      <c r="A3" s="4" t="s">
        <v>3</v>
      </c>
      <c r="B3" s="2">
        <v>100</v>
      </c>
      <c r="C3" s="24" t="s">
        <v>4</v>
      </c>
      <c r="Q3" s="1" t="s">
        <v>71</v>
      </c>
      <c r="R3" s="1">
        <f>B2</f>
        <v>10</v>
      </c>
      <c r="S3" s="1" t="s">
        <v>2</v>
      </c>
    </row>
    <row r="4" spans="1:19" x14ac:dyDescent="0.25">
      <c r="A4" s="4" t="s">
        <v>5</v>
      </c>
      <c r="B4" s="3">
        <f>Psys/Isys</f>
        <v>100</v>
      </c>
      <c r="C4" s="24" t="s">
        <v>6</v>
      </c>
      <c r="Q4" s="1" t="s">
        <v>72</v>
      </c>
      <c r="R4" s="1">
        <f>Isys</f>
        <v>100</v>
      </c>
      <c r="S4" s="1" t="s">
        <v>4</v>
      </c>
    </row>
    <row r="5" spans="1:19" x14ac:dyDescent="0.25">
      <c r="A5" s="25" t="s">
        <v>7</v>
      </c>
      <c r="B5" s="2">
        <v>2</v>
      </c>
      <c r="C5" s="24" t="s">
        <v>8</v>
      </c>
      <c r="Q5" s="1" t="s">
        <v>73</v>
      </c>
      <c r="R5" s="1">
        <f>Vsys</f>
        <v>100</v>
      </c>
      <c r="S5" s="1" t="s">
        <v>6</v>
      </c>
    </row>
    <row r="6" spans="1:19" x14ac:dyDescent="0.25">
      <c r="A6" s="25"/>
      <c r="B6" s="3">
        <f>OpTimeHrs*3600</f>
        <v>7200</v>
      </c>
      <c r="C6" s="24" t="s">
        <v>9</v>
      </c>
      <c r="Q6" s="1" t="s">
        <v>74</v>
      </c>
      <c r="R6" s="1">
        <f>OpTimeHrs</f>
        <v>2</v>
      </c>
      <c r="S6" s="1" t="s">
        <v>8</v>
      </c>
    </row>
    <row r="7" spans="1:19" x14ac:dyDescent="0.25">
      <c r="Q7" s="1" t="s">
        <v>78</v>
      </c>
      <c r="R7" s="5">
        <f>etaCell</f>
        <v>0.5</v>
      </c>
    </row>
    <row r="8" spans="1:19" x14ac:dyDescent="0.25">
      <c r="Q8" s="1" t="s">
        <v>80</v>
      </c>
      <c r="R8" s="1">
        <f>B10</f>
        <v>25</v>
      </c>
      <c r="S8" s="1" t="s">
        <v>11</v>
      </c>
    </row>
    <row r="9" spans="1:19" x14ac:dyDescent="0.25">
      <c r="Q9" s="1" t="s">
        <v>81</v>
      </c>
      <c r="R9" s="1">
        <f>TstackdegC</f>
        <v>130</v>
      </c>
      <c r="S9" s="1" t="s">
        <v>82</v>
      </c>
    </row>
    <row r="10" spans="1:19" x14ac:dyDescent="0.25">
      <c r="A10" s="25" t="s">
        <v>10</v>
      </c>
      <c r="B10" s="2">
        <v>25</v>
      </c>
      <c r="C10" s="24" t="s">
        <v>11</v>
      </c>
      <c r="F10" s="4" t="s">
        <v>57</v>
      </c>
      <c r="G10" s="2">
        <v>130</v>
      </c>
      <c r="H10" s="24" t="s">
        <v>58</v>
      </c>
      <c r="Q10" s="1" t="s">
        <v>87</v>
      </c>
      <c r="R10" s="20">
        <f>MHstor</f>
        <v>1.4999999999999999E-2</v>
      </c>
    </row>
    <row r="11" spans="1:19" x14ac:dyDescent="0.25">
      <c r="A11" s="25"/>
      <c r="B11" s="3">
        <f>B10/1000</f>
        <v>2.5000000000000001E-2</v>
      </c>
      <c r="C11" s="24" t="s">
        <v>6</v>
      </c>
      <c r="F11" s="4"/>
      <c r="G11" s="3">
        <f>TstackdegC+273.15</f>
        <v>403.15</v>
      </c>
      <c r="H11" s="24" t="s">
        <v>59</v>
      </c>
      <c r="Q11" s="1" t="s">
        <v>88</v>
      </c>
      <c r="R11" s="21">
        <f>B23</f>
        <v>4</v>
      </c>
    </row>
    <row r="12" spans="1:19" x14ac:dyDescent="0.25">
      <c r="A12" s="4" t="s">
        <v>13</v>
      </c>
      <c r="B12" s="17">
        <v>0.5</v>
      </c>
      <c r="C12" s="24"/>
      <c r="F12" s="4" t="s">
        <v>60</v>
      </c>
      <c r="G12" s="19">
        <f>EXP(Voc*2*Faraday/(Rbar*TstackdegK))</f>
        <v>4.2177674659703781</v>
      </c>
      <c r="H12" s="24"/>
    </row>
    <row r="13" spans="1:19" x14ac:dyDescent="0.25">
      <c r="A13" s="4" t="s">
        <v>14</v>
      </c>
      <c r="B13" s="19">
        <f>etaCell*Voc</f>
        <v>1.2500000000000001E-2</v>
      </c>
      <c r="C13" s="24" t="s">
        <v>6</v>
      </c>
      <c r="F13" s="4" t="s">
        <v>94</v>
      </c>
      <c r="G13" s="2">
        <v>0.5</v>
      </c>
      <c r="H13" s="24" t="s">
        <v>95</v>
      </c>
      <c r="Q13" s="26" t="s">
        <v>79</v>
      </c>
      <c r="R13" s="27"/>
      <c r="S13" s="28"/>
    </row>
    <row r="14" spans="1:19" x14ac:dyDescent="0.25">
      <c r="A14" s="4" t="s">
        <v>12</v>
      </c>
      <c r="B14" s="3">
        <f>CEILING(Vsys/Vcell,1)</f>
        <v>8000</v>
      </c>
      <c r="C14" s="24"/>
      <c r="F14" s="4" t="s">
        <v>96</v>
      </c>
      <c r="G14" s="3">
        <f>Isys/G13</f>
        <v>200</v>
      </c>
      <c r="H14" s="24" t="s">
        <v>97</v>
      </c>
      <c r="Q14" s="14" t="s">
        <v>75</v>
      </c>
      <c r="R14" s="14" t="s">
        <v>76</v>
      </c>
      <c r="S14" s="14" t="s">
        <v>77</v>
      </c>
    </row>
    <row r="15" spans="1:19" x14ac:dyDescent="0.25">
      <c r="A15" s="4" t="s">
        <v>15</v>
      </c>
      <c r="B15" s="3">
        <f>Isys/Faraday</f>
        <v>1.0364305332435093E-3</v>
      </c>
      <c r="C15" s="24" t="s">
        <v>18</v>
      </c>
      <c r="F15" s="4" t="s">
        <v>98</v>
      </c>
      <c r="G15" s="35">
        <f>SQRT((G14))</f>
        <v>14.142135623730951</v>
      </c>
      <c r="H15" s="24" t="s">
        <v>99</v>
      </c>
      <c r="Q15" s="1" t="s">
        <v>83</v>
      </c>
      <c r="R15" s="1">
        <f>Vcell*1000</f>
        <v>12.5</v>
      </c>
      <c r="S15" s="1" t="s">
        <v>11</v>
      </c>
    </row>
    <row r="16" spans="1:19" x14ac:dyDescent="0.25">
      <c r="A16" s="4" t="s">
        <v>19</v>
      </c>
      <c r="B16" s="3">
        <f>mdotCell*Ncells</f>
        <v>8.2914442659480745</v>
      </c>
      <c r="C16" s="24" t="s">
        <v>18</v>
      </c>
      <c r="F16" s="4" t="s">
        <v>100</v>
      </c>
      <c r="G16" s="17">
        <v>0.15</v>
      </c>
      <c r="H16" s="24"/>
      <c r="Q16" s="1" t="s">
        <v>84</v>
      </c>
      <c r="R16" s="1">
        <f>Ncells</f>
        <v>8000</v>
      </c>
    </row>
    <row r="17" spans="1:19" x14ac:dyDescent="0.25">
      <c r="A17" s="25" t="s">
        <v>20</v>
      </c>
      <c r="B17" s="3">
        <f>mdotTot*OpTimeSecs</f>
        <v>59698.398714826137</v>
      </c>
      <c r="C17" s="24" t="s">
        <v>21</v>
      </c>
      <c r="F17" s="4" t="s">
        <v>98</v>
      </c>
      <c r="G17" s="3">
        <f>(1+G16)*G15</f>
        <v>16.263455967290593</v>
      </c>
      <c r="H17" s="24"/>
      <c r="Q17" s="1" t="s">
        <v>85</v>
      </c>
      <c r="R17" s="23">
        <f>mdotCell</f>
        <v>1.0364305332435093E-3</v>
      </c>
      <c r="S17" s="1" t="s">
        <v>18</v>
      </c>
    </row>
    <row r="18" spans="1:19" x14ac:dyDescent="0.25">
      <c r="A18" s="25"/>
      <c r="B18" s="3">
        <f>B17/1000</f>
        <v>59.698398714826133</v>
      </c>
      <c r="C18" s="24" t="s">
        <v>22</v>
      </c>
      <c r="F18" s="4" t="s">
        <v>101</v>
      </c>
      <c r="G18" s="3">
        <f>G17*G17</f>
        <v>264.5</v>
      </c>
      <c r="H18" s="24" t="s">
        <v>97</v>
      </c>
      <c r="Q18" s="1" t="s">
        <v>86</v>
      </c>
      <c r="R18" s="22">
        <f>mdotTot</f>
        <v>8.2914442659480745</v>
      </c>
      <c r="S18" s="1" t="s">
        <v>18</v>
      </c>
    </row>
    <row r="19" spans="1:19" x14ac:dyDescent="0.25">
      <c r="A19" s="4" t="s">
        <v>23</v>
      </c>
      <c r="B19" s="18">
        <v>1.4999999999999999E-2</v>
      </c>
      <c r="C19" s="24"/>
      <c r="F19" s="25" t="s">
        <v>102</v>
      </c>
      <c r="G19" s="3">
        <f>G18*Ncells</f>
        <v>2116000</v>
      </c>
      <c r="H19" s="24" t="s">
        <v>97</v>
      </c>
      <c r="Q19" s="1" t="s">
        <v>89</v>
      </c>
      <c r="R19" s="22">
        <f>B20</f>
        <v>3979.8932476550758</v>
      </c>
      <c r="S19" s="1" t="s">
        <v>22</v>
      </c>
    </row>
    <row r="20" spans="1:19" x14ac:dyDescent="0.25">
      <c r="A20" s="4" t="s">
        <v>24</v>
      </c>
      <c r="B20" s="3">
        <f>mTot/MHstor</f>
        <v>3979.8932476550758</v>
      </c>
      <c r="C20" s="24" t="s">
        <v>22</v>
      </c>
      <c r="F20" s="25"/>
      <c r="G20" s="36">
        <f>G19/(POWER(100,2))</f>
        <v>211.6</v>
      </c>
      <c r="H20" s="24" t="s">
        <v>103</v>
      </c>
      <c r="Q20" s="1" t="s">
        <v>48</v>
      </c>
      <c r="R20" s="22">
        <f>B20*B23</f>
        <v>15919.572990620303</v>
      </c>
      <c r="S20" s="1" t="s">
        <v>22</v>
      </c>
    </row>
    <row r="21" spans="1:19" x14ac:dyDescent="0.25">
      <c r="A21" s="4"/>
      <c r="B21" s="3">
        <f>B20*2.2</f>
        <v>8755.7651448411671</v>
      </c>
      <c r="C21" s="24" t="s">
        <v>25</v>
      </c>
      <c r="F21" s="25"/>
      <c r="G21" s="36">
        <f>G20*3.28*3.28</f>
        <v>2276.4774399999997</v>
      </c>
      <c r="H21" s="24" t="s">
        <v>104</v>
      </c>
      <c r="Q21" s="1" t="s">
        <v>90</v>
      </c>
      <c r="R21" s="22">
        <f>G12</f>
        <v>4.2177674659703781</v>
      </c>
    </row>
    <row r="22" spans="1:19" x14ac:dyDescent="0.25">
      <c r="A22" s="4"/>
      <c r="B22" s="3">
        <f>B21/2000</f>
        <v>4.3778825724205834</v>
      </c>
      <c r="C22" s="24" t="s">
        <v>26</v>
      </c>
      <c r="F22" s="4" t="s">
        <v>110</v>
      </c>
      <c r="G22" s="38">
        <v>0.75</v>
      </c>
      <c r="H22" s="24" t="s">
        <v>109</v>
      </c>
    </row>
    <row r="23" spans="1:19" x14ac:dyDescent="0.25">
      <c r="A23" s="4" t="s">
        <v>47</v>
      </c>
      <c r="B23" s="2">
        <v>4</v>
      </c>
      <c r="C23" s="24"/>
      <c r="F23" s="39" t="s">
        <v>137</v>
      </c>
      <c r="G23" s="2">
        <v>500</v>
      </c>
      <c r="H23" s="24" t="s">
        <v>112</v>
      </c>
    </row>
    <row r="24" spans="1:19" x14ac:dyDescent="0.25">
      <c r="A24" s="4" t="s">
        <v>48</v>
      </c>
      <c r="B24" s="3">
        <f>B23*B22</f>
        <v>17.511530289682334</v>
      </c>
      <c r="C24" s="24" t="s">
        <v>26</v>
      </c>
      <c r="F24" s="39" t="s">
        <v>138</v>
      </c>
      <c r="G24" s="2">
        <v>250</v>
      </c>
      <c r="H24" s="24" t="s">
        <v>113</v>
      </c>
    </row>
    <row r="25" spans="1:19" x14ac:dyDescent="0.25">
      <c r="A25" s="4"/>
      <c r="B25" s="3"/>
      <c r="C25" s="24"/>
      <c r="F25" s="39" t="s">
        <v>139</v>
      </c>
      <c r="G25" s="2">
        <v>175</v>
      </c>
      <c r="H25" s="24" t="s">
        <v>114</v>
      </c>
      <c r="Q25" s="44" t="s">
        <v>125</v>
      </c>
      <c r="R25" s="45"/>
      <c r="S25" s="46"/>
    </row>
    <row r="26" spans="1:19" ht="15.75" thickBot="1" x14ac:dyDescent="0.3">
      <c r="A26" s="4" t="s">
        <v>49</v>
      </c>
      <c r="B26" s="3">
        <v>1.5</v>
      </c>
      <c r="C26" s="24" t="s">
        <v>50</v>
      </c>
      <c r="F26" s="4" t="s">
        <v>122</v>
      </c>
      <c r="G26" s="2">
        <v>20</v>
      </c>
      <c r="H26" s="24" t="s">
        <v>123</v>
      </c>
      <c r="Q26" s="32" t="s">
        <v>75</v>
      </c>
      <c r="R26" s="33" t="s">
        <v>76</v>
      </c>
      <c r="S26" s="34" t="s">
        <v>77</v>
      </c>
    </row>
    <row r="27" spans="1:19" ht="15.75" thickTop="1" x14ac:dyDescent="0.25">
      <c r="A27" s="4"/>
      <c r="B27" s="3">
        <f>B26*1000</f>
        <v>1500</v>
      </c>
      <c r="C27" s="24" t="s">
        <v>51</v>
      </c>
      <c r="F27" s="39" t="s">
        <v>140</v>
      </c>
      <c r="G27" s="38">
        <v>1000</v>
      </c>
      <c r="H27" s="24" t="s">
        <v>113</v>
      </c>
      <c r="Q27" s="1" t="s">
        <v>136</v>
      </c>
      <c r="R27" s="1">
        <v>0.75</v>
      </c>
      <c r="S27" s="1" t="s">
        <v>109</v>
      </c>
    </row>
    <row r="28" spans="1:19" x14ac:dyDescent="0.25">
      <c r="A28" s="4" t="s">
        <v>53</v>
      </c>
      <c r="B28" s="3">
        <f>B20/B27</f>
        <v>2.6532621651033841</v>
      </c>
      <c r="C28" s="24" t="s">
        <v>52</v>
      </c>
      <c r="F28" s="4" t="s">
        <v>122</v>
      </c>
      <c r="G28" s="2">
        <v>20</v>
      </c>
      <c r="H28" s="24" t="s">
        <v>123</v>
      </c>
      <c r="Q28" s="1" t="str">
        <f>F23</f>
        <v>MEA Stack Packaging Cost</v>
      </c>
      <c r="R28" s="37">
        <f>G23</f>
        <v>500</v>
      </c>
      <c r="S28" s="1" t="s">
        <v>112</v>
      </c>
    </row>
    <row r="29" spans="1:19" x14ac:dyDescent="0.25">
      <c r="A29" s="4"/>
      <c r="B29" s="3">
        <f>B28*POWER(3.28,3)</f>
        <v>93.627126620718229</v>
      </c>
      <c r="C29" s="24" t="s">
        <v>55</v>
      </c>
      <c r="F29" s="40" t="s">
        <v>105</v>
      </c>
      <c r="G29" s="2">
        <v>25</v>
      </c>
      <c r="H29" s="24" t="s">
        <v>106</v>
      </c>
      <c r="Q29" s="1" t="str">
        <f t="shared" ref="Q29:Q31" si="0">F24</f>
        <v>Stack Balance of Plant Cost</v>
      </c>
      <c r="R29" s="37">
        <f t="shared" ref="R29:R31" si="1">G24</f>
        <v>250</v>
      </c>
      <c r="S29" s="1" t="s">
        <v>113</v>
      </c>
    </row>
    <row r="30" spans="1:19" x14ac:dyDescent="0.25">
      <c r="A30" s="4"/>
      <c r="B30" s="3">
        <f>POWER(B29,1/3)</f>
        <v>4.5408159410643556</v>
      </c>
      <c r="C30" s="24" t="s">
        <v>56</v>
      </c>
      <c r="F30" s="40"/>
      <c r="G30" s="3">
        <f>G29/10000</f>
        <v>2.5000000000000001E-3</v>
      </c>
      <c r="H30" s="24" t="s">
        <v>99</v>
      </c>
      <c r="Q30" s="1" t="str">
        <f t="shared" si="0"/>
        <v>Stack Electronics Cost</v>
      </c>
      <c r="R30" s="37">
        <f t="shared" si="1"/>
        <v>175</v>
      </c>
      <c r="S30" s="1" t="s">
        <v>113</v>
      </c>
    </row>
    <row r="31" spans="1:19" x14ac:dyDescent="0.25">
      <c r="A31" s="4" t="s">
        <v>54</v>
      </c>
      <c r="B31" s="3">
        <f>B28*B23</f>
        <v>10.613048660413536</v>
      </c>
      <c r="C31" s="24" t="s">
        <v>52</v>
      </c>
      <c r="F31" s="40"/>
      <c r="G31" s="3">
        <f>G30/100</f>
        <v>2.5000000000000001E-5</v>
      </c>
      <c r="H31" s="24" t="s">
        <v>107</v>
      </c>
      <c r="Q31" s="1" t="str">
        <f t="shared" si="0"/>
        <v>MH cost/kg</v>
      </c>
      <c r="R31" s="37">
        <f t="shared" si="1"/>
        <v>20</v>
      </c>
      <c r="S31" s="1" t="s">
        <v>123</v>
      </c>
    </row>
    <row r="32" spans="1:19" x14ac:dyDescent="0.25">
      <c r="A32" s="4"/>
      <c r="B32" s="3">
        <f>B31*POWER(3.28,3)</f>
        <v>374.50850648287292</v>
      </c>
      <c r="C32" s="24" t="s">
        <v>55</v>
      </c>
      <c r="F32" s="40"/>
      <c r="G32" s="3">
        <f>G31*3.28</f>
        <v>8.2000000000000001E-5</v>
      </c>
      <c r="H32" s="24" t="s">
        <v>56</v>
      </c>
      <c r="Q32" s="1" t="s">
        <v>126</v>
      </c>
      <c r="R32" s="1">
        <v>20</v>
      </c>
      <c r="S32" s="1" t="s">
        <v>127</v>
      </c>
    </row>
    <row r="33" spans="1:19" x14ac:dyDescent="0.25">
      <c r="A33" s="4"/>
      <c r="B33" s="3">
        <f>POWER(B32,1/3)</f>
        <v>7.2080960016395288</v>
      </c>
      <c r="C33" s="24" t="s">
        <v>56</v>
      </c>
      <c r="F33" s="4" t="s">
        <v>108</v>
      </c>
      <c r="G33" s="3">
        <f>G30*G19</f>
        <v>5290</v>
      </c>
      <c r="H33" s="24" t="s">
        <v>111</v>
      </c>
      <c r="Q33" s="1" t="s">
        <v>128</v>
      </c>
      <c r="R33" s="5">
        <v>0.03</v>
      </c>
    </row>
    <row r="34" spans="1:19" x14ac:dyDescent="0.25">
      <c r="A34" s="4" t="s">
        <v>92</v>
      </c>
      <c r="B34" s="3">
        <f>Psys/(1000*B31)</f>
        <v>0.94223632812499991</v>
      </c>
      <c r="C34" s="24" t="s">
        <v>93</v>
      </c>
      <c r="F34" s="4"/>
      <c r="G34" s="3">
        <f>G33/POWER(100,3)</f>
        <v>5.2900000000000004E-3</v>
      </c>
      <c r="H34" s="24" t="s">
        <v>52</v>
      </c>
      <c r="Q34" s="1" t="s">
        <v>129</v>
      </c>
      <c r="R34" s="37">
        <f>G41</f>
        <v>9781.5364953101507</v>
      </c>
      <c r="S34" s="1" t="s">
        <v>113</v>
      </c>
    </row>
    <row r="35" spans="1:19" x14ac:dyDescent="0.25">
      <c r="F35" s="4" t="s">
        <v>115</v>
      </c>
      <c r="G35" s="41">
        <f>G33*G22</f>
        <v>3967.5</v>
      </c>
      <c r="H35" s="24"/>
      <c r="Q35" s="1" t="s">
        <v>130</v>
      </c>
      <c r="R35" s="5">
        <v>0.8</v>
      </c>
    </row>
    <row r="36" spans="1:19" x14ac:dyDescent="0.25">
      <c r="F36" s="4" t="s">
        <v>116</v>
      </c>
      <c r="G36" s="41">
        <f>G24*B2</f>
        <v>2500</v>
      </c>
      <c r="H36" s="24"/>
      <c r="Q36" s="1" t="s">
        <v>131</v>
      </c>
      <c r="R36" s="37">
        <v>50</v>
      </c>
      <c r="S36" s="1" t="s">
        <v>135</v>
      </c>
    </row>
    <row r="37" spans="1:19" x14ac:dyDescent="0.25">
      <c r="F37" s="4" t="s">
        <v>117</v>
      </c>
      <c r="G37" s="41">
        <f>G25*B2</f>
        <v>1750</v>
      </c>
      <c r="H37" s="24"/>
      <c r="Q37" s="1" t="s">
        <v>132</v>
      </c>
      <c r="R37" s="42">
        <v>2E-3</v>
      </c>
      <c r="S37" s="1" t="s">
        <v>134</v>
      </c>
    </row>
    <row r="38" spans="1:19" x14ac:dyDescent="0.25">
      <c r="F38" s="4" t="s">
        <v>120</v>
      </c>
      <c r="G38" s="41">
        <f>G27*B2</f>
        <v>10000</v>
      </c>
      <c r="H38" s="24" t="s">
        <v>121</v>
      </c>
      <c r="Q38" s="1" t="s">
        <v>133</v>
      </c>
      <c r="R38" s="42">
        <v>0.10299999999999999</v>
      </c>
      <c r="S38" s="1" t="s">
        <v>134</v>
      </c>
    </row>
    <row r="39" spans="1:19" x14ac:dyDescent="0.25">
      <c r="F39" s="4" t="s">
        <v>124</v>
      </c>
      <c r="G39" s="41">
        <f>G28*B20</f>
        <v>79597.864953101511</v>
      </c>
      <c r="H39" s="24"/>
    </row>
    <row r="40" spans="1:19" x14ac:dyDescent="0.25">
      <c r="F40" s="4" t="s">
        <v>118</v>
      </c>
      <c r="G40" s="41">
        <f>SUM(G35:G39)</f>
        <v>97815.364953101511</v>
      </c>
      <c r="H40" s="24"/>
    </row>
    <row r="41" spans="1:19" x14ac:dyDescent="0.25">
      <c r="F41" s="4" t="s">
        <v>119</v>
      </c>
      <c r="G41" s="41">
        <f>G40/B2</f>
        <v>9781.5364953101507</v>
      </c>
      <c r="H41" s="24"/>
    </row>
    <row r="50" spans="17:17" x14ac:dyDescent="0.25">
      <c r="Q50" s="43"/>
    </row>
  </sheetData>
  <mergeCells count="9">
    <mergeCell ref="F19:F21"/>
    <mergeCell ref="F29:F32"/>
    <mergeCell ref="Q25:S25"/>
    <mergeCell ref="A1:A2"/>
    <mergeCell ref="A5:A6"/>
    <mergeCell ref="A10:A11"/>
    <mergeCell ref="A17:A18"/>
    <mergeCell ref="Q13:S13"/>
    <mergeCell ref="Q1:S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P3" sqref="P3"/>
    </sheetView>
  </sheetViews>
  <sheetFormatPr defaultRowHeight="15" x14ac:dyDescent="0.25"/>
  <cols>
    <col min="1" max="1" width="11.42578125" style="1" bestFit="1" customWidth="1"/>
    <col min="2" max="15" width="14.140625" style="1" customWidth="1"/>
    <col min="16" max="16384" width="9.140625" style="1"/>
  </cols>
  <sheetData>
    <row r="1" spans="1:17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4"/>
      <c r="B2" s="29" t="s">
        <v>63</v>
      </c>
      <c r="C2" s="29"/>
      <c r="D2" s="29" t="s">
        <v>64</v>
      </c>
      <c r="E2" s="29"/>
      <c r="F2" s="29" t="s">
        <v>65</v>
      </c>
      <c r="G2" s="29"/>
      <c r="H2" s="29" t="s">
        <v>66</v>
      </c>
      <c r="I2" s="29"/>
      <c r="J2" s="29" t="s">
        <v>67</v>
      </c>
      <c r="K2" s="29"/>
      <c r="L2" s="29" t="s">
        <v>68</v>
      </c>
      <c r="M2" s="29"/>
      <c r="N2" s="29" t="s">
        <v>69</v>
      </c>
      <c r="O2" s="29"/>
      <c r="P2" s="31"/>
      <c r="Q2" s="31"/>
    </row>
    <row r="3" spans="1:17" ht="15.75" thickBot="1" x14ac:dyDescent="0.3">
      <c r="A3" s="12" t="s">
        <v>27</v>
      </c>
      <c r="B3" s="13" t="s">
        <v>61</v>
      </c>
      <c r="C3" s="13" t="s">
        <v>62</v>
      </c>
      <c r="D3" s="13" t="s">
        <v>61</v>
      </c>
      <c r="E3" s="13" t="s">
        <v>62</v>
      </c>
      <c r="F3" s="13" t="s">
        <v>61</v>
      </c>
      <c r="G3" s="13" t="s">
        <v>62</v>
      </c>
      <c r="H3" s="13" t="s">
        <v>61</v>
      </c>
      <c r="I3" s="13" t="s">
        <v>62</v>
      </c>
      <c r="J3" s="13" t="s">
        <v>61</v>
      </c>
      <c r="K3" s="13" t="s">
        <v>62</v>
      </c>
      <c r="L3" s="13" t="s">
        <v>61</v>
      </c>
      <c r="M3" s="13" t="s">
        <v>62</v>
      </c>
      <c r="N3" s="13" t="s">
        <v>61</v>
      </c>
      <c r="O3" s="13" t="s">
        <v>62</v>
      </c>
      <c r="P3" s="7"/>
      <c r="Q3" s="7"/>
    </row>
    <row r="4" spans="1:17" ht="15.75" thickTop="1" x14ac:dyDescent="0.25">
      <c r="A4" s="4" t="s">
        <v>28</v>
      </c>
      <c r="B4" s="8" t="s">
        <v>32</v>
      </c>
      <c r="C4" s="9" t="s">
        <v>35</v>
      </c>
      <c r="D4" s="8" t="s">
        <v>33</v>
      </c>
      <c r="E4" s="9" t="s">
        <v>35</v>
      </c>
      <c r="F4" s="8" t="s">
        <v>32</v>
      </c>
      <c r="G4" s="9" t="s">
        <v>35</v>
      </c>
      <c r="H4" s="8" t="s">
        <v>33</v>
      </c>
      <c r="I4" s="9" t="s">
        <v>35</v>
      </c>
      <c r="J4" s="8" t="s">
        <v>32</v>
      </c>
      <c r="K4" s="9" t="s">
        <v>35</v>
      </c>
      <c r="L4" s="8" t="s">
        <v>33</v>
      </c>
      <c r="M4" s="9" t="s">
        <v>35</v>
      </c>
      <c r="N4" s="8" t="s">
        <v>32</v>
      </c>
      <c r="O4" s="9" t="s">
        <v>35</v>
      </c>
      <c r="P4" s="7"/>
      <c r="Q4" s="7"/>
    </row>
    <row r="5" spans="1:17" x14ac:dyDescent="0.25">
      <c r="A5" s="4" t="s">
        <v>29</v>
      </c>
      <c r="B5" s="10" t="s">
        <v>33</v>
      </c>
      <c r="C5" s="11" t="s">
        <v>34</v>
      </c>
      <c r="D5" s="10" t="s">
        <v>32</v>
      </c>
      <c r="E5" s="11" t="s">
        <v>34</v>
      </c>
      <c r="F5" s="10" t="s">
        <v>32</v>
      </c>
      <c r="G5" s="11" t="s">
        <v>35</v>
      </c>
      <c r="H5" s="10" t="s">
        <v>32</v>
      </c>
      <c r="I5" s="11" t="s">
        <v>35</v>
      </c>
      <c r="J5" s="10" t="s">
        <v>33</v>
      </c>
      <c r="K5" s="11" t="s">
        <v>35</v>
      </c>
      <c r="L5" s="10" t="s">
        <v>33</v>
      </c>
      <c r="M5" s="11" t="s">
        <v>35</v>
      </c>
      <c r="N5" s="10" t="s">
        <v>33</v>
      </c>
      <c r="O5" s="11" t="s">
        <v>34</v>
      </c>
      <c r="P5" s="7"/>
      <c r="Q5" s="7"/>
    </row>
    <row r="6" spans="1:17" x14ac:dyDescent="0.25">
      <c r="A6" s="4" t="s">
        <v>30</v>
      </c>
      <c r="B6" s="10" t="s">
        <v>32</v>
      </c>
      <c r="C6" s="11" t="s">
        <v>35</v>
      </c>
      <c r="D6" s="10" t="s">
        <v>32</v>
      </c>
      <c r="E6" s="11" t="s">
        <v>35</v>
      </c>
      <c r="F6" s="10" t="s">
        <v>33</v>
      </c>
      <c r="G6" s="11" t="s">
        <v>35</v>
      </c>
      <c r="H6" s="10" t="s">
        <v>33</v>
      </c>
      <c r="I6" s="11" t="s">
        <v>35</v>
      </c>
      <c r="J6" s="10" t="s">
        <v>33</v>
      </c>
      <c r="K6" s="11" t="s">
        <v>34</v>
      </c>
      <c r="L6" s="10" t="s">
        <v>32</v>
      </c>
      <c r="M6" s="11" t="s">
        <v>34</v>
      </c>
      <c r="N6" s="10" t="s">
        <v>32</v>
      </c>
      <c r="O6" s="11" t="s">
        <v>35</v>
      </c>
      <c r="P6" s="7"/>
      <c r="Q6" s="7"/>
    </row>
    <row r="7" spans="1:17" x14ac:dyDescent="0.25">
      <c r="A7" s="4" t="s">
        <v>31</v>
      </c>
      <c r="B7" s="15" t="s">
        <v>33</v>
      </c>
      <c r="C7" s="16" t="s">
        <v>35</v>
      </c>
      <c r="D7" s="15" t="s">
        <v>33</v>
      </c>
      <c r="E7" s="16" t="s">
        <v>35</v>
      </c>
      <c r="F7" s="15" t="s">
        <v>33</v>
      </c>
      <c r="G7" s="16" t="s">
        <v>34</v>
      </c>
      <c r="H7" s="15" t="s">
        <v>32</v>
      </c>
      <c r="I7" s="16" t="s">
        <v>34</v>
      </c>
      <c r="J7" s="15" t="s">
        <v>32</v>
      </c>
      <c r="K7" s="16" t="s">
        <v>35</v>
      </c>
      <c r="L7" s="15" t="s">
        <v>32</v>
      </c>
      <c r="M7" s="16" t="s">
        <v>35</v>
      </c>
      <c r="N7" s="15" t="s">
        <v>33</v>
      </c>
      <c r="O7" s="16" t="s">
        <v>35</v>
      </c>
      <c r="P7" s="7"/>
      <c r="Q7" s="7"/>
    </row>
    <row r="8" spans="1:17" x14ac:dyDescent="0.25">
      <c r="A8" s="4" t="s">
        <v>36</v>
      </c>
      <c r="B8" s="30" t="s">
        <v>38</v>
      </c>
      <c r="C8" s="30"/>
      <c r="D8" s="30" t="s">
        <v>39</v>
      </c>
      <c r="E8" s="30"/>
      <c r="F8" s="30" t="s">
        <v>41</v>
      </c>
      <c r="G8" s="30"/>
      <c r="H8" s="30" t="s">
        <v>42</v>
      </c>
      <c r="I8" s="30"/>
      <c r="J8" s="30" t="s">
        <v>44</v>
      </c>
      <c r="K8" s="30"/>
      <c r="L8" s="30" t="s">
        <v>45</v>
      </c>
      <c r="M8" s="30"/>
      <c r="N8" s="30" t="s">
        <v>70</v>
      </c>
      <c r="O8" s="30"/>
    </row>
    <row r="9" spans="1:17" x14ac:dyDescent="0.25">
      <c r="A9" s="4" t="s">
        <v>37</v>
      </c>
      <c r="B9" s="30"/>
      <c r="C9" s="30"/>
      <c r="D9" s="30" t="s">
        <v>40</v>
      </c>
      <c r="E9" s="30"/>
      <c r="F9" s="30"/>
      <c r="G9" s="30"/>
      <c r="H9" s="30" t="s">
        <v>43</v>
      </c>
      <c r="I9" s="30"/>
      <c r="J9" s="30"/>
      <c r="K9" s="30"/>
      <c r="L9" s="30" t="s">
        <v>46</v>
      </c>
      <c r="M9" s="30"/>
      <c r="N9" s="30"/>
      <c r="O9" s="30"/>
    </row>
  </sheetData>
  <mergeCells count="22">
    <mergeCell ref="N9:O9"/>
    <mergeCell ref="N2:O2"/>
    <mergeCell ref="P2:Q2"/>
    <mergeCell ref="B8:C8"/>
    <mergeCell ref="B9:C9"/>
    <mergeCell ref="D8:E8"/>
    <mergeCell ref="F8:G8"/>
    <mergeCell ref="H8:I8"/>
    <mergeCell ref="J8:K8"/>
    <mergeCell ref="L8:M8"/>
    <mergeCell ref="N8:O8"/>
    <mergeCell ref="B2:C2"/>
    <mergeCell ref="D2:E2"/>
    <mergeCell ref="F2:G2"/>
    <mergeCell ref="H2:I2"/>
    <mergeCell ref="L9:M9"/>
    <mergeCell ref="L2:M2"/>
    <mergeCell ref="J2:K2"/>
    <mergeCell ref="D9:E9"/>
    <mergeCell ref="F9:G9"/>
    <mergeCell ref="H9:I9"/>
    <mergeCell ref="J9:K9"/>
  </mergeCells>
  <conditionalFormatting sqref="B4:O7">
    <cfRule type="cellIs" dxfId="3" priority="1" operator="equal">
      <formula>"L"</formula>
    </cfRule>
    <cfRule type="cellIs" dxfId="2" priority="2" operator="equal">
      <formula>"H"</formula>
    </cfRule>
    <cfRule type="cellIs" dxfId="1" priority="3" operator="equal">
      <formula>"N"</formula>
    </cfRule>
    <cfRule type="cellIs" dxfId="0" priority="4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Sheet1</vt:lpstr>
      <vt:lpstr>Sheet2</vt:lpstr>
      <vt:lpstr>Sheet3</vt:lpstr>
      <vt:lpstr>etaCell</vt:lpstr>
      <vt:lpstr>Faraday</vt:lpstr>
      <vt:lpstr>Isys</vt:lpstr>
      <vt:lpstr>mdotCell</vt:lpstr>
      <vt:lpstr>mdotTot</vt:lpstr>
      <vt:lpstr>MHstor</vt:lpstr>
      <vt:lpstr>mTot</vt:lpstr>
      <vt:lpstr>Ncells</vt:lpstr>
      <vt:lpstr>OpTimeHrs</vt:lpstr>
      <vt:lpstr>OpTimeSecs</vt:lpstr>
      <vt:lpstr>Psys</vt:lpstr>
      <vt:lpstr>Rbar</vt:lpstr>
      <vt:lpstr>TstackdegC</vt:lpstr>
      <vt:lpstr>TstackdegK</vt:lpstr>
      <vt:lpstr>Vcell</vt:lpstr>
      <vt:lpstr>Voc</vt:lpstr>
      <vt:lpstr>Vsys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Muller</dc:creator>
  <cp:lastModifiedBy>James Muller</cp:lastModifiedBy>
  <dcterms:created xsi:type="dcterms:W3CDTF">2014-08-21T21:06:34Z</dcterms:created>
  <dcterms:modified xsi:type="dcterms:W3CDTF">2014-09-05T22:02:46Z</dcterms:modified>
</cp:coreProperties>
</file>