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180" windowWidth="25230" windowHeight="5865" tabRatio="248"/>
  </bookViews>
  <sheets>
    <sheet name="Plot" sheetId="1" r:id="rId1"/>
    <sheet name="Metal Hydride" sheetId="2" r:id="rId2"/>
  </sheets>
  <definedNames>
    <definedName name="Adsorption">Plot!$B$25</definedName>
    <definedName name="Aval">Plot!$B$27</definedName>
    <definedName name="beta">Plot!$B$31</definedName>
    <definedName name="Bval">Plot!$B$28</definedName>
    <definedName name="deltaT">Plot!$B$33</definedName>
    <definedName name="Phi">Plot!$B$29</definedName>
    <definedName name="Phi0">Plot!$B$30</definedName>
    <definedName name="Temperature">Plot!$B$32</definedName>
  </definedNames>
  <calcPr calcId="145621"/>
</workbook>
</file>

<file path=xl/calcChain.xml><?xml version="1.0" encoding="utf-8"?>
<calcChain xmlns="http://schemas.openxmlformats.org/spreadsheetml/2006/main">
  <c r="C2" i="1" l="1"/>
  <c r="F2" i="1" s="1"/>
  <c r="I2" i="1" s="1"/>
  <c r="D2" i="1"/>
  <c r="G2" i="1" s="1"/>
  <c r="J2" i="1" s="1"/>
  <c r="C1" i="1"/>
  <c r="D1" i="1"/>
  <c r="B2" i="1"/>
  <c r="E2" i="1" s="1"/>
  <c r="E1" i="1" s="1"/>
  <c r="B1" i="1" l="1"/>
  <c r="J1" i="1"/>
  <c r="M2" i="1"/>
  <c r="M1" i="1" s="1"/>
  <c r="I1" i="1"/>
  <c r="L2" i="1"/>
  <c r="G1" i="1"/>
  <c r="F1" i="1"/>
  <c r="H2" i="1"/>
  <c r="B31" i="1"/>
  <c r="B30" i="1"/>
  <c r="B29" i="1"/>
  <c r="B28" i="1"/>
  <c r="B27" i="1"/>
  <c r="K2" i="1" l="1"/>
  <c r="H1" i="1"/>
  <c r="O2" i="1"/>
  <c r="L1" i="1"/>
  <c r="P2" i="1"/>
  <c r="K5" i="1"/>
  <c r="K11" i="1"/>
  <c r="K14" i="1"/>
  <c r="H4" i="1"/>
  <c r="E15" i="1"/>
  <c r="E7" i="1"/>
  <c r="B9" i="1"/>
  <c r="D9" i="1" s="1"/>
  <c r="B17" i="1"/>
  <c r="D17" i="1" s="1"/>
  <c r="K16" i="1"/>
  <c r="H17" i="1"/>
  <c r="H20" i="1"/>
  <c r="E22" i="1"/>
  <c r="E14" i="1"/>
  <c r="E6" i="1"/>
  <c r="B10" i="1"/>
  <c r="C10" i="1" s="1"/>
  <c r="B18" i="1"/>
  <c r="C18" i="1" s="1"/>
  <c r="K4" i="1"/>
  <c r="K13" i="1"/>
  <c r="K19" i="1"/>
  <c r="H11" i="1"/>
  <c r="E13" i="1"/>
  <c r="B11" i="1"/>
  <c r="C11" i="1" s="1"/>
  <c r="K7" i="1"/>
  <c r="K10" i="1"/>
  <c r="H5" i="1"/>
  <c r="H15" i="1"/>
  <c r="E20" i="1"/>
  <c r="B12" i="1"/>
  <c r="C12" i="1" s="1"/>
  <c r="K12" i="1"/>
  <c r="H9" i="1"/>
  <c r="H18" i="1"/>
  <c r="E19" i="1"/>
  <c r="B5" i="1"/>
  <c r="C5" i="1" s="1"/>
  <c r="B21" i="1"/>
  <c r="C21" i="1" s="1"/>
  <c r="H8" i="1"/>
  <c r="K22" i="1"/>
  <c r="H14" i="1"/>
  <c r="E21" i="1"/>
  <c r="E5" i="1"/>
  <c r="B19" i="1"/>
  <c r="C19" i="1" s="1"/>
  <c r="E12" i="1"/>
  <c r="E4" i="1"/>
  <c r="B20" i="1"/>
  <c r="C20" i="1" s="1"/>
  <c r="K21" i="1"/>
  <c r="H12" i="1"/>
  <c r="H21" i="1"/>
  <c r="E11" i="1"/>
  <c r="B13" i="1"/>
  <c r="C13" i="1" s="1"/>
  <c r="K9" i="1"/>
  <c r="H16" i="1"/>
  <c r="E18" i="1"/>
  <c r="B8" i="1"/>
  <c r="D8" i="1" s="1"/>
  <c r="K17" i="1"/>
  <c r="E17" i="1"/>
  <c r="B14" i="1"/>
  <c r="C14" i="1" s="1"/>
  <c r="K18" i="1"/>
  <c r="E16" i="1"/>
  <c r="B15" i="1"/>
  <c r="C15" i="1" s="1"/>
  <c r="K6" i="1"/>
  <c r="H10" i="1"/>
  <c r="E10" i="1"/>
  <c r="B16" i="1"/>
  <c r="C16" i="1" s="1"/>
  <c r="K15" i="1"/>
  <c r="H19" i="1"/>
  <c r="E9" i="1"/>
  <c r="B22" i="1"/>
  <c r="C22" i="1" s="1"/>
  <c r="E8" i="1"/>
  <c r="B4" i="1"/>
  <c r="C4" i="1" s="1"/>
  <c r="K20" i="1"/>
  <c r="H13" i="1"/>
  <c r="B6" i="1"/>
  <c r="D6" i="1" s="1"/>
  <c r="H22" i="1"/>
  <c r="H6" i="1"/>
  <c r="K8" i="1"/>
  <c r="H7" i="1"/>
  <c r="B7" i="1"/>
  <c r="C7" i="1" s="1"/>
  <c r="P1" i="1" l="1"/>
  <c r="S2" i="1"/>
  <c r="O1" i="1"/>
  <c r="R2" i="1"/>
  <c r="N2" i="1"/>
  <c r="K1" i="1"/>
  <c r="M20" i="1"/>
  <c r="L20" i="1"/>
  <c r="J16" i="1"/>
  <c r="I16" i="1"/>
  <c r="L13" i="1"/>
  <c r="M13" i="1"/>
  <c r="I15" i="1"/>
  <c r="J15" i="1"/>
  <c r="L15" i="1"/>
  <c r="M15" i="1"/>
  <c r="L21" i="1"/>
  <c r="M21" i="1"/>
  <c r="I18" i="1"/>
  <c r="J18" i="1"/>
  <c r="I20" i="1"/>
  <c r="J20" i="1"/>
  <c r="J7" i="1"/>
  <c r="I7" i="1"/>
  <c r="M18" i="1"/>
  <c r="L18" i="1"/>
  <c r="I9" i="1"/>
  <c r="J9" i="1"/>
  <c r="L7" i="1"/>
  <c r="M7" i="1"/>
  <c r="I6" i="1"/>
  <c r="J6" i="1"/>
  <c r="I10" i="1"/>
  <c r="J10" i="1"/>
  <c r="L16" i="1"/>
  <c r="M16" i="1"/>
  <c r="I22" i="1"/>
  <c r="J22" i="1"/>
  <c r="I8" i="1"/>
  <c r="J8" i="1"/>
  <c r="J11" i="1"/>
  <c r="I11" i="1"/>
  <c r="I12" i="1"/>
  <c r="J12" i="1"/>
  <c r="I5" i="1"/>
  <c r="J5" i="1"/>
  <c r="I4" i="1"/>
  <c r="J4" i="1"/>
  <c r="I14" i="1"/>
  <c r="J14" i="1"/>
  <c r="M10" i="1"/>
  <c r="L10" i="1"/>
  <c r="I17" i="1"/>
  <c r="J17" i="1"/>
  <c r="L8" i="1"/>
  <c r="M8" i="1"/>
  <c r="L9" i="1"/>
  <c r="M9" i="1"/>
  <c r="M22" i="1"/>
  <c r="L22" i="1"/>
  <c r="L4" i="1"/>
  <c r="M4" i="1"/>
  <c r="M14" i="1"/>
  <c r="L14" i="1"/>
  <c r="L11" i="1"/>
  <c r="M11" i="1"/>
  <c r="L17" i="1"/>
  <c r="M17" i="1"/>
  <c r="L12" i="1"/>
  <c r="M12" i="1"/>
  <c r="M6" i="1"/>
  <c r="L6" i="1"/>
  <c r="I13" i="1"/>
  <c r="J13" i="1"/>
  <c r="J19" i="1"/>
  <c r="I19" i="1"/>
  <c r="I21" i="1"/>
  <c r="J21" i="1"/>
  <c r="L19" i="1"/>
  <c r="M19" i="1"/>
  <c r="L5" i="1"/>
  <c r="M5" i="1"/>
  <c r="G6" i="1"/>
  <c r="F6" i="1"/>
  <c r="G8" i="1"/>
  <c r="F8" i="1"/>
  <c r="F9" i="1"/>
  <c r="G9" i="1"/>
  <c r="F17" i="1"/>
  <c r="G17" i="1"/>
  <c r="D22" i="1"/>
  <c r="D7" i="1"/>
  <c r="D11" i="1"/>
  <c r="D12" i="1"/>
  <c r="D4" i="1"/>
  <c r="C8" i="1"/>
  <c r="D14" i="1"/>
  <c r="C6" i="1"/>
  <c r="D18" i="1"/>
  <c r="D19" i="1"/>
  <c r="D20" i="1"/>
  <c r="D16" i="1"/>
  <c r="D5" i="1"/>
  <c r="D15" i="1"/>
  <c r="C9" i="1"/>
  <c r="D13" i="1"/>
  <c r="D21" i="1"/>
  <c r="D10" i="1"/>
  <c r="C17" i="1"/>
  <c r="N1" i="1" l="1"/>
  <c r="Q2" i="1"/>
  <c r="N20" i="1"/>
  <c r="N22" i="1"/>
  <c r="N15" i="1"/>
  <c r="N8" i="1"/>
  <c r="N12" i="1"/>
  <c r="N21" i="1"/>
  <c r="N14" i="1"/>
  <c r="N13" i="1"/>
  <c r="N10" i="1"/>
  <c r="N19" i="1"/>
  <c r="N7" i="1"/>
  <c r="N18" i="1"/>
  <c r="N6" i="1"/>
  <c r="N11" i="1"/>
  <c r="N17" i="1"/>
  <c r="N5" i="1"/>
  <c r="N9" i="1"/>
  <c r="N16" i="1"/>
  <c r="N4" i="1"/>
  <c r="U2" i="1"/>
  <c r="R1" i="1"/>
  <c r="V2" i="1"/>
  <c r="S1" i="1"/>
  <c r="G13" i="1"/>
  <c r="F13" i="1"/>
  <c r="G14" i="1"/>
  <c r="F14" i="1"/>
  <c r="G15" i="1"/>
  <c r="F15" i="1"/>
  <c r="G5" i="1"/>
  <c r="F5" i="1"/>
  <c r="G4" i="1"/>
  <c r="F4" i="1"/>
  <c r="G16" i="1"/>
  <c r="F16" i="1"/>
  <c r="G12" i="1"/>
  <c r="F12" i="1"/>
  <c r="G20" i="1"/>
  <c r="F20" i="1"/>
  <c r="G11" i="1"/>
  <c r="F11" i="1"/>
  <c r="G10" i="1"/>
  <c r="F10" i="1"/>
  <c r="G19" i="1"/>
  <c r="F19" i="1"/>
  <c r="G7" i="1"/>
  <c r="F7" i="1"/>
  <c r="G21" i="1"/>
  <c r="F21" i="1"/>
  <c r="G18" i="1"/>
  <c r="F18" i="1"/>
  <c r="G22" i="1"/>
  <c r="F22" i="1"/>
  <c r="Y2" i="1" l="1"/>
  <c r="Y1" i="1" s="1"/>
  <c r="V1" i="1"/>
  <c r="P21" i="1"/>
  <c r="O21" i="1"/>
  <c r="O6" i="1"/>
  <c r="P6" i="1"/>
  <c r="U1" i="1"/>
  <c r="X2" i="1"/>
  <c r="X1" i="1" s="1"/>
  <c r="O8" i="1"/>
  <c r="P8" i="1"/>
  <c r="P7" i="1"/>
  <c r="O7" i="1"/>
  <c r="P22" i="1"/>
  <c r="O22" i="1"/>
  <c r="P11" i="1"/>
  <c r="O11" i="1"/>
  <c r="O12" i="1"/>
  <c r="P12" i="1"/>
  <c r="O18" i="1"/>
  <c r="P18" i="1"/>
  <c r="O4" i="1"/>
  <c r="P4" i="1"/>
  <c r="O15" i="1"/>
  <c r="P15" i="1"/>
  <c r="P16" i="1"/>
  <c r="O16" i="1"/>
  <c r="P19" i="1"/>
  <c r="O19" i="1"/>
  <c r="O9" i="1"/>
  <c r="P9" i="1"/>
  <c r="O10" i="1"/>
  <c r="P10" i="1"/>
  <c r="O20" i="1"/>
  <c r="P20" i="1"/>
  <c r="O5" i="1"/>
  <c r="P5" i="1"/>
  <c r="P13" i="1"/>
  <c r="O13" i="1"/>
  <c r="T2" i="1"/>
  <c r="Q5" i="1"/>
  <c r="Q13" i="1"/>
  <c r="Q6" i="1"/>
  <c r="Q12" i="1"/>
  <c r="Q19" i="1"/>
  <c r="Q9" i="1"/>
  <c r="Q10" i="1"/>
  <c r="Q17" i="1"/>
  <c r="Q15" i="1"/>
  <c r="Q8" i="1"/>
  <c r="Q22" i="1"/>
  <c r="Q20" i="1"/>
  <c r="Q7" i="1"/>
  <c r="Q1" i="1"/>
  <c r="Q14" i="1"/>
  <c r="Q11" i="1"/>
  <c r="Q16" i="1"/>
  <c r="Q21" i="1"/>
  <c r="Q18" i="1"/>
  <c r="Q4" i="1"/>
  <c r="O17" i="1"/>
  <c r="P17" i="1"/>
  <c r="P14" i="1"/>
  <c r="O14" i="1"/>
  <c r="S5" i="1" l="1"/>
  <c r="R5" i="1"/>
  <c r="R15" i="1"/>
  <c r="S15" i="1"/>
  <c r="R10" i="1"/>
  <c r="S10" i="1"/>
  <c r="S9" i="1"/>
  <c r="R9" i="1"/>
  <c r="R7" i="1"/>
  <c r="S7" i="1"/>
  <c r="R18" i="1"/>
  <c r="S18" i="1"/>
  <c r="R16" i="1"/>
  <c r="S16" i="1"/>
  <c r="S11" i="1"/>
  <c r="R11" i="1"/>
  <c r="R17" i="1"/>
  <c r="S17" i="1"/>
  <c r="W2" i="1"/>
  <c r="T6" i="1"/>
  <c r="T13" i="1"/>
  <c r="T17" i="1"/>
  <c r="T16" i="1"/>
  <c r="T21" i="1"/>
  <c r="T18" i="1"/>
  <c r="T5" i="1"/>
  <c r="T4" i="1"/>
  <c r="T7" i="1"/>
  <c r="T10" i="1"/>
  <c r="T11" i="1"/>
  <c r="T15" i="1"/>
  <c r="T12" i="1"/>
  <c r="T19" i="1"/>
  <c r="T9" i="1"/>
  <c r="T22" i="1"/>
  <c r="T8" i="1"/>
  <c r="T14" i="1"/>
  <c r="T20" i="1"/>
  <c r="T1" i="1"/>
  <c r="S14" i="1"/>
  <c r="R14" i="1"/>
  <c r="S19" i="1"/>
  <c r="R19" i="1"/>
  <c r="R4" i="1"/>
  <c r="S4" i="1"/>
  <c r="R20" i="1"/>
  <c r="S20" i="1"/>
  <c r="R12" i="1"/>
  <c r="S12" i="1"/>
  <c r="S22" i="1"/>
  <c r="R22" i="1"/>
  <c r="S6" i="1"/>
  <c r="R6" i="1"/>
  <c r="S21" i="1"/>
  <c r="R21" i="1"/>
  <c r="S8" i="1"/>
  <c r="R8" i="1"/>
  <c r="R13" i="1"/>
  <c r="S13" i="1"/>
  <c r="U12" i="1" l="1"/>
  <c r="V12" i="1"/>
  <c r="V21" i="1"/>
  <c r="U21" i="1"/>
  <c r="V15" i="1"/>
  <c r="U15" i="1"/>
  <c r="V20" i="1"/>
  <c r="U20" i="1"/>
  <c r="V14" i="1"/>
  <c r="U14" i="1"/>
  <c r="V16" i="1"/>
  <c r="U16" i="1"/>
  <c r="V11" i="1"/>
  <c r="U11" i="1"/>
  <c r="U17" i="1"/>
  <c r="V17" i="1"/>
  <c r="V10" i="1"/>
  <c r="U10" i="1"/>
  <c r="V13" i="1"/>
  <c r="U13" i="1"/>
  <c r="U8" i="1"/>
  <c r="V8" i="1"/>
  <c r="V7" i="1"/>
  <c r="U7" i="1"/>
  <c r="V6" i="1"/>
  <c r="U6" i="1"/>
  <c r="V22" i="1"/>
  <c r="U22" i="1"/>
  <c r="V4" i="1"/>
  <c r="U4" i="1"/>
  <c r="W19" i="1"/>
  <c r="W8" i="1"/>
  <c r="W22" i="1"/>
  <c r="W9" i="1"/>
  <c r="W20" i="1"/>
  <c r="W10" i="1"/>
  <c r="W14" i="1"/>
  <c r="W4" i="1"/>
  <c r="W12" i="1"/>
  <c r="W16" i="1"/>
  <c r="W1" i="1"/>
  <c r="W13" i="1"/>
  <c r="W11" i="1"/>
  <c r="W17" i="1"/>
  <c r="W15" i="1"/>
  <c r="W7" i="1"/>
  <c r="W18" i="1"/>
  <c r="W6" i="1"/>
  <c r="W5" i="1"/>
  <c r="W21" i="1"/>
  <c r="V9" i="1"/>
  <c r="U9" i="1"/>
  <c r="V5" i="1"/>
  <c r="U5" i="1"/>
  <c r="V19" i="1"/>
  <c r="U19" i="1"/>
  <c r="U18" i="1"/>
  <c r="V18" i="1"/>
  <c r="X16" i="1" l="1"/>
  <c r="Y16" i="1"/>
  <c r="Y18" i="1"/>
  <c r="X18" i="1"/>
  <c r="X19" i="1"/>
  <c r="Y19" i="1"/>
  <c r="X7" i="1"/>
  <c r="Y7" i="1"/>
  <c r="X15" i="1"/>
  <c r="Y15" i="1"/>
  <c r="X17" i="1"/>
  <c r="Y17" i="1"/>
  <c r="Y11" i="1"/>
  <c r="X11" i="1"/>
  <c r="Y13" i="1"/>
  <c r="X13" i="1"/>
  <c r="Y6" i="1"/>
  <c r="X6" i="1"/>
  <c r="Y8" i="1"/>
  <c r="X8" i="1"/>
  <c r="X12" i="1"/>
  <c r="Y12" i="1"/>
  <c r="Y4" i="1"/>
  <c r="X4" i="1"/>
  <c r="X14" i="1"/>
  <c r="Y14" i="1"/>
  <c r="X10" i="1"/>
  <c r="Y10" i="1"/>
  <c r="X20" i="1"/>
  <c r="Y20" i="1"/>
  <c r="Y21" i="1"/>
  <c r="X21" i="1"/>
  <c r="X9" i="1"/>
  <c r="Y9" i="1"/>
  <c r="X5" i="1"/>
  <c r="Y5" i="1"/>
  <c r="X22" i="1"/>
  <c r="Y22" i="1"/>
</calcChain>
</file>

<file path=xl/sharedStrings.xml><?xml version="1.0" encoding="utf-8"?>
<sst xmlns="http://schemas.openxmlformats.org/spreadsheetml/2006/main" count="56" uniqueCount="51">
  <si>
    <t>omega</t>
  </si>
  <si>
    <t>phi</t>
  </si>
  <si>
    <t>phi0</t>
  </si>
  <si>
    <t>beta</t>
  </si>
  <si>
    <t>Adsorption?</t>
  </si>
  <si>
    <t>Metal Hydride</t>
  </si>
  <si>
    <t>Hystor 207</t>
  </si>
  <si>
    <t>MH</t>
  </si>
  <si>
    <t>A</t>
  </si>
  <si>
    <t>B</t>
  </si>
  <si>
    <t>Aval</t>
  </si>
  <si>
    <t>Bval</t>
  </si>
  <si>
    <t>Temperature</t>
  </si>
  <si>
    <t>K</t>
  </si>
  <si>
    <t>Peq (Atm)</t>
  </si>
  <si>
    <t>Peq (Pa)</t>
  </si>
  <si>
    <t>Peq (psia)</t>
  </si>
  <si>
    <t>Hystor 205</t>
  </si>
  <si>
    <t>HYDRALLOY C5</t>
  </si>
  <si>
    <t>Column1</t>
  </si>
  <si>
    <t>TiCo</t>
  </si>
  <si>
    <t>Pd0.7Ag0.3</t>
  </si>
  <si>
    <t>Start Temperature</t>
  </si>
  <si>
    <t>DT</t>
  </si>
  <si>
    <t>Peq (Atm)2</t>
  </si>
  <si>
    <t>Peq (Pa)3</t>
  </si>
  <si>
    <t>Peq (psia)4</t>
  </si>
  <si>
    <t>Peq (Atm)3</t>
  </si>
  <si>
    <t>Peq (Pa)4</t>
  </si>
  <si>
    <t>Peq (psia)5</t>
  </si>
  <si>
    <t>Peq (Atm)4</t>
  </si>
  <si>
    <t>Peq (Pa)5</t>
  </si>
  <si>
    <t>Peq (psia)6</t>
  </si>
  <si>
    <t>Peq (Atm)5</t>
  </si>
  <si>
    <t>Peq (Pa)6</t>
  </si>
  <si>
    <t>Peq (psia)7</t>
  </si>
  <si>
    <t>Peq (Atm)6</t>
  </si>
  <si>
    <t>Peq (Pa)7</t>
  </si>
  <si>
    <t>Peq (psia)8</t>
  </si>
  <si>
    <t>Peq (Atm)32</t>
  </si>
  <si>
    <t>Peq (Pa)43</t>
  </si>
  <si>
    <t>Peq (psia)54</t>
  </si>
  <si>
    <t>Peq (Atm)55</t>
  </si>
  <si>
    <t>Peq (Pa)66</t>
  </si>
  <si>
    <t>Peq (psia)77</t>
  </si>
  <si>
    <t>LEGEND</t>
  </si>
  <si>
    <t>INPUT</t>
  </si>
  <si>
    <t>CALCULATION</t>
  </si>
  <si>
    <t>LABEL</t>
  </si>
  <si>
    <t>MmNi3Co2</t>
  </si>
  <si>
    <t>LaNi4.6Mn.4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</si>
</sst>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1" xfId="2"/>
    <xf numFmtId="0" fontId="3" fillId="4" borderId="1" xfId="3"/>
    <xf numFmtId="0" fontId="2" fillId="3" borderId="1" xfId="2" applyAlignment="1">
      <alignment horizontal="center"/>
    </xf>
    <xf numFmtId="0" fontId="0" fillId="0" borderId="2" xfId="0" applyBorder="1" applyAlignment="1"/>
    <xf numFmtId="0" fontId="3" fillId="4" borderId="3" xfId="3" applyBorder="1" applyAlignment="1"/>
    <xf numFmtId="0" fontId="5" fillId="6" borderId="0" xfId="4" applyFont="1" applyFill="1" applyAlignment="1">
      <alignment horizontal="right"/>
    </xf>
    <xf numFmtId="0" fontId="2" fillId="3" borderId="5" xfId="2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Peq @ 300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Plot!$B$4:$B$22</c:f>
              <c:numCache>
                <c:formatCode>General</c:formatCode>
                <c:ptCount val="19"/>
                <c:pt idx="0">
                  <c:v>4.6702603739076478E-3</c:v>
                </c:pt>
                <c:pt idx="1">
                  <c:v>3.0022704490558865E-2</c:v>
                </c:pt>
                <c:pt idx="2">
                  <c:v>5.700396945569039E-2</c:v>
                </c:pt>
                <c:pt idx="3">
                  <c:v>7.9854189577246881E-2</c:v>
                </c:pt>
                <c:pt idx="4">
                  <c:v>9.9148819198250707E-2</c:v>
                </c:pt>
                <c:pt idx="5">
                  <c:v>0.11603130113131295</c:v>
                </c:pt>
                <c:pt idx="6">
                  <c:v>0.1314524004321572</c:v>
                </c:pt>
                <c:pt idx="7">
                  <c:v>0.14617333160507548</c:v>
                </c:pt>
                <c:pt idx="8">
                  <c:v>0.16086264954467225</c:v>
                </c:pt>
                <c:pt idx="9">
                  <c:v>0.17620039330469206</c:v>
                </c:pt>
                <c:pt idx="10">
                  <c:v>0.19300054231735381</c:v>
                </c:pt>
                <c:pt idx="11">
                  <c:v>0.21239564193972413</c:v>
                </c:pt>
                <c:pt idx="12">
                  <c:v>0.23618114616896144</c:v>
                </c:pt>
                <c:pt idx="13">
                  <c:v>0.2675707184011723</c:v>
                </c:pt>
                <c:pt idx="14">
                  <c:v>0.31313109779602821</c:v>
                </c:pt>
                <c:pt idx="15">
                  <c:v>0.3887908544948076</c:v>
                </c:pt>
                <c:pt idx="16">
                  <c:v>0.54463888913667502</c:v>
                </c:pt>
                <c:pt idx="17">
                  <c:v>1.0341033270500755</c:v>
                </c:pt>
                <c:pt idx="18">
                  <c:v>6.6477189953225331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Plot!$E$1</c:f>
              <c:strCache>
                <c:ptCount val="1"/>
                <c:pt idx="0">
                  <c:v>Peq @ 320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Plot!$E$4:$E$22</c:f>
              <c:numCache>
                <c:formatCode>General</c:formatCode>
                <c:ptCount val="19"/>
                <c:pt idx="0">
                  <c:v>1.2534745246685578E-2</c:v>
                </c:pt>
                <c:pt idx="1">
                  <c:v>8.057943717831785E-2</c:v>
                </c:pt>
                <c:pt idx="2">
                  <c:v>0.15299580279698013</c:v>
                </c:pt>
                <c:pt idx="3">
                  <c:v>0.21432465068191037</c:v>
                </c:pt>
                <c:pt idx="4">
                  <c:v>0.26611047150673001</c:v>
                </c:pt>
                <c:pt idx="5">
                  <c:v>0.31142220858781366</c:v>
                </c:pt>
                <c:pt idx="6">
                  <c:v>0.35281166777939799</c:v>
                </c:pt>
                <c:pt idx="7">
                  <c:v>0.39232191073660833</c:v>
                </c:pt>
                <c:pt idx="8">
                  <c:v>0.43174730535681294</c:v>
                </c:pt>
                <c:pt idx="9">
                  <c:v>0.47291304244609833</c:v>
                </c:pt>
                <c:pt idx="10">
                  <c:v>0.51800380208695163</c:v>
                </c:pt>
                <c:pt idx="11">
                  <c:v>0.57005927937013456</c:v>
                </c:pt>
                <c:pt idx="12">
                  <c:v>0.63389838301907986</c:v>
                </c:pt>
                <c:pt idx="13">
                  <c:v>0.71814642484805991</c:v>
                </c:pt>
                <c:pt idx="14">
                  <c:v>0.84042820430675558</c:v>
                </c:pt>
                <c:pt idx="15">
                  <c:v>1.0434952069398225</c:v>
                </c:pt>
                <c:pt idx="16">
                  <c:v>1.4617835367182999</c:v>
                </c:pt>
                <c:pt idx="17">
                  <c:v>2.7754816060666596</c:v>
                </c:pt>
                <c:pt idx="18">
                  <c:v>17.842145278122839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Plot!$H$1</c:f>
              <c:strCache>
                <c:ptCount val="1"/>
                <c:pt idx="0">
                  <c:v>Peq @ 340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Plot!$H$4:$H$22</c:f>
              <c:numCache>
                <c:formatCode>General</c:formatCode>
                <c:ptCount val="19"/>
                <c:pt idx="0">
                  <c:v>2.9953383077388793E-2</c:v>
                </c:pt>
                <c:pt idx="1">
                  <c:v>0.19255491056754806</c:v>
                </c:pt>
                <c:pt idx="2">
                  <c:v>0.36560311360315367</c:v>
                </c:pt>
                <c:pt idx="3">
                  <c:v>0.51215626951016824</c:v>
                </c:pt>
                <c:pt idx="4">
                  <c:v>0.63590513704722462</c:v>
                </c:pt>
                <c:pt idx="5">
                  <c:v>0.74418335028418692</c:v>
                </c:pt>
                <c:pt idx="6">
                  <c:v>0.84308877693091422</c:v>
                </c:pt>
                <c:pt idx="7">
                  <c:v>0.937503575116857</c:v>
                </c:pt>
                <c:pt idx="8">
                  <c:v>1.0317156173080193</c:v>
                </c:pt>
                <c:pt idx="9">
                  <c:v>1.1300864312680778</c:v>
                </c:pt>
                <c:pt idx="10">
                  <c:v>1.237836590540766</c:v>
                </c:pt>
                <c:pt idx="11">
                  <c:v>1.3622298368057255</c:v>
                </c:pt>
                <c:pt idx="12">
                  <c:v>1.5147815711474832</c:v>
                </c:pt>
                <c:pt idx="13">
                  <c:v>1.7161030835324738</c:v>
                </c:pt>
                <c:pt idx="14">
                  <c:v>2.0083110950578447</c:v>
                </c:pt>
                <c:pt idx="15">
                  <c:v>2.4935657692087783</c:v>
                </c:pt>
                <c:pt idx="16">
                  <c:v>3.4931194364018796</c:v>
                </c:pt>
                <c:pt idx="17">
                  <c:v>6.6323696361314903</c:v>
                </c:pt>
                <c:pt idx="18">
                  <c:v>42.63609685879743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Plot!$K$1</c:f>
              <c:strCache>
                <c:ptCount val="1"/>
                <c:pt idx="0">
                  <c:v>Peq @ 360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Plot!$K$4:$K$22</c:f>
              <c:numCache>
                <c:formatCode>General</c:formatCode>
                <c:ptCount val="19"/>
                <c:pt idx="0">
                  <c:v>6.4973990712524868E-2</c:v>
                </c:pt>
                <c:pt idx="1">
                  <c:v>0.41768440441411342</c:v>
                </c:pt>
                <c:pt idx="2">
                  <c:v>0.79305543705523585</c:v>
                </c:pt>
                <c:pt idx="3">
                  <c:v>1.110954198814192</c:v>
                </c:pt>
                <c:pt idx="4">
                  <c:v>1.3793865741911073</c:v>
                </c:pt>
                <c:pt idx="5">
                  <c:v>1.6142604648314591</c:v>
                </c:pt>
                <c:pt idx="6">
                  <c:v>1.8288031846223947</c:v>
                </c:pt>
                <c:pt idx="7">
                  <c:v>2.0336049662645213</c:v>
                </c:pt>
                <c:pt idx="8">
                  <c:v>2.2379669356127332</c:v>
                </c:pt>
                <c:pt idx="9">
                  <c:v>2.4513499894103932</c:v>
                </c:pt>
                <c:pt idx="10">
                  <c:v>2.6850784410436774</c:v>
                </c:pt>
                <c:pt idx="11">
                  <c:v>2.9549085836568998</c:v>
                </c:pt>
                <c:pt idx="12">
                  <c:v>3.2858192839504903</c:v>
                </c:pt>
                <c:pt idx="13">
                  <c:v>3.7225199411730183</c:v>
                </c:pt>
                <c:pt idx="14">
                  <c:v>4.3563688983316142</c:v>
                </c:pt>
                <c:pt idx="15">
                  <c:v>5.4089689538923702</c:v>
                </c:pt>
                <c:pt idx="16">
                  <c:v>7.5771711406396935</c:v>
                </c:pt>
                <c:pt idx="17">
                  <c:v>14.386739622254582</c:v>
                </c:pt>
                <c:pt idx="18">
                  <c:v>92.4849575142986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Plot!$N$1</c:f>
              <c:strCache>
                <c:ptCount val="1"/>
                <c:pt idx="0">
                  <c:v>Peq @ 380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Plot!$N$4:$N$22</c:f>
              <c:numCache>
                <c:formatCode>General</c:formatCode>
                <c:ptCount val="19"/>
                <c:pt idx="0">
                  <c:v>0.12990739393370127</c:v>
                </c:pt>
                <c:pt idx="1">
                  <c:v>0.83510789269910135</c:v>
                </c:pt>
                <c:pt idx="2">
                  <c:v>1.5856154738689698</c:v>
                </c:pt>
                <c:pt idx="3">
                  <c:v>2.2212144146447561</c:v>
                </c:pt>
                <c:pt idx="4">
                  <c:v>2.757911482967605</c:v>
                </c:pt>
                <c:pt idx="5">
                  <c:v>3.2275125448933819</c:v>
                </c:pt>
                <c:pt idx="6">
                  <c:v>3.6564639654518269</c:v>
                </c:pt>
                <c:pt idx="7">
                  <c:v>4.0659395946127574</c:v>
                </c:pt>
                <c:pt idx="8">
                  <c:v>4.4745358739246823</c:v>
                </c:pt>
                <c:pt idx="9">
                  <c:v>4.9011686869084965</c:v>
                </c:pt>
                <c:pt idx="10">
                  <c:v>5.368479586344848</c:v>
                </c:pt>
                <c:pt idx="11">
                  <c:v>5.9079713159929952</c:v>
                </c:pt>
                <c:pt idx="12">
                  <c:v>6.5695860056326421</c:v>
                </c:pt>
                <c:pt idx="13">
                  <c:v>7.4427145250107394</c:v>
                </c:pt>
                <c:pt idx="14">
                  <c:v>8.7100164910602818</c:v>
                </c:pt>
                <c:pt idx="15">
                  <c:v>10.814559071450187</c:v>
                </c:pt>
                <c:pt idx="16">
                  <c:v>15.1496090277922</c:v>
                </c:pt>
                <c:pt idx="17">
                  <c:v>28.764492238115569</c:v>
                </c:pt>
                <c:pt idx="18">
                  <c:v>184.91214218177328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Plot!$Q$1</c:f>
              <c:strCache>
                <c:ptCount val="1"/>
                <c:pt idx="0">
                  <c:v>Peq @ 400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Plot!$Q$4:$Q$22</c:f>
              <c:numCache>
                <c:formatCode>General</c:formatCode>
                <c:ptCount val="19"/>
                <c:pt idx="0">
                  <c:v>0.24234762395229129</c:v>
                </c:pt>
                <c:pt idx="1">
                  <c:v>1.5579283627437008</c:v>
                </c:pt>
                <c:pt idx="2">
                  <c:v>2.9580313403118907</c:v>
                </c:pt>
                <c:pt idx="3">
                  <c:v>4.1437674898817729</c:v>
                </c:pt>
                <c:pt idx="4">
                  <c:v>5.1449981000238205</c:v>
                </c:pt>
                <c:pt idx="5">
                  <c:v>6.0210583312164072</c:v>
                </c:pt>
                <c:pt idx="6">
                  <c:v>6.8212849727911991</c:v>
                </c:pt>
                <c:pt idx="7">
                  <c:v>7.5851787188559241</c:v>
                </c:pt>
                <c:pt idx="8">
                  <c:v>8.347432001355978</c:v>
                </c:pt>
                <c:pt idx="9">
                  <c:v>9.1433331844670551</c:v>
                </c:pt>
                <c:pt idx="10">
                  <c:v>10.015121022680532</c:v>
                </c:pt>
                <c:pt idx="11">
                  <c:v>11.02156518927559</c:v>
                </c:pt>
                <c:pt idx="12">
                  <c:v>12.255834795884216</c:v>
                </c:pt>
                <c:pt idx="13">
                  <c:v>13.884692212454787</c:v>
                </c:pt>
                <c:pt idx="14">
                  <c:v>16.248896519862555</c:v>
                </c:pt>
                <c:pt idx="15">
                  <c:v>20.175007870569917</c:v>
                </c:pt>
                <c:pt idx="16">
                  <c:v>28.262223115378404</c:v>
                </c:pt>
                <c:pt idx="17">
                  <c:v>53.661351652232447</c:v>
                </c:pt>
                <c:pt idx="18">
                  <c:v>344.96126002305527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Plot!$T$1</c:f>
              <c:strCache>
                <c:ptCount val="1"/>
                <c:pt idx="0">
                  <c:v>Peq @ 420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Plot!$T$4:$T$22</c:f>
              <c:numCache>
                <c:formatCode>General</c:formatCode>
                <c:ptCount val="19"/>
                <c:pt idx="0">
                  <c:v>0.42604229877297523</c:v>
                </c:pt>
                <c:pt idx="1">
                  <c:v>2.7388070498170389</c:v>
                </c:pt>
                <c:pt idx="2">
                  <c:v>5.2001602141437795</c:v>
                </c:pt>
                <c:pt idx="3">
                  <c:v>7.2846607620031545</c:v>
                </c:pt>
                <c:pt idx="4">
                  <c:v>9.0448042442877572</c:v>
                </c:pt>
                <c:pt idx="5">
                  <c:v>10.584900692001851</c:v>
                </c:pt>
                <c:pt idx="6">
                  <c:v>11.991683198699821</c:v>
                </c:pt>
                <c:pt idx="7">
                  <c:v>13.334593198328223</c:v>
                </c:pt>
                <c:pt idx="8">
                  <c:v>14.674619295664749</c:v>
                </c:pt>
                <c:pt idx="9">
                  <c:v>16.073797732485435</c:v>
                </c:pt>
                <c:pt idx="10">
                  <c:v>17.606383398387855</c:v>
                </c:pt>
                <c:pt idx="11">
                  <c:v>19.375692209136592</c:v>
                </c:pt>
                <c:pt idx="12">
                  <c:v>21.54551360837042</c:v>
                </c:pt>
                <c:pt idx="13">
                  <c:v>24.409012522912082</c:v>
                </c:pt>
                <c:pt idx="14">
                  <c:v>28.565236633841522</c:v>
                </c:pt>
                <c:pt idx="15">
                  <c:v>35.467262235806253</c:v>
                </c:pt>
                <c:pt idx="16">
                  <c:v>49.684425653295925</c:v>
                </c:pt>
                <c:pt idx="17">
                  <c:v>94.335588029873762</c:v>
                </c:pt>
                <c:pt idx="18">
                  <c:v>606.43502837385677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Plot!$W$1</c:f>
              <c:strCache>
                <c:ptCount val="1"/>
                <c:pt idx="0">
                  <c:v>Peq @ 440 K</c:v>
                </c:pt>
              </c:strCache>
            </c:strRef>
          </c:tx>
          <c:xVal>
            <c:numRef>
              <c:f>Plot!$A$4:$A$22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Plot!$W$4:$W$22</c:f>
              <c:numCache>
                <c:formatCode>General</c:formatCode>
                <c:ptCount val="19"/>
                <c:pt idx="0">
                  <c:v>0.71152911683516573</c:v>
                </c:pt>
                <c:pt idx="1">
                  <c:v>4.5740551277437067</c:v>
                </c:pt>
                <c:pt idx="2">
                  <c:v>8.6847372085529457</c:v>
                </c:pt>
                <c:pt idx="3">
                  <c:v>12.166041384529009</c:v>
                </c:pt>
                <c:pt idx="4">
                  <c:v>15.105639966782691</c:v>
                </c:pt>
                <c:pt idx="5">
                  <c:v>17.67774012782073</c:v>
                </c:pt>
                <c:pt idx="6">
                  <c:v>20.027193967152659</c:v>
                </c:pt>
                <c:pt idx="7">
                  <c:v>22.269974951051811</c:v>
                </c:pt>
                <c:pt idx="8">
                  <c:v>24.507939557664745</c:v>
                </c:pt>
                <c:pt idx="9">
                  <c:v>26.844693913542287</c:v>
                </c:pt>
                <c:pt idx="10">
                  <c:v>29.404250390620788</c:v>
                </c:pt>
                <c:pt idx="11">
                  <c:v>32.359155899173501</c:v>
                </c:pt>
                <c:pt idx="12">
                  <c:v>35.982953602672382</c:v>
                </c:pt>
                <c:pt idx="13">
                  <c:v>40.765255406015115</c:v>
                </c:pt>
                <c:pt idx="14">
                  <c:v>47.706525039419489</c:v>
                </c:pt>
                <c:pt idx="15">
                  <c:v>59.233531149102944</c:v>
                </c:pt>
                <c:pt idx="16">
                  <c:v>82.977478075222905</c:v>
                </c:pt>
                <c:pt idx="17">
                  <c:v>157.54895190064127</c:v>
                </c:pt>
                <c:pt idx="18">
                  <c:v>1012.8012673846969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56800"/>
        <c:axId val="123129216"/>
      </c:scatterChart>
      <c:valAx>
        <c:axId val="12295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Hydrogen Concentration Ratio (H/M)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129216"/>
        <c:crossesAt val="1.0000000000000003E-4"/>
        <c:crossBetween val="midCat"/>
      </c:valAx>
      <c:valAx>
        <c:axId val="123129216"/>
        <c:scaling>
          <c:logBase val="10"/>
          <c:orientation val="minMax"/>
          <c:max val="1000"/>
          <c:min val="1.0000000000000004E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[Atm]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9568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24</xdr:row>
      <xdr:rowOff>185736</xdr:rowOff>
    </xdr:from>
    <xdr:to>
      <xdr:col>13</xdr:col>
      <xdr:colOff>390525</xdr:colOff>
      <xdr:row>53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Y22" totalsRowShown="0" headerRowCellStyle="Normal" dataCellStyle="Normal">
  <tableColumns count="25">
    <tableColumn id="1" name="omega" dataCellStyle="Normal"/>
    <tableColumn id="2" name="Peq (Atm)" dataCellStyle="Normal">
      <calculatedColumnFormula>IF(Adsorption,EXP((-Aval/B$2)+Bval+(Phi+Phi0)*TAN(PI()*($A4-0.5))+(beta/2)),EXP((-Aval/B$2)+Bval+(Phi-Phi0)*TAN(PI()*($A4-0.5))-(beta/2)))</calculatedColumnFormula>
    </tableColumn>
    <tableColumn id="3" name="Peq (Pa)" dataCellStyle="Normal">
      <calculatedColumnFormula>B4*101325</calculatedColumnFormula>
    </tableColumn>
    <tableColumn id="4" name="Peq (psia)" dataCellStyle="Normal">
      <calculatedColumnFormula>B4*14.7</calculatedColumnFormula>
    </tableColumn>
    <tableColumn id="5" name="Peq (Atm)2" dataCellStyle="Normal">
      <calculatedColumnFormula>IF(Adsorption,EXP((-Aval/E$2)+Bval+(Phi+Phi0)*TAN(PI()*($A4-0.5))+(beta/2)),EXP((-Aval/E$2)+Bval+(Phi-Phi0)*TAN(PI()*($A4-0.5))-(beta/2)))</calculatedColumnFormula>
    </tableColumn>
    <tableColumn id="6" name="Peq (Pa)3" dataCellStyle="Normal">
      <calculatedColumnFormula>E4*101325</calculatedColumnFormula>
    </tableColumn>
    <tableColumn id="7" name="Peq (psia)4" dataCellStyle="Normal">
      <calculatedColumnFormula>E4*14.7</calculatedColumnFormula>
    </tableColumn>
    <tableColumn id="8" name="Peq (Atm)3" dataCellStyle="Normal">
      <calculatedColumnFormula>IF(Adsorption,EXP((-Aval/H$2)+Bval+(Phi+Phi0)*TAN(PI()*($A4-0.5))+(beta/2)),EXP((-Aval/H$2)+Bval+(Phi-Phi0)*TAN(PI()*($A4-0.5))-(beta/2)))</calculatedColumnFormula>
    </tableColumn>
    <tableColumn id="9" name="Peq (Pa)4" dataCellStyle="Normal">
      <calculatedColumnFormula>H4*101325</calculatedColumnFormula>
    </tableColumn>
    <tableColumn id="10" name="Peq (psia)5" dataCellStyle="Normal">
      <calculatedColumnFormula>H4*14.7</calculatedColumnFormula>
    </tableColumn>
    <tableColumn id="11" name="Peq (Atm)32" dataCellStyle="Normal">
      <calculatedColumnFormula>IF(Adsorption,EXP((-Aval/K$2)+Bval+(Phi+Phi0)*TAN(PI()*($A4-0.5))+(beta/2)),EXP((-Aval/K$2)+Bval+(Phi-Phi0)*TAN(PI()*($A4-0.5))-(beta/2)))</calculatedColumnFormula>
    </tableColumn>
    <tableColumn id="12" name="Peq (Pa)43" dataCellStyle="Normal">
      <calculatedColumnFormula>K4*101325</calculatedColumnFormula>
    </tableColumn>
    <tableColumn id="13" name="Peq (psia)54" dataCellStyle="Normal">
      <calculatedColumnFormula>K4*14.7</calculatedColumnFormula>
    </tableColumn>
    <tableColumn id="14" name="Peq (Atm)4" dataCellStyle="Normal">
      <calculatedColumnFormula>IF(Adsorption,EXP((-Aval/N$2)+Bval+(Phi+Phi0)*TAN(PI()*($A4-0.5))+(beta/2)),EXP((-Aval/N$2)+Bval+(Phi-Phi0)*TAN(PI()*($A4-0.5))-(beta/2)))</calculatedColumnFormula>
    </tableColumn>
    <tableColumn id="15" name="Peq (Pa)5" dataCellStyle="Normal">
      <calculatedColumnFormula>N4*101325</calculatedColumnFormula>
    </tableColumn>
    <tableColumn id="16" name="Peq (psia)6" dataCellStyle="Normal">
      <calculatedColumnFormula>N4*14.7</calculatedColumnFormula>
    </tableColumn>
    <tableColumn id="17" name="Peq (Atm)5" dataCellStyle="Normal">
      <calculatedColumnFormula>IF(Adsorption,EXP((-Aval/Q$2)+Bval+(Phi+Phi0)*TAN(PI()*($A4-0.5))+(beta/2)),EXP((-Aval/Q$2)+Bval+(Phi-Phi0)*TAN(PI()*($A4-0.5))-(beta/2)))</calculatedColumnFormula>
    </tableColumn>
    <tableColumn id="18" name="Peq (Pa)6" dataCellStyle="Normal">
      <calculatedColumnFormula>Q4*101325</calculatedColumnFormula>
    </tableColumn>
    <tableColumn id="19" name="Peq (psia)7" dataCellStyle="Normal">
      <calculatedColumnFormula>Q4*14.7</calculatedColumnFormula>
    </tableColumn>
    <tableColumn id="20" name="Peq (Atm)55" dataCellStyle="Normal">
      <calculatedColumnFormula>IF(Adsorption,EXP((-Aval/T$2)+Bval+(Phi+Phi0)*TAN(PI()*($A4-0.5))+(beta/2)),EXP((-Aval/T$2)+Bval+(Phi-Phi0)*TAN(PI()*($A4-0.5))-(beta/2)))</calculatedColumnFormula>
    </tableColumn>
    <tableColumn id="21" name="Peq (Pa)66" dataCellStyle="Normal">
      <calculatedColumnFormula>T4*101325</calculatedColumnFormula>
    </tableColumn>
    <tableColumn id="22" name="Peq (psia)77" dataCellStyle="Normal">
      <calculatedColumnFormula>T4*14.7</calculatedColumnFormula>
    </tableColumn>
    <tableColumn id="23" name="Peq (Atm)6" dataCellStyle="Normal">
      <calculatedColumnFormula>IF(Adsorption,EXP((-Aval/W$2)+Bval+(Phi+Phi0)*TAN(PI()*($A4-0.5))+(beta/2)),EXP((-Aval/W$2)+Bval+(Phi-Phi0)*TAN(PI()*($A4-0.5))-(beta/2)))</calculatedColumnFormula>
    </tableColumn>
    <tableColumn id="24" name="Peq (Pa)7" dataCellStyle="Normal">
      <calculatedColumnFormula>W4*101325</calculatedColumnFormula>
    </tableColumn>
    <tableColumn id="25" name="Peq (psia)8" dataCellStyle="Normal">
      <calculatedColumnFormula>W4*14.7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" totalsRowShown="0">
  <tableColumns count="1">
    <tableColumn id="1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I15" totalsRowShown="0">
  <tableColumns count="6">
    <tableColumn id="1" name="MH"/>
    <tableColumn id="2" name="A"/>
    <tableColumn id="3" name="B"/>
    <tableColumn id="4" name="phi"/>
    <tableColumn id="5" name="phi0"/>
    <tableColumn id="6" name="be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17" workbookViewId="0">
      <pane xSplit="1" topLeftCell="B1" activePane="topRight" state="frozen"/>
      <selection activeCell="A2" sqref="A2"/>
      <selection pane="topRight" activeCell="Q37" sqref="Q37"/>
    </sheetView>
  </sheetViews>
  <sheetFormatPr defaultRowHeight="15" x14ac:dyDescent="0.25"/>
  <cols>
    <col min="1" max="1" width="17.42578125" bestFit="1" customWidth="1"/>
    <col min="2" max="2" width="13.5703125" bestFit="1" customWidth="1"/>
    <col min="3" max="25" width="12" bestFit="1" customWidth="1"/>
  </cols>
  <sheetData>
    <row r="1" spans="1:25" hidden="1" x14ac:dyDescent="0.25">
      <c r="B1" s="5" t="str">
        <f>CONCATENATE(LEFT(B3,3)," @ ",B2," K")</f>
        <v>Peq @ 300 K</v>
      </c>
      <c r="C1" s="5" t="str">
        <f t="shared" ref="C1:D1" si="0">CONCATENATE(LEFT(C3,3)," @ ",C2:E2," K")</f>
        <v>Peq @ 300 K</v>
      </c>
      <c r="D1" s="5" t="str">
        <f t="shared" si="0"/>
        <v>Peq @ 300 K</v>
      </c>
      <c r="E1" s="5" t="str">
        <f t="shared" ref="E1:Y1" si="1">CONCATENATE(LEFT(E3,3)," @ ",E2," K")</f>
        <v>Peq @ 320 K</v>
      </c>
      <c r="F1" s="5" t="str">
        <f t="shared" si="1"/>
        <v>Peq @ 320 K</v>
      </c>
      <c r="G1" s="5" t="str">
        <f t="shared" si="1"/>
        <v>Peq @ 320 K</v>
      </c>
      <c r="H1" s="5" t="str">
        <f t="shared" si="1"/>
        <v>Peq @ 340 K</v>
      </c>
      <c r="I1" s="5" t="str">
        <f t="shared" si="1"/>
        <v>Peq @ 340 K</v>
      </c>
      <c r="J1" s="5" t="str">
        <f t="shared" si="1"/>
        <v>Peq @ 340 K</v>
      </c>
      <c r="K1" s="5" t="str">
        <f t="shared" si="1"/>
        <v>Peq @ 360 K</v>
      </c>
      <c r="L1" s="5" t="str">
        <f t="shared" si="1"/>
        <v>Peq @ 360 K</v>
      </c>
      <c r="M1" s="5" t="str">
        <f t="shared" si="1"/>
        <v>Peq @ 360 K</v>
      </c>
      <c r="N1" s="5" t="str">
        <f t="shared" si="1"/>
        <v>Peq @ 380 K</v>
      </c>
      <c r="O1" s="5" t="str">
        <f t="shared" si="1"/>
        <v>Peq @ 380 K</v>
      </c>
      <c r="P1" s="5" t="str">
        <f t="shared" si="1"/>
        <v>Peq @ 380 K</v>
      </c>
      <c r="Q1" s="5" t="str">
        <f t="shared" si="1"/>
        <v>Peq @ 400 K</v>
      </c>
      <c r="R1" s="5" t="str">
        <f t="shared" si="1"/>
        <v>Peq @ 400 K</v>
      </c>
      <c r="S1" s="5" t="str">
        <f t="shared" si="1"/>
        <v>Peq @ 400 K</v>
      </c>
      <c r="T1" s="5" t="str">
        <f t="shared" si="1"/>
        <v>Peq @ 420 K</v>
      </c>
      <c r="U1" s="5" t="str">
        <f t="shared" si="1"/>
        <v>Peq @ 420 K</v>
      </c>
      <c r="V1" s="5" t="str">
        <f t="shared" si="1"/>
        <v>Peq @ 420 K</v>
      </c>
      <c r="W1" s="5" t="str">
        <f t="shared" si="1"/>
        <v>Peq @ 440 K</v>
      </c>
      <c r="X1" s="5" t="str">
        <f t="shared" si="1"/>
        <v>Peq @ 440 K</v>
      </c>
      <c r="Y1" s="5" t="str">
        <f t="shared" si="1"/>
        <v>Peq @ 440 K</v>
      </c>
    </row>
    <row r="2" spans="1:25" x14ac:dyDescent="0.25">
      <c r="A2" s="7" t="s">
        <v>12</v>
      </c>
      <c r="B2" s="6">
        <f>Temperature</f>
        <v>300</v>
      </c>
      <c r="C2" s="6">
        <f>Temperature</f>
        <v>300</v>
      </c>
      <c r="D2" s="6">
        <f>Temperature</f>
        <v>300</v>
      </c>
      <c r="E2" s="6">
        <f t="shared" ref="E2:Y2" si="2">B2+deltaT</f>
        <v>320</v>
      </c>
      <c r="F2" s="6">
        <f t="shared" si="2"/>
        <v>320</v>
      </c>
      <c r="G2" s="6">
        <f t="shared" si="2"/>
        <v>320</v>
      </c>
      <c r="H2" s="6">
        <f t="shared" si="2"/>
        <v>340</v>
      </c>
      <c r="I2" s="6">
        <f t="shared" si="2"/>
        <v>340</v>
      </c>
      <c r="J2" s="6">
        <f t="shared" si="2"/>
        <v>340</v>
      </c>
      <c r="K2" s="6">
        <f t="shared" si="2"/>
        <v>360</v>
      </c>
      <c r="L2" s="6">
        <f t="shared" si="2"/>
        <v>360</v>
      </c>
      <c r="M2" s="6">
        <f t="shared" si="2"/>
        <v>360</v>
      </c>
      <c r="N2" s="6">
        <f t="shared" si="2"/>
        <v>380</v>
      </c>
      <c r="O2" s="6">
        <f t="shared" si="2"/>
        <v>380</v>
      </c>
      <c r="P2" s="6">
        <f t="shared" si="2"/>
        <v>380</v>
      </c>
      <c r="Q2" s="6">
        <f t="shared" si="2"/>
        <v>400</v>
      </c>
      <c r="R2" s="6">
        <f t="shared" si="2"/>
        <v>400</v>
      </c>
      <c r="S2" s="6">
        <f t="shared" si="2"/>
        <v>400</v>
      </c>
      <c r="T2" s="6">
        <f t="shared" si="2"/>
        <v>420</v>
      </c>
      <c r="U2" s="6">
        <f t="shared" si="2"/>
        <v>420</v>
      </c>
      <c r="V2" s="6">
        <f t="shared" si="2"/>
        <v>420</v>
      </c>
      <c r="W2" s="6">
        <f t="shared" si="2"/>
        <v>440</v>
      </c>
      <c r="X2" s="6">
        <f t="shared" si="2"/>
        <v>440</v>
      </c>
      <c r="Y2" s="6">
        <f t="shared" si="2"/>
        <v>440</v>
      </c>
    </row>
    <row r="3" spans="1:25" x14ac:dyDescent="0.25">
      <c r="A3" t="s">
        <v>0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42</v>
      </c>
      <c r="U3" t="s">
        <v>43</v>
      </c>
      <c r="V3" t="s">
        <v>44</v>
      </c>
      <c r="W3" t="s">
        <v>36</v>
      </c>
      <c r="X3" t="s">
        <v>37</v>
      </c>
      <c r="Y3" t="s">
        <v>38</v>
      </c>
    </row>
    <row r="4" spans="1:25" x14ac:dyDescent="0.25">
      <c r="A4">
        <v>0.05</v>
      </c>
      <c r="B4">
        <f t="shared" ref="B4:B22" si="3">IF(Adsorption,EXP((-Aval/B$2)+Bval+(Phi+Phi0)*TAN(PI()*($A4-0.5))+(beta/2)),EXP((-Aval/B$2)+Bval+(Phi-Phi0)*TAN(PI()*($A4-0.5))-(beta/2)))</f>
        <v>4.6702603739076478E-3</v>
      </c>
      <c r="C4">
        <f>B4*101325</f>
        <v>473.21413238619243</v>
      </c>
      <c r="D4">
        <f>B4*14.7</f>
        <v>6.8652827496442415E-2</v>
      </c>
      <c r="E4">
        <f t="shared" ref="E4:E22" si="4">IF(Adsorption,EXP((-Aval/E$2)+Bval+(Phi+Phi0)*TAN(PI()*($A4-0.5))+(beta/2)),EXP((-Aval/E$2)+Bval+(Phi-Phi0)*TAN(PI()*($A4-0.5))-(beta/2)))</f>
        <v>1.2534745246685578E-2</v>
      </c>
      <c r="F4">
        <f>E4*101325</f>
        <v>1270.0830621204161</v>
      </c>
      <c r="G4">
        <f>E4*14.7</f>
        <v>0.18426075512627799</v>
      </c>
      <c r="H4">
        <f t="shared" ref="H4:H22" si="5">IF(Adsorption,EXP((-Aval/H$2)+Bval+(Phi+Phi0)*TAN(PI()*($A4-0.5))+(beta/2)),EXP((-Aval/H$2)+Bval+(Phi-Phi0)*TAN(PI()*($A4-0.5))-(beta/2)))</f>
        <v>2.9953383077388793E-2</v>
      </c>
      <c r="I4">
        <f>H4*101325</f>
        <v>3035.0265403164194</v>
      </c>
      <c r="J4">
        <f>H4*14.7</f>
        <v>0.44031473123761522</v>
      </c>
      <c r="K4">
        <f t="shared" ref="K4:K22" si="6">IF(Adsorption,EXP((-Aval/K$2)+Bval+(Phi+Phi0)*TAN(PI()*($A4-0.5))+(beta/2)),EXP((-Aval/K$2)+Bval+(Phi-Phi0)*TAN(PI()*($A4-0.5))-(beta/2)))</f>
        <v>6.4973990712524868E-2</v>
      </c>
      <c r="L4">
        <f>K4*101325</f>
        <v>6583.4896089465819</v>
      </c>
      <c r="M4">
        <f>K4*14.7</f>
        <v>0.95511766347411553</v>
      </c>
      <c r="N4">
        <f t="shared" ref="N4:N22" si="7">IF(Adsorption,EXP((-Aval/N$2)+Bval+(Phi+Phi0)*TAN(PI()*($A4-0.5))+(beta/2)),EXP((-Aval/N$2)+Bval+(Phi-Phi0)*TAN(PI()*($A4-0.5))-(beta/2)))</f>
        <v>0.12990739393370127</v>
      </c>
      <c r="O4">
        <f>N4*101325</f>
        <v>13162.866690332281</v>
      </c>
      <c r="P4">
        <f>N4*14.7</f>
        <v>1.9096386908254086</v>
      </c>
      <c r="Q4">
        <f t="shared" ref="Q4:Q22" si="8">IF(Adsorption,EXP((-Aval/Q$2)+Bval+(Phi+Phi0)*TAN(PI()*($A4-0.5))+(beta/2)),EXP((-Aval/Q$2)+Bval+(Phi-Phi0)*TAN(PI()*($A4-0.5))-(beta/2)))</f>
        <v>0.24234762395229129</v>
      </c>
      <c r="R4">
        <f>Q4*101325</f>
        <v>24555.872996965914</v>
      </c>
      <c r="S4">
        <f>Q4*14.7</f>
        <v>3.5625100720986818</v>
      </c>
      <c r="T4">
        <f t="shared" ref="T4:T22" si="9">IF(Adsorption,EXP((-Aval/T$2)+Bval+(Phi+Phi0)*TAN(PI()*($A4-0.5))+(beta/2)),EXP((-Aval/T$2)+Bval+(Phi-Phi0)*TAN(PI()*($A4-0.5))-(beta/2)))</f>
        <v>0.42604229877297523</v>
      </c>
      <c r="U4">
        <f>T4*101325</f>
        <v>43168.735923171713</v>
      </c>
      <c r="V4">
        <f>T4*14.7</f>
        <v>6.2628217919627351</v>
      </c>
      <c r="W4">
        <f t="shared" ref="W4:W22" si="10">IF(Adsorption,EXP((-Aval/W$2)+Bval+(Phi+Phi0)*TAN(PI()*($A4-0.5))+(beta/2)),EXP((-Aval/W$2)+Bval+(Phi-Phi0)*TAN(PI()*($A4-0.5))-(beta/2)))</f>
        <v>0.71152911683516573</v>
      </c>
      <c r="X4">
        <f>W4*101325</f>
        <v>72095.687763323163</v>
      </c>
      <c r="Y4">
        <f>W4*14.7</f>
        <v>10.459478017476936</v>
      </c>
    </row>
    <row r="5" spans="1:25" x14ac:dyDescent="0.25">
      <c r="A5">
        <v>0.1</v>
      </c>
      <c r="B5">
        <f t="shared" si="3"/>
        <v>3.0022704490558865E-2</v>
      </c>
      <c r="C5">
        <f t="shared" ref="C5:C22" si="11">B5*101325</f>
        <v>3042.0505325058771</v>
      </c>
      <c r="D5">
        <f t="shared" ref="D5:D22" si="12">B5*14.7</f>
        <v>0.44133375601121527</v>
      </c>
      <c r="E5">
        <f t="shared" si="4"/>
        <v>8.057943717831785E-2</v>
      </c>
      <c r="F5">
        <f t="shared" ref="F5:F22" si="13">E5*101325</f>
        <v>8164.7114720930558</v>
      </c>
      <c r="G5">
        <f t="shared" ref="G5:G22" si="14">E5*14.7</f>
        <v>1.1845177265212723</v>
      </c>
      <c r="H5">
        <f t="shared" si="5"/>
        <v>0.19255491056754806</v>
      </c>
      <c r="I5">
        <f t="shared" ref="I5:I22" si="15">H5*101325</f>
        <v>19510.626313256806</v>
      </c>
      <c r="J5">
        <f t="shared" ref="J5:J22" si="16">H5*14.7</f>
        <v>2.8305571853429563</v>
      </c>
      <c r="K5">
        <f t="shared" si="6"/>
        <v>0.41768440441411342</v>
      </c>
      <c r="L5">
        <f t="shared" ref="L5:L22" si="17">K5*101325</f>
        <v>42321.872277260045</v>
      </c>
      <c r="M5">
        <f t="shared" ref="M5:M22" si="18">K5*14.7</f>
        <v>6.1399607448874667</v>
      </c>
      <c r="N5">
        <f t="shared" si="7"/>
        <v>0.83510789269910135</v>
      </c>
      <c r="O5">
        <f t="shared" ref="O5:O22" si="19">N5*101325</f>
        <v>84617.307227736441</v>
      </c>
      <c r="P5">
        <f t="shared" ref="P5:P22" si="20">N5*14.7</f>
        <v>12.27608602267679</v>
      </c>
      <c r="Q5">
        <f t="shared" si="8"/>
        <v>1.5579283627437008</v>
      </c>
      <c r="R5">
        <f t="shared" ref="R5:R22" si="21">Q5*101325</f>
        <v>157857.09135500548</v>
      </c>
      <c r="S5">
        <f t="shared" ref="S5:S22" si="22">Q5*14.7</f>
        <v>22.901546932332401</v>
      </c>
      <c r="T5">
        <f t="shared" si="9"/>
        <v>2.7388070498170389</v>
      </c>
      <c r="U5">
        <f t="shared" ref="U5:U22" si="23">T5*101325</f>
        <v>277509.62432271149</v>
      </c>
      <c r="V5">
        <f t="shared" ref="V5:V22" si="24">T5*14.7</f>
        <v>40.260463632310469</v>
      </c>
      <c r="W5">
        <f t="shared" si="10"/>
        <v>4.5740551277437067</v>
      </c>
      <c r="X5">
        <f t="shared" ref="X5:X22" si="25">W5*101325</f>
        <v>463466.1358186311</v>
      </c>
      <c r="Y5">
        <f t="shared" ref="Y5:Y22" si="26">W5*14.7</f>
        <v>67.238610377832487</v>
      </c>
    </row>
    <row r="6" spans="1:25" x14ac:dyDescent="0.25">
      <c r="A6">
        <v>0.15</v>
      </c>
      <c r="B6">
        <f t="shared" si="3"/>
        <v>5.700396945569039E-2</v>
      </c>
      <c r="C6">
        <f t="shared" si="11"/>
        <v>5775.9272050978288</v>
      </c>
      <c r="D6">
        <f t="shared" si="12"/>
        <v>0.83795835099864868</v>
      </c>
      <c r="E6">
        <f t="shared" si="4"/>
        <v>0.15299580279698013</v>
      </c>
      <c r="F6">
        <f t="shared" si="13"/>
        <v>15502.299718404012</v>
      </c>
      <c r="G6">
        <f t="shared" si="14"/>
        <v>2.2490383011156077</v>
      </c>
      <c r="H6">
        <f t="shared" si="5"/>
        <v>0.36560311360315367</v>
      </c>
      <c r="I6">
        <f t="shared" si="15"/>
        <v>37044.735485839548</v>
      </c>
      <c r="J6">
        <f t="shared" si="16"/>
        <v>5.3743657699663592</v>
      </c>
      <c r="K6">
        <f t="shared" si="6"/>
        <v>0.79305543705523585</v>
      </c>
      <c r="L6">
        <f t="shared" si="17"/>
        <v>80356.342159621767</v>
      </c>
      <c r="M6">
        <f t="shared" si="18"/>
        <v>11.657914924711966</v>
      </c>
      <c r="N6">
        <f t="shared" si="7"/>
        <v>1.5856154738689698</v>
      </c>
      <c r="O6">
        <f t="shared" si="19"/>
        <v>160662.48788977336</v>
      </c>
      <c r="P6">
        <f t="shared" si="20"/>
        <v>23.308547465873854</v>
      </c>
      <c r="Q6">
        <f t="shared" si="8"/>
        <v>2.9580313403118907</v>
      </c>
      <c r="R6">
        <f t="shared" si="21"/>
        <v>299722.52555710234</v>
      </c>
      <c r="S6">
        <f t="shared" si="22"/>
        <v>43.483060702584794</v>
      </c>
      <c r="T6">
        <f t="shared" si="9"/>
        <v>5.2001602141437795</v>
      </c>
      <c r="U6">
        <f t="shared" si="23"/>
        <v>526906.23369811848</v>
      </c>
      <c r="V6">
        <f t="shared" si="24"/>
        <v>76.44235514791356</v>
      </c>
      <c r="W6">
        <f t="shared" si="10"/>
        <v>8.6847372085529457</v>
      </c>
      <c r="X6">
        <f t="shared" si="25"/>
        <v>879980.99765662721</v>
      </c>
      <c r="Y6">
        <f t="shared" si="26"/>
        <v>127.6656369657283</v>
      </c>
    </row>
    <row r="7" spans="1:25" x14ac:dyDescent="0.25">
      <c r="A7">
        <v>0.2</v>
      </c>
      <c r="B7">
        <f t="shared" si="3"/>
        <v>7.9854189577246881E-2</v>
      </c>
      <c r="C7">
        <f t="shared" si="11"/>
        <v>8091.2257589145402</v>
      </c>
      <c r="D7">
        <f t="shared" si="12"/>
        <v>1.1738565867855291</v>
      </c>
      <c r="E7">
        <f t="shared" si="4"/>
        <v>0.21432465068191037</v>
      </c>
      <c r="F7">
        <f t="shared" si="13"/>
        <v>21716.445230344569</v>
      </c>
      <c r="G7">
        <f t="shared" si="14"/>
        <v>3.1505723650240824</v>
      </c>
      <c r="H7">
        <f t="shared" si="5"/>
        <v>0.51215626951016824</v>
      </c>
      <c r="I7">
        <f t="shared" si="15"/>
        <v>51894.234008117797</v>
      </c>
      <c r="J7">
        <f t="shared" si="16"/>
        <v>7.5286971617994727</v>
      </c>
      <c r="K7">
        <f t="shared" si="6"/>
        <v>1.110954198814192</v>
      </c>
      <c r="L7">
        <f t="shared" si="17"/>
        <v>112567.434194848</v>
      </c>
      <c r="M7">
        <f t="shared" si="18"/>
        <v>16.331026722568623</v>
      </c>
      <c r="N7">
        <f t="shared" si="7"/>
        <v>2.2212144146447561</v>
      </c>
      <c r="O7">
        <f t="shared" si="19"/>
        <v>225064.55056387992</v>
      </c>
      <c r="P7">
        <f t="shared" si="20"/>
        <v>32.651851895277915</v>
      </c>
      <c r="Q7">
        <f t="shared" si="8"/>
        <v>4.1437674898817729</v>
      </c>
      <c r="R7">
        <f t="shared" si="21"/>
        <v>419867.24091227062</v>
      </c>
      <c r="S7">
        <f t="shared" si="22"/>
        <v>60.913382101262059</v>
      </c>
      <c r="T7">
        <f t="shared" si="9"/>
        <v>7.2846607620031545</v>
      </c>
      <c r="U7">
        <f t="shared" si="23"/>
        <v>738118.2517099696</v>
      </c>
      <c r="V7">
        <f t="shared" si="24"/>
        <v>107.08451320144637</v>
      </c>
      <c r="W7">
        <f t="shared" si="10"/>
        <v>12.166041384529009</v>
      </c>
      <c r="X7">
        <f t="shared" si="25"/>
        <v>1232724.1432874019</v>
      </c>
      <c r="Y7">
        <f t="shared" si="26"/>
        <v>178.84080835257643</v>
      </c>
    </row>
    <row r="8" spans="1:25" x14ac:dyDescent="0.25">
      <c r="A8">
        <v>0.25</v>
      </c>
      <c r="B8">
        <f t="shared" si="3"/>
        <v>9.9148819198250707E-2</v>
      </c>
      <c r="C8">
        <f t="shared" si="11"/>
        <v>10046.254105262753</v>
      </c>
      <c r="D8">
        <f t="shared" si="12"/>
        <v>1.4574876422142853</v>
      </c>
      <c r="E8">
        <f t="shared" si="4"/>
        <v>0.26611047150673001</v>
      </c>
      <c r="F8">
        <f t="shared" si="13"/>
        <v>26963.643525419418</v>
      </c>
      <c r="G8">
        <f t="shared" si="14"/>
        <v>3.9118239311489309</v>
      </c>
      <c r="H8">
        <f t="shared" si="5"/>
        <v>0.63590513704722462</v>
      </c>
      <c r="I8">
        <f t="shared" si="15"/>
        <v>64433.088011310036</v>
      </c>
      <c r="J8">
        <f t="shared" si="16"/>
        <v>9.3478055145942012</v>
      </c>
      <c r="K8">
        <f t="shared" si="6"/>
        <v>1.3793865741911073</v>
      </c>
      <c r="L8">
        <f t="shared" si="17"/>
        <v>139766.34462991395</v>
      </c>
      <c r="M8">
        <f t="shared" si="18"/>
        <v>20.276982640609276</v>
      </c>
      <c r="N8">
        <f t="shared" si="7"/>
        <v>2.757911482967605</v>
      </c>
      <c r="O8">
        <f t="shared" si="19"/>
        <v>279445.38101169257</v>
      </c>
      <c r="P8">
        <f t="shared" si="20"/>
        <v>40.541298799623789</v>
      </c>
      <c r="Q8">
        <f t="shared" si="8"/>
        <v>5.1449981000238205</v>
      </c>
      <c r="R8">
        <f t="shared" si="21"/>
        <v>521316.93248491362</v>
      </c>
      <c r="S8">
        <f t="shared" si="22"/>
        <v>75.631472070350156</v>
      </c>
      <c r="T8">
        <f t="shared" si="9"/>
        <v>9.0448042442877572</v>
      </c>
      <c r="U8">
        <f t="shared" si="23"/>
        <v>916464.79005245701</v>
      </c>
      <c r="V8">
        <f t="shared" si="24"/>
        <v>132.95862239103002</v>
      </c>
      <c r="W8">
        <f t="shared" si="10"/>
        <v>15.105639966782691</v>
      </c>
      <c r="X8">
        <f t="shared" si="25"/>
        <v>1530578.9696342561</v>
      </c>
      <c r="Y8">
        <f t="shared" si="26"/>
        <v>222.05290751170554</v>
      </c>
    </row>
    <row r="9" spans="1:25" x14ac:dyDescent="0.25">
      <c r="A9">
        <v>0.3</v>
      </c>
      <c r="B9">
        <f t="shared" si="3"/>
        <v>0.11603130113131295</v>
      </c>
      <c r="C9">
        <f t="shared" si="11"/>
        <v>11756.871587130285</v>
      </c>
      <c r="D9">
        <f t="shared" si="12"/>
        <v>1.7056601266303002</v>
      </c>
      <c r="E9">
        <f t="shared" si="4"/>
        <v>0.31142220858781366</v>
      </c>
      <c r="F9">
        <f t="shared" si="13"/>
        <v>31554.855285160218</v>
      </c>
      <c r="G9">
        <f t="shared" si="14"/>
        <v>4.5779064662408606</v>
      </c>
      <c r="H9">
        <f t="shared" si="5"/>
        <v>0.74418335028418692</v>
      </c>
      <c r="I9">
        <f t="shared" si="15"/>
        <v>75404.377967545239</v>
      </c>
      <c r="J9">
        <f t="shared" si="16"/>
        <v>10.939495249177547</v>
      </c>
      <c r="K9">
        <f t="shared" si="6"/>
        <v>1.6142604648314591</v>
      </c>
      <c r="L9">
        <f t="shared" si="17"/>
        <v>163564.9415990476</v>
      </c>
      <c r="M9">
        <f t="shared" si="18"/>
        <v>23.729628833022449</v>
      </c>
      <c r="N9">
        <f t="shared" si="7"/>
        <v>3.2275125448933819</v>
      </c>
      <c r="O9">
        <f t="shared" si="19"/>
        <v>327027.70861132193</v>
      </c>
      <c r="P9">
        <f t="shared" si="20"/>
        <v>47.444434409932711</v>
      </c>
      <c r="Q9">
        <f t="shared" si="8"/>
        <v>6.0210583312164072</v>
      </c>
      <c r="R9">
        <f t="shared" si="21"/>
        <v>610083.73541050241</v>
      </c>
      <c r="S9">
        <f t="shared" si="22"/>
        <v>88.509557468881184</v>
      </c>
      <c r="T9">
        <f t="shared" si="9"/>
        <v>10.584900692001851</v>
      </c>
      <c r="U9">
        <f t="shared" si="23"/>
        <v>1072515.0626170875</v>
      </c>
      <c r="V9">
        <f t="shared" si="24"/>
        <v>155.5980401724272</v>
      </c>
      <c r="W9">
        <f t="shared" si="10"/>
        <v>17.67774012782073</v>
      </c>
      <c r="X9">
        <f t="shared" si="25"/>
        <v>1791197.0184514355</v>
      </c>
      <c r="Y9">
        <f t="shared" si="26"/>
        <v>259.86277987896472</v>
      </c>
    </row>
    <row r="10" spans="1:25" x14ac:dyDescent="0.25">
      <c r="A10">
        <v>0.35</v>
      </c>
      <c r="B10">
        <f t="shared" si="3"/>
        <v>0.1314524004321572</v>
      </c>
      <c r="C10">
        <f t="shared" si="11"/>
        <v>13319.414473788327</v>
      </c>
      <c r="D10">
        <f t="shared" si="12"/>
        <v>1.9323502863527107</v>
      </c>
      <c r="E10">
        <f t="shared" si="4"/>
        <v>0.35281166777939799</v>
      </c>
      <c r="F10">
        <f t="shared" si="13"/>
        <v>35748.642237747503</v>
      </c>
      <c r="G10">
        <f t="shared" si="14"/>
        <v>5.18633151635715</v>
      </c>
      <c r="H10">
        <f t="shared" si="5"/>
        <v>0.84308877693091422</v>
      </c>
      <c r="I10">
        <f t="shared" si="15"/>
        <v>85425.970322524881</v>
      </c>
      <c r="J10">
        <f t="shared" si="16"/>
        <v>12.393405020884439</v>
      </c>
      <c r="K10">
        <f t="shared" si="6"/>
        <v>1.8288031846223947</v>
      </c>
      <c r="L10">
        <f t="shared" si="17"/>
        <v>185303.48268186414</v>
      </c>
      <c r="M10">
        <f t="shared" si="18"/>
        <v>26.8834068139492</v>
      </c>
      <c r="N10">
        <f t="shared" si="7"/>
        <v>3.6564639654518269</v>
      </c>
      <c r="O10">
        <f t="shared" si="19"/>
        <v>370491.21129940636</v>
      </c>
      <c r="P10">
        <f t="shared" si="20"/>
        <v>53.750020292141855</v>
      </c>
      <c r="Q10">
        <f t="shared" si="8"/>
        <v>6.8212849727911991</v>
      </c>
      <c r="R10">
        <f t="shared" si="21"/>
        <v>691166.69986806822</v>
      </c>
      <c r="S10">
        <f t="shared" si="22"/>
        <v>100.27288910003062</v>
      </c>
      <c r="T10">
        <f t="shared" si="9"/>
        <v>11.991683198699821</v>
      </c>
      <c r="U10">
        <f t="shared" si="23"/>
        <v>1215057.3001082593</v>
      </c>
      <c r="V10">
        <f t="shared" si="24"/>
        <v>176.27774302088736</v>
      </c>
      <c r="W10">
        <f t="shared" si="10"/>
        <v>20.027193967152659</v>
      </c>
      <c r="X10">
        <f t="shared" si="25"/>
        <v>2029255.4287217432</v>
      </c>
      <c r="Y10">
        <f t="shared" si="26"/>
        <v>294.39975131714408</v>
      </c>
    </row>
    <row r="11" spans="1:25" x14ac:dyDescent="0.25">
      <c r="A11">
        <v>0.4</v>
      </c>
      <c r="B11">
        <f t="shared" si="3"/>
        <v>0.14617333160507548</v>
      </c>
      <c r="C11">
        <f t="shared" si="11"/>
        <v>14811.012824884272</v>
      </c>
      <c r="D11">
        <f t="shared" si="12"/>
        <v>2.1487479745946096</v>
      </c>
      <c r="E11">
        <f t="shared" si="4"/>
        <v>0.39232191073660833</v>
      </c>
      <c r="F11">
        <f t="shared" si="13"/>
        <v>39752.017605386842</v>
      </c>
      <c r="G11">
        <f t="shared" si="14"/>
        <v>5.7671320878281422</v>
      </c>
      <c r="H11">
        <f t="shared" si="5"/>
        <v>0.937503575116857</v>
      </c>
      <c r="I11">
        <f t="shared" si="15"/>
        <v>94992.549748715537</v>
      </c>
      <c r="J11">
        <f t="shared" si="16"/>
        <v>13.781302554217797</v>
      </c>
      <c r="K11">
        <f t="shared" si="6"/>
        <v>2.0336049662645213</v>
      </c>
      <c r="L11">
        <f t="shared" si="17"/>
        <v>206055.02320675261</v>
      </c>
      <c r="M11">
        <f t="shared" si="18"/>
        <v>29.893993004088461</v>
      </c>
      <c r="N11">
        <f t="shared" si="7"/>
        <v>4.0659395946127574</v>
      </c>
      <c r="O11">
        <f t="shared" si="19"/>
        <v>411981.32942413766</v>
      </c>
      <c r="P11">
        <f t="shared" si="20"/>
        <v>59.769312040807534</v>
      </c>
      <c r="Q11">
        <f t="shared" si="8"/>
        <v>7.5851787188559241</v>
      </c>
      <c r="R11">
        <f t="shared" si="21"/>
        <v>768568.23368807649</v>
      </c>
      <c r="S11">
        <f t="shared" si="22"/>
        <v>111.50212716718208</v>
      </c>
      <c r="T11">
        <f t="shared" si="9"/>
        <v>13.334593198328223</v>
      </c>
      <c r="U11">
        <f t="shared" si="23"/>
        <v>1351127.6558206072</v>
      </c>
      <c r="V11">
        <f t="shared" si="24"/>
        <v>196.01852001542488</v>
      </c>
      <c r="W11">
        <f t="shared" si="10"/>
        <v>22.269974951051811</v>
      </c>
      <c r="X11">
        <f t="shared" si="25"/>
        <v>2256505.2119153249</v>
      </c>
      <c r="Y11">
        <f t="shared" si="26"/>
        <v>327.36863178046161</v>
      </c>
    </row>
    <row r="12" spans="1:25" x14ac:dyDescent="0.25">
      <c r="A12">
        <v>0.45</v>
      </c>
      <c r="B12">
        <f t="shared" si="3"/>
        <v>0.16086264954467225</v>
      </c>
      <c r="C12">
        <f t="shared" si="11"/>
        <v>16299.407965113916</v>
      </c>
      <c r="D12">
        <f t="shared" si="12"/>
        <v>2.364680948306682</v>
      </c>
      <c r="E12">
        <f t="shared" si="4"/>
        <v>0.43174730535681294</v>
      </c>
      <c r="F12">
        <f t="shared" si="13"/>
        <v>43746.79571527907</v>
      </c>
      <c r="G12">
        <f t="shared" si="14"/>
        <v>6.3466853887451498</v>
      </c>
      <c r="H12">
        <f t="shared" si="5"/>
        <v>1.0317156173080193</v>
      </c>
      <c r="I12">
        <f t="shared" si="15"/>
        <v>104538.58492373506</v>
      </c>
      <c r="J12">
        <f t="shared" si="16"/>
        <v>15.166219574427883</v>
      </c>
      <c r="K12">
        <f t="shared" si="6"/>
        <v>2.2379669356127332</v>
      </c>
      <c r="L12">
        <f t="shared" si="17"/>
        <v>226761.99975096018</v>
      </c>
      <c r="M12">
        <f t="shared" si="18"/>
        <v>32.898113953507178</v>
      </c>
      <c r="N12">
        <f t="shared" si="7"/>
        <v>4.4745358739246823</v>
      </c>
      <c r="O12">
        <f t="shared" si="19"/>
        <v>453382.34742541844</v>
      </c>
      <c r="P12">
        <f t="shared" si="20"/>
        <v>65.775677346692831</v>
      </c>
      <c r="Q12">
        <f t="shared" si="8"/>
        <v>8.347432001355978</v>
      </c>
      <c r="R12">
        <f t="shared" si="21"/>
        <v>845803.54753739445</v>
      </c>
      <c r="S12">
        <f t="shared" si="22"/>
        <v>122.70725041993288</v>
      </c>
      <c r="T12">
        <f t="shared" si="9"/>
        <v>14.674619295664749</v>
      </c>
      <c r="U12">
        <f t="shared" si="23"/>
        <v>1486905.8001332306</v>
      </c>
      <c r="V12">
        <f t="shared" si="24"/>
        <v>215.71690364627182</v>
      </c>
      <c r="W12">
        <f t="shared" si="10"/>
        <v>24.507939557664745</v>
      </c>
      <c r="X12">
        <f t="shared" si="25"/>
        <v>2483266.9756803801</v>
      </c>
      <c r="Y12">
        <f t="shared" si="26"/>
        <v>360.26671149767174</v>
      </c>
    </row>
    <row r="13" spans="1:25" x14ac:dyDescent="0.25">
      <c r="A13">
        <v>0.5</v>
      </c>
      <c r="B13">
        <f t="shared" si="3"/>
        <v>0.17620039330469206</v>
      </c>
      <c r="C13">
        <f t="shared" si="11"/>
        <v>17853.504851597922</v>
      </c>
      <c r="D13">
        <f t="shared" si="12"/>
        <v>2.5901457815789732</v>
      </c>
      <c r="E13">
        <f t="shared" si="4"/>
        <v>0.47291304244609833</v>
      </c>
      <c r="F13">
        <f t="shared" si="13"/>
        <v>47917.914025850914</v>
      </c>
      <c r="G13">
        <f t="shared" si="14"/>
        <v>6.9518217239576447</v>
      </c>
      <c r="H13">
        <f t="shared" si="5"/>
        <v>1.1300864312680778</v>
      </c>
      <c r="I13">
        <f t="shared" si="15"/>
        <v>114506.00764823798</v>
      </c>
      <c r="J13">
        <f t="shared" si="16"/>
        <v>16.612270539640743</v>
      </c>
      <c r="K13">
        <f t="shared" si="6"/>
        <v>2.4513499894103932</v>
      </c>
      <c r="L13">
        <f t="shared" si="17"/>
        <v>248383.03767700808</v>
      </c>
      <c r="M13">
        <f t="shared" si="18"/>
        <v>36.034844844332781</v>
      </c>
      <c r="N13">
        <f t="shared" si="7"/>
        <v>4.9011686869084965</v>
      </c>
      <c r="O13">
        <f t="shared" si="19"/>
        <v>496610.91720100341</v>
      </c>
      <c r="P13">
        <f t="shared" si="20"/>
        <v>72.047179697554895</v>
      </c>
      <c r="Q13">
        <f t="shared" si="8"/>
        <v>9.1433331844670551</v>
      </c>
      <c r="R13">
        <f t="shared" si="21"/>
        <v>926448.23491612438</v>
      </c>
      <c r="S13">
        <f t="shared" si="22"/>
        <v>134.40699781166569</v>
      </c>
      <c r="T13">
        <f t="shared" si="9"/>
        <v>16.073797732485435</v>
      </c>
      <c r="U13">
        <f t="shared" si="23"/>
        <v>1628677.5552440868</v>
      </c>
      <c r="V13">
        <f t="shared" si="24"/>
        <v>236.28482666753587</v>
      </c>
      <c r="W13">
        <f t="shared" si="10"/>
        <v>26.844693913542287</v>
      </c>
      <c r="X13">
        <f t="shared" si="25"/>
        <v>2720038.610789672</v>
      </c>
      <c r="Y13">
        <f t="shared" si="26"/>
        <v>394.61700052907162</v>
      </c>
    </row>
    <row r="14" spans="1:25" x14ac:dyDescent="0.25">
      <c r="A14">
        <v>0.55000000000000004</v>
      </c>
      <c r="B14">
        <f t="shared" si="3"/>
        <v>0.19300054231735381</v>
      </c>
      <c r="C14">
        <f t="shared" si="11"/>
        <v>19555.779950305874</v>
      </c>
      <c r="D14">
        <f t="shared" si="12"/>
        <v>2.8371079720651009</v>
      </c>
      <c r="E14">
        <f t="shared" si="4"/>
        <v>0.51800380208695163</v>
      </c>
      <c r="F14">
        <f t="shared" si="13"/>
        <v>52486.735246460375</v>
      </c>
      <c r="G14">
        <f t="shared" si="14"/>
        <v>7.6146558906781889</v>
      </c>
      <c r="H14">
        <f t="shared" si="5"/>
        <v>1.237836590540766</v>
      </c>
      <c r="I14">
        <f t="shared" si="15"/>
        <v>125423.79253654311</v>
      </c>
      <c r="J14">
        <f t="shared" si="16"/>
        <v>18.19619788094926</v>
      </c>
      <c r="K14">
        <f t="shared" si="6"/>
        <v>2.6850784410436774</v>
      </c>
      <c r="L14">
        <f t="shared" si="17"/>
        <v>272065.57303875062</v>
      </c>
      <c r="M14">
        <f t="shared" si="18"/>
        <v>39.470653083342057</v>
      </c>
      <c r="N14">
        <f t="shared" si="7"/>
        <v>5.368479586344848</v>
      </c>
      <c r="O14">
        <f t="shared" si="19"/>
        <v>543961.19408639171</v>
      </c>
      <c r="P14">
        <f t="shared" si="20"/>
        <v>78.916649919269261</v>
      </c>
      <c r="Q14">
        <f t="shared" si="8"/>
        <v>10.015121022680532</v>
      </c>
      <c r="R14">
        <f t="shared" si="21"/>
        <v>1014782.1376231048</v>
      </c>
      <c r="S14">
        <f t="shared" si="22"/>
        <v>147.22227903340382</v>
      </c>
      <c r="T14">
        <f t="shared" si="9"/>
        <v>17.606383398387855</v>
      </c>
      <c r="U14">
        <f t="shared" si="23"/>
        <v>1783966.7978416495</v>
      </c>
      <c r="V14">
        <f t="shared" si="24"/>
        <v>258.81383595630143</v>
      </c>
      <c r="W14">
        <f t="shared" si="10"/>
        <v>29.404250390620788</v>
      </c>
      <c r="X14">
        <f t="shared" si="25"/>
        <v>2979385.6708296514</v>
      </c>
      <c r="Y14">
        <f t="shared" si="26"/>
        <v>432.24248074212557</v>
      </c>
    </row>
    <row r="15" spans="1:25" x14ac:dyDescent="0.25">
      <c r="A15">
        <v>0.6</v>
      </c>
      <c r="B15">
        <f t="shared" si="3"/>
        <v>0.21239564193972413</v>
      </c>
      <c r="C15">
        <f t="shared" si="11"/>
        <v>21520.988419542547</v>
      </c>
      <c r="D15">
        <f t="shared" si="12"/>
        <v>3.1222159365139444</v>
      </c>
      <c r="E15">
        <f t="shared" si="4"/>
        <v>0.57005927937013456</v>
      </c>
      <c r="F15">
        <f t="shared" si="13"/>
        <v>57761.256482178884</v>
      </c>
      <c r="G15">
        <f t="shared" si="14"/>
        <v>8.3798714067409783</v>
      </c>
      <c r="H15">
        <f t="shared" si="5"/>
        <v>1.3622298368057255</v>
      </c>
      <c r="I15">
        <f t="shared" si="15"/>
        <v>138027.93821434013</v>
      </c>
      <c r="J15">
        <f t="shared" si="16"/>
        <v>20.024778601044165</v>
      </c>
      <c r="K15">
        <f t="shared" si="6"/>
        <v>2.9549085836568998</v>
      </c>
      <c r="L15">
        <f t="shared" si="17"/>
        <v>299406.11223903537</v>
      </c>
      <c r="M15">
        <f t="shared" si="18"/>
        <v>43.437156179756428</v>
      </c>
      <c r="N15">
        <f t="shared" si="7"/>
        <v>5.9079713159929952</v>
      </c>
      <c r="O15">
        <f t="shared" si="19"/>
        <v>598625.19359299028</v>
      </c>
      <c r="P15">
        <f t="shared" si="20"/>
        <v>86.847178345097021</v>
      </c>
      <c r="Q15">
        <f t="shared" si="8"/>
        <v>11.02156518927559</v>
      </c>
      <c r="R15">
        <f t="shared" si="21"/>
        <v>1116760.092803349</v>
      </c>
      <c r="S15">
        <f t="shared" si="22"/>
        <v>162.01700828235116</v>
      </c>
      <c r="T15">
        <f t="shared" si="9"/>
        <v>19.375692209136592</v>
      </c>
      <c r="U15">
        <f t="shared" si="23"/>
        <v>1963242.0130907651</v>
      </c>
      <c r="V15">
        <f t="shared" si="24"/>
        <v>284.82267547430786</v>
      </c>
      <c r="W15">
        <f t="shared" si="10"/>
        <v>32.359155899173501</v>
      </c>
      <c r="X15">
        <f t="shared" si="25"/>
        <v>3278791.4714837549</v>
      </c>
      <c r="Y15">
        <f t="shared" si="26"/>
        <v>475.67959171785043</v>
      </c>
    </row>
    <row r="16" spans="1:25" x14ac:dyDescent="0.25">
      <c r="A16">
        <v>0.65</v>
      </c>
      <c r="B16">
        <f t="shared" si="3"/>
        <v>0.23618114616896144</v>
      </c>
      <c r="C16">
        <f t="shared" si="11"/>
        <v>23931.054635570017</v>
      </c>
      <c r="D16">
        <f t="shared" si="12"/>
        <v>3.4718628486837328</v>
      </c>
      <c r="E16">
        <f t="shared" si="4"/>
        <v>0.63389838301907986</v>
      </c>
      <c r="F16">
        <f t="shared" si="13"/>
        <v>64229.753659408263</v>
      </c>
      <c r="G16">
        <f t="shared" si="14"/>
        <v>9.3183062303804736</v>
      </c>
      <c r="H16">
        <f t="shared" si="5"/>
        <v>1.5147815711474832</v>
      </c>
      <c r="I16">
        <f t="shared" si="15"/>
        <v>153485.24269651875</v>
      </c>
      <c r="J16">
        <f t="shared" si="16"/>
        <v>22.267289095868001</v>
      </c>
      <c r="K16">
        <f t="shared" si="6"/>
        <v>3.2858192839504903</v>
      </c>
      <c r="L16">
        <f t="shared" si="17"/>
        <v>332935.63894628343</v>
      </c>
      <c r="M16">
        <f t="shared" si="18"/>
        <v>48.301543474072204</v>
      </c>
      <c r="N16">
        <f t="shared" si="7"/>
        <v>6.5695860056326421</v>
      </c>
      <c r="O16">
        <f t="shared" si="19"/>
        <v>665663.30202072742</v>
      </c>
      <c r="P16">
        <f t="shared" si="20"/>
        <v>96.572914282799829</v>
      </c>
      <c r="Q16">
        <f t="shared" si="8"/>
        <v>12.255834795884216</v>
      </c>
      <c r="R16">
        <f t="shared" si="21"/>
        <v>1241822.4606929682</v>
      </c>
      <c r="S16">
        <f t="shared" si="22"/>
        <v>180.16077149949797</v>
      </c>
      <c r="T16">
        <f t="shared" si="9"/>
        <v>21.54551360837042</v>
      </c>
      <c r="U16">
        <f t="shared" si="23"/>
        <v>2183099.1663681329</v>
      </c>
      <c r="V16">
        <f t="shared" si="24"/>
        <v>316.71905004304517</v>
      </c>
      <c r="W16">
        <f t="shared" si="10"/>
        <v>35.982953602672382</v>
      </c>
      <c r="X16">
        <f t="shared" si="25"/>
        <v>3645972.7737907791</v>
      </c>
      <c r="Y16">
        <f t="shared" si="26"/>
        <v>528.94941795928401</v>
      </c>
    </row>
    <row r="17" spans="1:25" x14ac:dyDescent="0.25">
      <c r="A17">
        <v>0.7</v>
      </c>
      <c r="B17">
        <f t="shared" si="3"/>
        <v>0.2675707184011723</v>
      </c>
      <c r="C17">
        <f t="shared" si="11"/>
        <v>27111.603041998784</v>
      </c>
      <c r="D17">
        <f t="shared" si="12"/>
        <v>3.9332895604972324</v>
      </c>
      <c r="E17">
        <f t="shared" si="4"/>
        <v>0.71814642484805991</v>
      </c>
      <c r="F17">
        <f t="shared" si="13"/>
        <v>72766.186497729665</v>
      </c>
      <c r="G17">
        <f t="shared" si="14"/>
        <v>10.556752445266481</v>
      </c>
      <c r="H17">
        <f t="shared" si="5"/>
        <v>1.7161030835324738</v>
      </c>
      <c r="I17">
        <f t="shared" si="15"/>
        <v>173884.1449389279</v>
      </c>
      <c r="J17">
        <f t="shared" si="16"/>
        <v>25.226715327927362</v>
      </c>
      <c r="K17">
        <f t="shared" si="6"/>
        <v>3.7225199411730183</v>
      </c>
      <c r="L17">
        <f t="shared" si="17"/>
        <v>377184.3330393561</v>
      </c>
      <c r="M17">
        <f t="shared" si="18"/>
        <v>54.72104313524337</v>
      </c>
      <c r="N17">
        <f t="shared" si="7"/>
        <v>7.4427145250107394</v>
      </c>
      <c r="O17">
        <f t="shared" si="19"/>
        <v>754133.04924671317</v>
      </c>
      <c r="P17">
        <f t="shared" si="20"/>
        <v>109.40790351765786</v>
      </c>
      <c r="Q17">
        <f t="shared" si="8"/>
        <v>13.884692212454787</v>
      </c>
      <c r="R17">
        <f t="shared" si="21"/>
        <v>1406866.4384269812</v>
      </c>
      <c r="S17">
        <f t="shared" si="22"/>
        <v>204.10497552308536</v>
      </c>
      <c r="T17">
        <f t="shared" si="9"/>
        <v>24.409012522912082</v>
      </c>
      <c r="U17">
        <f t="shared" si="23"/>
        <v>2473243.1938840668</v>
      </c>
      <c r="V17">
        <f t="shared" si="24"/>
        <v>358.81248408680761</v>
      </c>
      <c r="W17">
        <f t="shared" si="10"/>
        <v>40.765255406015115</v>
      </c>
      <c r="X17">
        <f t="shared" si="25"/>
        <v>4130539.5040144813</v>
      </c>
      <c r="Y17">
        <f t="shared" si="26"/>
        <v>599.24925446842212</v>
      </c>
    </row>
    <row r="18" spans="1:25" x14ac:dyDescent="0.25">
      <c r="A18">
        <v>0.75</v>
      </c>
      <c r="B18">
        <f t="shared" si="3"/>
        <v>0.31313109779602821</v>
      </c>
      <c r="C18">
        <f t="shared" si="11"/>
        <v>31728.008484182559</v>
      </c>
      <c r="D18">
        <f t="shared" si="12"/>
        <v>4.6030271376016145</v>
      </c>
      <c r="E18">
        <f t="shared" si="4"/>
        <v>0.84042820430675558</v>
      </c>
      <c r="F18">
        <f t="shared" si="13"/>
        <v>85156.387801382007</v>
      </c>
      <c r="G18">
        <f t="shared" si="14"/>
        <v>12.354294603309306</v>
      </c>
      <c r="H18">
        <f t="shared" si="5"/>
        <v>2.0083110950578447</v>
      </c>
      <c r="I18">
        <f t="shared" si="15"/>
        <v>203492.1217067361</v>
      </c>
      <c r="J18">
        <f t="shared" si="16"/>
        <v>29.522173097350315</v>
      </c>
      <c r="K18">
        <f t="shared" si="6"/>
        <v>4.3563688983316142</v>
      </c>
      <c r="L18">
        <f t="shared" si="17"/>
        <v>441409.07862345083</v>
      </c>
      <c r="M18">
        <f t="shared" si="18"/>
        <v>64.038622805474731</v>
      </c>
      <c r="N18">
        <f t="shared" si="7"/>
        <v>8.7100164910602818</v>
      </c>
      <c r="O18">
        <f t="shared" si="19"/>
        <v>882542.420956683</v>
      </c>
      <c r="P18">
        <f t="shared" si="20"/>
        <v>128.03724241858615</v>
      </c>
      <c r="Q18">
        <f t="shared" si="8"/>
        <v>16.248896519862555</v>
      </c>
      <c r="R18">
        <f t="shared" si="21"/>
        <v>1646419.4398750735</v>
      </c>
      <c r="S18">
        <f t="shared" si="22"/>
        <v>238.85877884197956</v>
      </c>
      <c r="T18">
        <f t="shared" si="9"/>
        <v>28.565236633841522</v>
      </c>
      <c r="U18">
        <f t="shared" si="23"/>
        <v>2894372.6019239924</v>
      </c>
      <c r="V18">
        <f t="shared" si="24"/>
        <v>419.90897851747036</v>
      </c>
      <c r="W18">
        <f t="shared" si="10"/>
        <v>47.706525039419489</v>
      </c>
      <c r="X18">
        <f t="shared" si="25"/>
        <v>4833863.6496191798</v>
      </c>
      <c r="Y18">
        <f t="shared" si="26"/>
        <v>701.28591807946646</v>
      </c>
    </row>
    <row r="19" spans="1:25" x14ac:dyDescent="0.25">
      <c r="A19">
        <v>0.8</v>
      </c>
      <c r="B19">
        <f t="shared" si="3"/>
        <v>0.3887908544948076</v>
      </c>
      <c r="C19">
        <f t="shared" si="11"/>
        <v>39394.233331686381</v>
      </c>
      <c r="D19">
        <f t="shared" si="12"/>
        <v>5.7152255610736713</v>
      </c>
      <c r="E19">
        <f t="shared" si="4"/>
        <v>1.0434952069398225</v>
      </c>
      <c r="F19">
        <f t="shared" si="13"/>
        <v>105732.1518431775</v>
      </c>
      <c r="G19">
        <f t="shared" si="14"/>
        <v>15.33937954201539</v>
      </c>
      <c r="H19">
        <f t="shared" si="5"/>
        <v>2.4935657692087783</v>
      </c>
      <c r="I19">
        <f t="shared" si="15"/>
        <v>252660.55156507946</v>
      </c>
      <c r="J19">
        <f t="shared" si="16"/>
        <v>36.655416807369036</v>
      </c>
      <c r="K19">
        <f t="shared" si="6"/>
        <v>5.4089689538923702</v>
      </c>
      <c r="L19">
        <f t="shared" si="17"/>
        <v>548063.7792531444</v>
      </c>
      <c r="M19">
        <f t="shared" si="18"/>
        <v>79.511843622217839</v>
      </c>
      <c r="N19">
        <f t="shared" si="7"/>
        <v>10.814559071450187</v>
      </c>
      <c r="O19">
        <f t="shared" si="19"/>
        <v>1095785.1979146902</v>
      </c>
      <c r="P19">
        <f t="shared" si="20"/>
        <v>158.97401835031775</v>
      </c>
      <c r="Q19">
        <f t="shared" si="8"/>
        <v>20.175007870569917</v>
      </c>
      <c r="R19">
        <f t="shared" si="21"/>
        <v>2044232.6724854968</v>
      </c>
      <c r="S19">
        <f t="shared" si="22"/>
        <v>296.57261569737778</v>
      </c>
      <c r="T19">
        <f t="shared" si="9"/>
        <v>35.467262235806253</v>
      </c>
      <c r="U19">
        <f t="shared" si="23"/>
        <v>3593720.3460430684</v>
      </c>
      <c r="V19">
        <f t="shared" si="24"/>
        <v>521.36875486635188</v>
      </c>
      <c r="W19">
        <f t="shared" si="10"/>
        <v>59.233531149102944</v>
      </c>
      <c r="X19">
        <f t="shared" si="25"/>
        <v>6001837.5436828556</v>
      </c>
      <c r="Y19">
        <f t="shared" si="26"/>
        <v>870.73290789181328</v>
      </c>
    </row>
    <row r="20" spans="1:25" x14ac:dyDescent="0.25">
      <c r="A20">
        <v>0.85</v>
      </c>
      <c r="B20">
        <f t="shared" si="3"/>
        <v>0.54463888913667502</v>
      </c>
      <c r="C20">
        <f t="shared" si="11"/>
        <v>55185.535441773594</v>
      </c>
      <c r="D20">
        <f t="shared" si="12"/>
        <v>8.0061916703091232</v>
      </c>
      <c r="E20">
        <f t="shared" si="4"/>
        <v>1.4617835367182999</v>
      </c>
      <c r="F20">
        <f t="shared" si="13"/>
        <v>148115.21685798172</v>
      </c>
      <c r="G20">
        <f t="shared" si="14"/>
        <v>21.488217989759008</v>
      </c>
      <c r="H20">
        <f t="shared" si="5"/>
        <v>3.4931194364018796</v>
      </c>
      <c r="I20">
        <f t="shared" si="15"/>
        <v>353940.32689342042</v>
      </c>
      <c r="J20">
        <f t="shared" si="16"/>
        <v>51.348855715107625</v>
      </c>
      <c r="K20">
        <f t="shared" si="6"/>
        <v>7.5771711406396935</v>
      </c>
      <c r="L20">
        <f t="shared" si="17"/>
        <v>767756.86582531699</v>
      </c>
      <c r="M20">
        <f t="shared" si="18"/>
        <v>111.3844157674035</v>
      </c>
      <c r="N20">
        <f t="shared" si="7"/>
        <v>15.1496090277922</v>
      </c>
      <c r="O20">
        <f t="shared" si="19"/>
        <v>1535034.1347410446</v>
      </c>
      <c r="P20">
        <f t="shared" si="20"/>
        <v>222.69925270854534</v>
      </c>
      <c r="Q20">
        <f t="shared" si="8"/>
        <v>28.262223115378404</v>
      </c>
      <c r="R20">
        <f t="shared" si="21"/>
        <v>2863669.757165717</v>
      </c>
      <c r="S20">
        <f t="shared" si="22"/>
        <v>415.45467979606252</v>
      </c>
      <c r="T20">
        <f t="shared" si="9"/>
        <v>49.684425653295925</v>
      </c>
      <c r="U20">
        <f t="shared" si="23"/>
        <v>5034274.4293202097</v>
      </c>
      <c r="V20">
        <f t="shared" si="24"/>
        <v>730.36105710345009</v>
      </c>
      <c r="W20">
        <f t="shared" si="10"/>
        <v>82.977478075222905</v>
      </c>
      <c r="X20">
        <f t="shared" si="25"/>
        <v>8407692.9659719616</v>
      </c>
      <c r="Y20">
        <f t="shared" si="26"/>
        <v>1219.7689277057766</v>
      </c>
    </row>
    <row r="21" spans="1:25" x14ac:dyDescent="0.25">
      <c r="A21">
        <v>0.9</v>
      </c>
      <c r="B21">
        <f t="shared" si="3"/>
        <v>1.0341033270500755</v>
      </c>
      <c r="C21">
        <f t="shared" si="11"/>
        <v>104780.51961334889</v>
      </c>
      <c r="D21">
        <f t="shared" si="12"/>
        <v>15.201318907636109</v>
      </c>
      <c r="E21">
        <f t="shared" si="4"/>
        <v>2.7754816060666596</v>
      </c>
      <c r="F21">
        <f t="shared" si="13"/>
        <v>281225.67373470427</v>
      </c>
      <c r="G21">
        <f t="shared" si="14"/>
        <v>40.799579609179894</v>
      </c>
      <c r="H21">
        <f t="shared" si="5"/>
        <v>6.6323696361314903</v>
      </c>
      <c r="I21">
        <f t="shared" si="15"/>
        <v>672024.85338102328</v>
      </c>
      <c r="J21">
        <f t="shared" si="16"/>
        <v>97.495833651132898</v>
      </c>
      <c r="K21">
        <f t="shared" si="6"/>
        <v>14.386739622254582</v>
      </c>
      <c r="L21">
        <f t="shared" si="17"/>
        <v>1457736.3922249456</v>
      </c>
      <c r="M21">
        <f t="shared" si="18"/>
        <v>211.48507244714236</v>
      </c>
      <c r="N21">
        <f t="shared" si="7"/>
        <v>28.764492238115569</v>
      </c>
      <c r="O21">
        <f t="shared" si="19"/>
        <v>2914562.17602706</v>
      </c>
      <c r="P21">
        <f t="shared" si="20"/>
        <v>422.83803590029885</v>
      </c>
      <c r="Q21">
        <f t="shared" si="8"/>
        <v>53.661351652232447</v>
      </c>
      <c r="R21">
        <f t="shared" si="21"/>
        <v>5437236.4561624527</v>
      </c>
      <c r="S21">
        <f t="shared" si="22"/>
        <v>788.82186928781698</v>
      </c>
      <c r="T21">
        <f t="shared" si="9"/>
        <v>94.335588029873762</v>
      </c>
      <c r="U21">
        <f t="shared" si="23"/>
        <v>9558553.4571269583</v>
      </c>
      <c r="V21">
        <f t="shared" si="24"/>
        <v>1386.7331440391442</v>
      </c>
      <c r="W21">
        <f t="shared" si="10"/>
        <v>157.54895190064127</v>
      </c>
      <c r="X21">
        <f t="shared" si="25"/>
        <v>15963647.551332477</v>
      </c>
      <c r="Y21">
        <f t="shared" si="26"/>
        <v>2315.9695929394265</v>
      </c>
    </row>
    <row r="22" spans="1:25" x14ac:dyDescent="0.25">
      <c r="A22">
        <v>0.95</v>
      </c>
      <c r="B22">
        <f t="shared" si="3"/>
        <v>6.6477189953225331</v>
      </c>
      <c r="C22">
        <f t="shared" si="11"/>
        <v>673580.12720105564</v>
      </c>
      <c r="D22">
        <f t="shared" si="12"/>
        <v>97.72146923124123</v>
      </c>
      <c r="E22">
        <f t="shared" si="4"/>
        <v>17.842145278122839</v>
      </c>
      <c r="F22">
        <f t="shared" si="13"/>
        <v>1807855.3703057966</v>
      </c>
      <c r="G22">
        <f t="shared" si="14"/>
        <v>262.27953558840574</v>
      </c>
      <c r="H22">
        <f t="shared" si="5"/>
        <v>42.63609685879743</v>
      </c>
      <c r="I22">
        <f t="shared" si="15"/>
        <v>4320102.5142176496</v>
      </c>
      <c r="J22">
        <f t="shared" si="16"/>
        <v>626.75062382432213</v>
      </c>
      <c r="K22">
        <f t="shared" si="6"/>
        <v>92.4849575142986</v>
      </c>
      <c r="L22">
        <f t="shared" si="17"/>
        <v>9371038.3201363049</v>
      </c>
      <c r="M22">
        <f t="shared" si="18"/>
        <v>1359.5288754601893</v>
      </c>
      <c r="N22">
        <f t="shared" si="7"/>
        <v>184.91214218177328</v>
      </c>
      <c r="O22">
        <f t="shared" si="19"/>
        <v>18736222.806568176</v>
      </c>
      <c r="P22">
        <f t="shared" si="20"/>
        <v>2718.208490072067</v>
      </c>
      <c r="Q22">
        <f t="shared" si="8"/>
        <v>344.96126002305527</v>
      </c>
      <c r="R22">
        <f t="shared" si="21"/>
        <v>34953199.671836078</v>
      </c>
      <c r="S22">
        <f t="shared" si="22"/>
        <v>5070.9305223389119</v>
      </c>
      <c r="T22">
        <f t="shared" si="9"/>
        <v>606.43502837385677</v>
      </c>
      <c r="U22">
        <f t="shared" si="23"/>
        <v>61447029.249981038</v>
      </c>
      <c r="V22">
        <f t="shared" si="24"/>
        <v>8914.5949170956937</v>
      </c>
      <c r="W22">
        <f t="shared" si="10"/>
        <v>1012.8012673846969</v>
      </c>
      <c r="X22">
        <f t="shared" si="25"/>
        <v>102622088.41775441</v>
      </c>
      <c r="Y22">
        <f t="shared" si="26"/>
        <v>14888.178630555043</v>
      </c>
    </row>
    <row r="25" spans="1:25" x14ac:dyDescent="0.25">
      <c r="A25" s="1" t="s">
        <v>4</v>
      </c>
      <c r="B25" s="2" t="b">
        <v>0</v>
      </c>
      <c r="C25" s="1"/>
    </row>
    <row r="26" spans="1:25" x14ac:dyDescent="0.25">
      <c r="A26" s="1" t="s">
        <v>5</v>
      </c>
      <c r="B26" s="4" t="s">
        <v>50</v>
      </c>
      <c r="C26" s="1"/>
    </row>
    <row r="27" spans="1:25" x14ac:dyDescent="0.25">
      <c r="A27" s="1" t="s">
        <v>10</v>
      </c>
      <c r="B27" s="3">
        <f>VLOOKUP(B26,'Metal Hydride'!D1:I11,2,FALSE)</f>
        <v>4738.99</v>
      </c>
      <c r="C27" s="1"/>
    </row>
    <row r="28" spans="1:25" x14ac:dyDescent="0.25">
      <c r="A28" s="1" t="s">
        <v>11</v>
      </c>
      <c r="B28" s="3">
        <f>VLOOKUP(B26,'Metal Hydride'!D1:I11,3,FALSE)</f>
        <v>14.073</v>
      </c>
      <c r="C28" s="1"/>
    </row>
    <row r="29" spans="1:25" x14ac:dyDescent="0.25">
      <c r="A29" s="1" t="s">
        <v>1</v>
      </c>
      <c r="B29" s="3">
        <f>VLOOKUP(B26,'Metal Hydride'!D1:I11,4,FALSE)</f>
        <v>0.67500000000000004</v>
      </c>
      <c r="C29" s="1"/>
    </row>
    <row r="30" spans="1:25" x14ac:dyDescent="0.25">
      <c r="A30" s="1" t="s">
        <v>2</v>
      </c>
      <c r="B30" s="3">
        <f>VLOOKUP(B26,'Metal Hydride'!D1:I11,5,FALSE)</f>
        <v>0.1</v>
      </c>
      <c r="C30" s="1"/>
    </row>
    <row r="31" spans="1:25" x14ac:dyDescent="0.25">
      <c r="A31" s="1" t="s">
        <v>3</v>
      </c>
      <c r="B31" s="3">
        <f>VLOOKUP(B26,'Metal Hydride'!D1:I11,6,FALSE)</f>
        <v>2.5000000000000001E-2</v>
      </c>
      <c r="C31" s="1"/>
    </row>
    <row r="32" spans="1:25" x14ac:dyDescent="0.25">
      <c r="A32" s="1" t="s">
        <v>22</v>
      </c>
      <c r="B32" s="3">
        <v>300</v>
      </c>
      <c r="C32" s="1" t="s">
        <v>13</v>
      </c>
    </row>
    <row r="33" spans="1:3" x14ac:dyDescent="0.25">
      <c r="A33" s="1" t="s">
        <v>23</v>
      </c>
      <c r="B33" s="2">
        <v>20</v>
      </c>
      <c r="C33" s="1" t="s">
        <v>13</v>
      </c>
    </row>
    <row r="35" spans="1:3" ht="15.75" thickBot="1" x14ac:dyDescent="0.3"/>
    <row r="36" spans="1:3" ht="15.75" thickTop="1" x14ac:dyDescent="0.25">
      <c r="B36" s="11" t="s">
        <v>45</v>
      </c>
    </row>
    <row r="37" spans="1:3" x14ac:dyDescent="0.25">
      <c r="B37" s="8" t="s">
        <v>46</v>
      </c>
    </row>
    <row r="38" spans="1:3" x14ac:dyDescent="0.25">
      <c r="B38" s="9" t="s">
        <v>47</v>
      </c>
    </row>
    <row r="39" spans="1:3" ht="15.75" thickBot="1" x14ac:dyDescent="0.3">
      <c r="B39" s="10" t="s">
        <v>48</v>
      </c>
    </row>
    <row r="40" spans="1:3" ht="15.75" thickTop="1" x14ac:dyDescent="0.25"/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'Metal Hydride'!$D$2:$D$12</xm:f>
          </x14:formula1>
          <xm:sqref>B26</xm:sqref>
        </x14:dataValidation>
        <x14:dataValidation type="list" allowBlank="1" showInputMessage="1" showErrorMessage="1">
          <x14:formula1>
            <xm:f>'Metal Hydride'!$A$2:$A$3</xm:f>
          </x14:formula1>
          <xm:sqref>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4" sqref="D24"/>
    </sheetView>
  </sheetViews>
  <sheetFormatPr defaultRowHeight="15" x14ac:dyDescent="0.25"/>
  <cols>
    <col min="1" max="1" width="11" customWidth="1"/>
    <col min="4" max="4" width="13.85546875" bestFit="1" customWidth="1"/>
  </cols>
  <sheetData>
    <row r="1" spans="1:9" x14ac:dyDescent="0.25">
      <c r="A1" t="s">
        <v>19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</row>
    <row r="2" spans="1:9" x14ac:dyDescent="0.25">
      <c r="A2" t="b">
        <v>1</v>
      </c>
      <c r="D2" t="s">
        <v>6</v>
      </c>
      <c r="E2">
        <v>4068</v>
      </c>
      <c r="F2">
        <v>12.92</v>
      </c>
      <c r="G2">
        <v>0.3</v>
      </c>
      <c r="H2">
        <v>5.0000000000000001E-3</v>
      </c>
      <c r="I2">
        <v>9.8000000000000004E-2</v>
      </c>
    </row>
    <row r="3" spans="1:9" x14ac:dyDescent="0.25">
      <c r="A3" t="b">
        <v>0</v>
      </c>
      <c r="D3" t="s">
        <v>17</v>
      </c>
      <c r="E3">
        <v>3704.5946600000002</v>
      </c>
      <c r="F3">
        <v>12.99013712</v>
      </c>
      <c r="G3">
        <v>0.13</v>
      </c>
      <c r="H3">
        <v>5.0000000000000001E-3</v>
      </c>
      <c r="I3">
        <v>0.26</v>
      </c>
    </row>
    <row r="4" spans="1:9" x14ac:dyDescent="0.25">
      <c r="D4" t="s">
        <v>18</v>
      </c>
      <c r="E4">
        <v>3298.6458980000002</v>
      </c>
      <c r="F4">
        <v>13.471253307673804</v>
      </c>
      <c r="G4">
        <v>1.1000000000000001</v>
      </c>
      <c r="H4">
        <v>0.01</v>
      </c>
      <c r="I4">
        <v>9.8000000000000004E-2</v>
      </c>
    </row>
    <row r="5" spans="1:9" x14ac:dyDescent="0.25">
      <c r="D5" t="s">
        <v>20</v>
      </c>
      <c r="E5">
        <v>6495.068559057012</v>
      </c>
      <c r="F5">
        <v>16.237671397642529</v>
      </c>
      <c r="G5">
        <v>5.0000000000000001E-3</v>
      </c>
      <c r="H5">
        <v>5.0000000000000001E-3</v>
      </c>
      <c r="I5">
        <v>0.2</v>
      </c>
    </row>
    <row r="6" spans="1:9" x14ac:dyDescent="0.25">
      <c r="D6" t="s">
        <v>21</v>
      </c>
      <c r="E6">
        <v>6013.9523694972331</v>
      </c>
      <c r="F6">
        <v>12.148183786384411</v>
      </c>
      <c r="G6">
        <v>9</v>
      </c>
      <c r="H6">
        <v>1</v>
      </c>
      <c r="I6">
        <v>5.0000000000000001E-3</v>
      </c>
    </row>
    <row r="7" spans="1:9" x14ac:dyDescent="0.25">
      <c r="D7" t="s">
        <v>49</v>
      </c>
      <c r="E7">
        <v>3933.1248500000002</v>
      </c>
      <c r="F7">
        <v>14.433485689999999</v>
      </c>
      <c r="G7">
        <v>0.15</v>
      </c>
      <c r="H7">
        <v>5.0000000000000001E-3</v>
      </c>
      <c r="I7">
        <v>9.8000000000000004E-2</v>
      </c>
    </row>
    <row r="8" spans="1:9" x14ac:dyDescent="0.25">
      <c r="D8" t="s">
        <v>50</v>
      </c>
      <c r="E8">
        <v>4738.99</v>
      </c>
      <c r="F8">
        <v>14.073</v>
      </c>
      <c r="G8">
        <v>0.67500000000000004</v>
      </c>
      <c r="H8">
        <v>0.1</v>
      </c>
      <c r="I8">
        <v>2.5000000000000001E-2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Plot</vt:lpstr>
      <vt:lpstr>Metal Hydride</vt:lpstr>
      <vt:lpstr>Adsorption</vt:lpstr>
      <vt:lpstr>Aval</vt:lpstr>
      <vt:lpstr>beta</vt:lpstr>
      <vt:lpstr>Bval</vt:lpstr>
      <vt:lpstr>deltaT</vt:lpstr>
      <vt:lpstr>Phi</vt:lpstr>
      <vt:lpstr>Phi0</vt:lpstr>
      <vt:lpstr>Temperature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Muller</cp:lastModifiedBy>
  <dcterms:created xsi:type="dcterms:W3CDTF">2014-06-27T14:29:41Z</dcterms:created>
  <dcterms:modified xsi:type="dcterms:W3CDTF">2014-09-10T21:26:42Z</dcterms:modified>
</cp:coreProperties>
</file>