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aubry_a_northeastern_edu/Documents/Northeastern Student Value Fund/1. Pitches (Sector, Industry, Final)/2. Past Pitches/2022 Fall Pitches/Jack + Andrew/Final Pitches/DAR/"/>
    </mc:Choice>
  </mc:AlternateContent>
  <xr:revisionPtr revIDLastSave="0" documentId="8_{6E75414F-1E41-4796-9063-07EAEB836677}" xr6:coauthVersionLast="47" xr6:coauthVersionMax="47" xr10:uidLastSave="{00000000-0000-0000-0000-000000000000}"/>
  <bookViews>
    <workbookView xWindow="0" yWindow="740" windowWidth="29040" windowHeight="17180" xr2:uid="{00000000-000D-0000-FFFF-FFFF00000000}"/>
  </bookViews>
  <sheets>
    <sheet name="Cover Page" sheetId="13" r:id="rId1"/>
    <sheet name="Operating Model" sheetId="4" r:id="rId2"/>
    <sheet name="DCF Analysis" sheetId="6" r:id="rId3"/>
    <sheet name="DAR Revenue Build" sheetId="3" r:id="rId4"/>
    <sheet name="Relative Valuation" sheetId="14" r:id="rId5"/>
    <sheet name="Scenario Analysis" sheetId="16" r:id="rId6"/>
    <sheet name="DGD Revenue Build" sheetId="11" r:id="rId7"/>
    <sheet name="Supporting Schedules" sheetId="2" r:id="rId8"/>
    <sheet name="WACC " sheetId="5" r:id="rId9"/>
    <sheet name="COMPS" sheetId="7" r:id="rId10"/>
    <sheet name="Sheet1" sheetId="10" state="hidden" r:id="rId11"/>
    <sheet name="Commodity Historicals" sheetId="8" r:id="rId12"/>
  </sheets>
  <externalReferences>
    <externalReference r:id="rId1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6" l="1"/>
  <c r="C38" i="6"/>
  <c r="C39" i="6"/>
  <c r="K4" i="16"/>
  <c r="C7" i="16" s="1"/>
  <c r="AP15" i="3"/>
  <c r="M15" i="7"/>
  <c r="L14" i="7"/>
  <c r="L12" i="7"/>
  <c r="F6" i="2"/>
  <c r="K26" i="11"/>
  <c r="K22" i="11"/>
  <c r="C16" i="4" l="1"/>
  <c r="E8" i="2"/>
  <c r="C7" i="6"/>
  <c r="F167" i="4"/>
  <c r="N15" i="7" l="1"/>
  <c r="O15" i="7"/>
  <c r="N14" i="7"/>
  <c r="O14" i="7"/>
  <c r="O17" i="7"/>
  <c r="N17" i="7"/>
  <c r="M17" i="7"/>
  <c r="L17" i="7"/>
  <c r="O10" i="7"/>
  <c r="N10" i="7"/>
  <c r="M10" i="7"/>
  <c r="L10" i="7"/>
  <c r="O8" i="7"/>
  <c r="N8" i="7"/>
  <c r="M8" i="7"/>
  <c r="L8" i="7"/>
  <c r="AF9" i="3"/>
  <c r="AB9" i="3" s="1"/>
  <c r="AK9" i="3" l="1"/>
  <c r="AE9" i="3"/>
  <c r="AD9" i="3"/>
  <c r="AC9" i="3"/>
  <c r="AH9" i="3" l="1"/>
  <c r="AI9" i="3"/>
  <c r="AJ9" i="3"/>
  <c r="AG9" i="3"/>
  <c r="J70" i="14" l="1"/>
  <c r="L55" i="14"/>
  <c r="J55" i="14"/>
  <c r="L16" i="14"/>
  <c r="L61" i="14" s="1"/>
  <c r="L76" i="14" s="1"/>
  <c r="L46" i="14" s="1"/>
  <c r="J16" i="14"/>
  <c r="J31" i="14" s="1"/>
  <c r="L12" i="14"/>
  <c r="L57" i="14" s="1"/>
  <c r="L72" i="14" s="1"/>
  <c r="L42" i="14" s="1"/>
  <c r="L87" i="14" s="1"/>
  <c r="J12" i="14"/>
  <c r="J57" i="14" s="1"/>
  <c r="J72" i="14" s="1"/>
  <c r="J42" i="14" s="1"/>
  <c r="J87" i="14" s="1"/>
  <c r="G4" i="14"/>
  <c r="I153" i="4"/>
  <c r="J153" i="4"/>
  <c r="K153" i="4"/>
  <c r="C13" i="6"/>
  <c r="E51" i="5"/>
  <c r="E43" i="5"/>
  <c r="E44" i="5"/>
  <c r="E45" i="5"/>
  <c r="E46" i="5"/>
  <c r="E47" i="5"/>
  <c r="E48" i="5"/>
  <c r="E49" i="5"/>
  <c r="E42" i="5"/>
  <c r="C53" i="5"/>
  <c r="C51" i="5"/>
  <c r="E25" i="2"/>
  <c r="D25" i="2"/>
  <c r="I100" i="4"/>
  <c r="J100" i="4"/>
  <c r="K100" i="4"/>
  <c r="H100" i="4"/>
  <c r="I96" i="4"/>
  <c r="J96" i="4"/>
  <c r="K96" i="4"/>
  <c r="H96" i="4"/>
  <c r="H105" i="4"/>
  <c r="I105" i="4"/>
  <c r="J105" i="4"/>
  <c r="K105" i="4"/>
  <c r="H120" i="4"/>
  <c r="I120" i="4"/>
  <c r="J120" i="4"/>
  <c r="K120" i="4"/>
  <c r="H121" i="4"/>
  <c r="I121" i="4"/>
  <c r="J121" i="4"/>
  <c r="K121" i="4"/>
  <c r="J173" i="4"/>
  <c r="K173" i="4"/>
  <c r="G147" i="2"/>
  <c r="H115" i="4" s="1"/>
  <c r="H147" i="2"/>
  <c r="I115" i="4" s="1"/>
  <c r="I147" i="2"/>
  <c r="J115" i="4" s="1"/>
  <c r="J162" i="4" s="1"/>
  <c r="J147" i="2"/>
  <c r="K115" i="4" s="1"/>
  <c r="K162" i="4" s="1"/>
  <c r="F147" i="2"/>
  <c r="G115" i="4" s="1"/>
  <c r="G162" i="4" s="1"/>
  <c r="D149" i="2"/>
  <c r="E149" i="2"/>
  <c r="C149" i="2"/>
  <c r="D147" i="2"/>
  <c r="E147" i="2"/>
  <c r="D148" i="2"/>
  <c r="E148" i="2"/>
  <c r="C148" i="2"/>
  <c r="C147" i="2"/>
  <c r="L91" i="14" l="1"/>
  <c r="J27" i="14"/>
  <c r="J61" i="14"/>
  <c r="J76" i="14" s="1"/>
  <c r="J46" i="14" s="1"/>
  <c r="L27" i="14"/>
  <c r="L31" i="14"/>
  <c r="H162" i="4"/>
  <c r="I162" i="4"/>
  <c r="E145" i="2"/>
  <c r="F145" i="2" s="1"/>
  <c r="G145" i="2" s="1"/>
  <c r="D145" i="2"/>
  <c r="C145" i="2"/>
  <c r="E150" i="2"/>
  <c r="C150" i="2"/>
  <c r="D150" i="2"/>
  <c r="J91" i="14" l="1"/>
  <c r="F148" i="2"/>
  <c r="G119" i="4" s="1"/>
  <c r="G163" i="4" s="1"/>
  <c r="I150" i="2"/>
  <c r="J150" i="2"/>
  <c r="H150" i="2"/>
  <c r="G150" i="2"/>
  <c r="F150" i="2"/>
  <c r="H145" i="2"/>
  <c r="G148" i="2"/>
  <c r="H119" i="4" s="1"/>
  <c r="H163" i="4" l="1"/>
  <c r="F149" i="2"/>
  <c r="G107" i="4" s="1"/>
  <c r="G161" i="4"/>
  <c r="I145" i="2"/>
  <c r="H148" i="2"/>
  <c r="I119" i="4" s="1"/>
  <c r="I163" i="4" s="1"/>
  <c r="G149" i="2"/>
  <c r="H107" i="4" s="1"/>
  <c r="H161" i="4" l="1"/>
  <c r="H149" i="2"/>
  <c r="I107" i="4" s="1"/>
  <c r="I161" i="4" s="1"/>
  <c r="J145" i="2"/>
  <c r="J148" i="2" s="1"/>
  <c r="K119" i="4" s="1"/>
  <c r="I148" i="2"/>
  <c r="J119" i="4" s="1"/>
  <c r="J163" i="4" s="1"/>
  <c r="K163" i="4" l="1"/>
  <c r="I149" i="2"/>
  <c r="J107" i="4" s="1"/>
  <c r="J161" i="4" s="1"/>
  <c r="J149" i="2"/>
  <c r="K107" i="4" s="1"/>
  <c r="K161" i="4" l="1"/>
  <c r="S31" i="3" l="1"/>
  <c r="T31" i="3"/>
  <c r="R31" i="3"/>
  <c r="N31" i="3"/>
  <c r="O31" i="3"/>
  <c r="M31" i="3"/>
  <c r="I31" i="3"/>
  <c r="J31" i="3"/>
  <c r="H31" i="3"/>
  <c r="F30" i="3"/>
  <c r="F29" i="3"/>
  <c r="R30" i="3"/>
  <c r="P30" i="3"/>
  <c r="K30" i="3"/>
  <c r="G124" i="4"/>
  <c r="H124" i="4" s="1"/>
  <c r="I124" i="4" s="1"/>
  <c r="J124" i="4" s="1"/>
  <c r="K124" i="4" s="1"/>
  <c r="L35" i="3"/>
  <c r="M35" i="3"/>
  <c r="N35" i="3"/>
  <c r="O35" i="3"/>
  <c r="Q35" i="3"/>
  <c r="R35" i="3"/>
  <c r="S35" i="3"/>
  <c r="T35" i="3"/>
  <c r="G35" i="3"/>
  <c r="H35" i="3"/>
  <c r="I35" i="3"/>
  <c r="J35" i="3"/>
  <c r="C35" i="3"/>
  <c r="D35" i="3"/>
  <c r="E35" i="3"/>
  <c r="B35" i="3"/>
  <c r="G166" i="4"/>
  <c r="C31" i="3"/>
  <c r="D31" i="3"/>
  <c r="E31" i="3"/>
  <c r="B31" i="3"/>
  <c r="K29" i="3"/>
  <c r="G127" i="4"/>
  <c r="H127" i="4" s="1"/>
  <c r="I127" i="4" s="1"/>
  <c r="J127" i="4" s="1"/>
  <c r="K127" i="4" s="1"/>
  <c r="G125" i="4"/>
  <c r="H125" i="4" s="1"/>
  <c r="I125" i="4" s="1"/>
  <c r="J125" i="4" s="1"/>
  <c r="K125" i="4" s="1"/>
  <c r="G105" i="4"/>
  <c r="K31" i="3" l="1"/>
  <c r="K35" i="3"/>
  <c r="F35" i="3"/>
  <c r="L31" i="3"/>
  <c r="M29" i="3"/>
  <c r="T29" i="3"/>
  <c r="S29" i="3"/>
  <c r="R29" i="3"/>
  <c r="M34" i="3"/>
  <c r="M27" i="3" s="1"/>
  <c r="I34" i="3"/>
  <c r="I27" i="3" s="1"/>
  <c r="J34" i="3"/>
  <c r="J27" i="3" s="1"/>
  <c r="H34" i="3"/>
  <c r="H27" i="3" s="1"/>
  <c r="D34" i="3"/>
  <c r="E34" i="3"/>
  <c r="C34" i="3"/>
  <c r="O29" i="3"/>
  <c r="N29" i="3"/>
  <c r="N34" i="3" s="1"/>
  <c r="N27" i="3" s="1"/>
  <c r="K34" i="3"/>
  <c r="K27" i="3" s="1"/>
  <c r="C27" i="3" l="1"/>
  <c r="E27" i="3"/>
  <c r="D27" i="3"/>
  <c r="F34" i="3"/>
  <c r="F31" i="3"/>
  <c r="G31" i="3" s="1"/>
  <c r="P29" i="3"/>
  <c r="O34" i="3"/>
  <c r="O27" i="3" l="1"/>
  <c r="P34" i="3"/>
  <c r="P27" i="3" s="1"/>
  <c r="P31" i="3"/>
  <c r="Q31" i="3" s="1"/>
  <c r="P35" i="3"/>
  <c r="F27" i="3"/>
  <c r="F45" i="2"/>
  <c r="G176" i="4"/>
  <c r="E17" i="2"/>
  <c r="H67" i="2"/>
  <c r="O9" i="7"/>
  <c r="O7" i="7"/>
  <c r="N9" i="7"/>
  <c r="N7" i="7"/>
  <c r="M9" i="7"/>
  <c r="M7" i="7"/>
  <c r="L9" i="7"/>
  <c r="L7" i="7"/>
  <c r="M14" i="7" l="1"/>
  <c r="M13" i="7"/>
  <c r="M12" i="7"/>
  <c r="N13" i="7"/>
  <c r="N12" i="7"/>
  <c r="L13" i="7"/>
  <c r="L15" i="7"/>
  <c r="O13" i="7"/>
  <c r="O12" i="7"/>
  <c r="G171" i="4"/>
  <c r="F51" i="2"/>
  <c r="G50" i="2"/>
  <c r="H169" i="4" s="1"/>
  <c r="H50" i="2"/>
  <c r="I169" i="4" s="1"/>
  <c r="I50" i="2"/>
  <c r="J169" i="4" s="1"/>
  <c r="J50" i="2"/>
  <c r="K169" i="4" s="1"/>
  <c r="F50" i="2"/>
  <c r="G169" i="4" s="1"/>
  <c r="G45" i="2"/>
  <c r="H171" i="4" s="1"/>
  <c r="H46" i="2"/>
  <c r="I172" i="4" s="1"/>
  <c r="I46" i="2"/>
  <c r="J172" i="4" s="1"/>
  <c r="J46" i="2"/>
  <c r="K172" i="4" s="1"/>
  <c r="F46" i="2"/>
  <c r="G172" i="4" s="1"/>
  <c r="I48" i="2"/>
  <c r="G96" i="4"/>
  <c r="G51" i="2"/>
  <c r="H170" i="4" s="1"/>
  <c r="H51" i="2"/>
  <c r="I51" i="2"/>
  <c r="J170" i="4" s="1"/>
  <c r="J51" i="2"/>
  <c r="G79" i="2"/>
  <c r="H79" i="2" s="1"/>
  <c r="I79" i="2" s="1"/>
  <c r="J79" i="2" s="1"/>
  <c r="H75" i="2"/>
  <c r="H45" i="2" s="1"/>
  <c r="I171" i="4" s="1"/>
  <c r="G76" i="2"/>
  <c r="G46" i="2" s="1"/>
  <c r="H172" i="4" s="1"/>
  <c r="F74" i="2"/>
  <c r="F77" i="2" s="1"/>
  <c r="G74" i="2" s="1"/>
  <c r="G70" i="2"/>
  <c r="H70" i="2" s="1"/>
  <c r="I70" i="2" s="1"/>
  <c r="J70" i="2" s="1"/>
  <c r="G88" i="2"/>
  <c r="H88" i="2" s="1"/>
  <c r="I88" i="2" s="1"/>
  <c r="J88" i="2" s="1"/>
  <c r="F65" i="2"/>
  <c r="F68" i="2" s="1"/>
  <c r="G61" i="2"/>
  <c r="H61" i="2" s="1"/>
  <c r="I61" i="2" s="1"/>
  <c r="J61" i="2" s="1"/>
  <c r="F110" i="2"/>
  <c r="F113" i="2" s="1"/>
  <c r="F114" i="2" s="1"/>
  <c r="F116" i="2" s="1"/>
  <c r="F177" i="4"/>
  <c r="F133" i="2"/>
  <c r="G133" i="2" s="1"/>
  <c r="H133" i="2" s="1"/>
  <c r="I133" i="2" s="1"/>
  <c r="J133" i="2" s="1"/>
  <c r="G48" i="2"/>
  <c r="H48" i="2"/>
  <c r="J48" i="2"/>
  <c r="E121" i="2"/>
  <c r="F101" i="2"/>
  <c r="F104" i="2" s="1"/>
  <c r="F92" i="2"/>
  <c r="F95" i="2" s="1"/>
  <c r="F83" i="2"/>
  <c r="F86" i="2" s="1"/>
  <c r="F87" i="2" s="1"/>
  <c r="F89" i="2" s="1"/>
  <c r="F56" i="2"/>
  <c r="F59" i="2" s="1"/>
  <c r="D131" i="2"/>
  <c r="E131" i="2"/>
  <c r="K170" i="4" l="1"/>
  <c r="G118" i="4"/>
  <c r="H118" i="4" s="1"/>
  <c r="I118" i="4" s="1"/>
  <c r="I170" i="4"/>
  <c r="F39" i="2"/>
  <c r="E137" i="2"/>
  <c r="G77" i="2"/>
  <c r="G78" i="2" s="1"/>
  <c r="G80" i="2" s="1"/>
  <c r="I75" i="2"/>
  <c r="H74" i="2"/>
  <c r="H77" i="2" s="1"/>
  <c r="H78" i="2" s="1"/>
  <c r="H80" i="2" s="1"/>
  <c r="F78" i="2"/>
  <c r="F80" i="2" s="1"/>
  <c r="G110" i="2"/>
  <c r="G113" i="2" s="1"/>
  <c r="G114" i="2" s="1"/>
  <c r="G116" i="2" s="1"/>
  <c r="F69" i="2"/>
  <c r="F71" i="2" s="1"/>
  <c r="G65" i="2"/>
  <c r="G68" i="2" s="1"/>
  <c r="E132" i="2"/>
  <c r="E134" i="2" s="1"/>
  <c r="F96" i="2"/>
  <c r="F98" i="2" s="1"/>
  <c r="G92" i="2"/>
  <c r="G95" i="2" s="1"/>
  <c r="G96" i="2" s="1"/>
  <c r="G98" i="2" s="1"/>
  <c r="G56" i="2"/>
  <c r="G59" i="2" s="1"/>
  <c r="G60" i="2" s="1"/>
  <c r="G62" i="2" s="1"/>
  <c r="F60" i="2"/>
  <c r="F62" i="2" s="1"/>
  <c r="F105" i="2"/>
  <c r="F107" i="2" s="1"/>
  <c r="G101" i="2"/>
  <c r="G104" i="2" s="1"/>
  <c r="H101" i="2" s="1"/>
  <c r="H104" i="2" s="1"/>
  <c r="I101" i="2" s="1"/>
  <c r="I104" i="2" s="1"/>
  <c r="J101" i="2" s="1"/>
  <c r="J104" i="2" s="1"/>
  <c r="J105" i="2" s="1"/>
  <c r="J107" i="2" s="1"/>
  <c r="F129" i="2"/>
  <c r="F118" i="2"/>
  <c r="G83" i="2"/>
  <c r="G86" i="2" s="1"/>
  <c r="G87" i="2" s="1"/>
  <c r="G89" i="2" s="1"/>
  <c r="J75" i="2" l="1"/>
  <c r="J45" i="2" s="1"/>
  <c r="K171" i="4" s="1"/>
  <c r="K174" i="4" s="1"/>
  <c r="I45" i="2"/>
  <c r="J171" i="4" s="1"/>
  <c r="J174" i="4" s="1"/>
  <c r="H110" i="2"/>
  <c r="H113" i="2" s="1"/>
  <c r="H114" i="2" s="1"/>
  <c r="H116" i="2" s="1"/>
  <c r="I74" i="2"/>
  <c r="I77" i="2" s="1"/>
  <c r="I78" i="2" s="1"/>
  <c r="I80" i="2" s="1"/>
  <c r="H65" i="2"/>
  <c r="H68" i="2" s="1"/>
  <c r="G105" i="2"/>
  <c r="G107" i="2" s="1"/>
  <c r="G69" i="2"/>
  <c r="G71" i="2" s="1"/>
  <c r="H105" i="2"/>
  <c r="H107" i="2" s="1"/>
  <c r="I105" i="2"/>
  <c r="I107" i="2" s="1"/>
  <c r="F120" i="2"/>
  <c r="H56" i="2"/>
  <c r="H59" i="2" s="1"/>
  <c r="H60" i="2" s="1"/>
  <c r="H62" i="2" s="1"/>
  <c r="H92" i="2"/>
  <c r="H95" i="2" s="1"/>
  <c r="H96" i="2" s="1"/>
  <c r="H98" i="2" s="1"/>
  <c r="H83" i="2"/>
  <c r="H86" i="2" s="1"/>
  <c r="H87" i="2" s="1"/>
  <c r="H89" i="2" s="1"/>
  <c r="J118" i="4" l="1"/>
  <c r="K118" i="4" s="1"/>
  <c r="F48" i="2"/>
  <c r="G170" i="4" s="1"/>
  <c r="I110" i="2"/>
  <c r="I113" i="2" s="1"/>
  <c r="I114" i="2" s="1"/>
  <c r="I116" i="2" s="1"/>
  <c r="J74" i="2"/>
  <c r="J77" i="2" s="1"/>
  <c r="J78" i="2" s="1"/>
  <c r="J80" i="2" s="1"/>
  <c r="I65" i="2"/>
  <c r="I68" i="2" s="1"/>
  <c r="I69" i="2" s="1"/>
  <c r="I71" i="2" s="1"/>
  <c r="H69" i="2"/>
  <c r="H71" i="2" s="1"/>
  <c r="I56" i="2"/>
  <c r="I59" i="2" s="1"/>
  <c r="I60" i="2" s="1"/>
  <c r="I62" i="2" s="1"/>
  <c r="I92" i="2"/>
  <c r="I95" i="2" s="1"/>
  <c r="I96" i="2" s="1"/>
  <c r="I98" i="2" s="1"/>
  <c r="F121" i="2"/>
  <c r="G112" i="4" s="1"/>
  <c r="I83" i="2"/>
  <c r="I86" i="2" s="1"/>
  <c r="J83" i="2" s="1"/>
  <c r="J86" i="2" s="1"/>
  <c r="J87" i="2" s="1"/>
  <c r="J89" i="2" s="1"/>
  <c r="J110" i="2" l="1"/>
  <c r="J113" i="2" s="1"/>
  <c r="J114" i="2" s="1"/>
  <c r="J116" i="2" s="1"/>
  <c r="J65" i="2"/>
  <c r="J68" i="2" s="1"/>
  <c r="J69" i="2" s="1"/>
  <c r="J71" i="2" s="1"/>
  <c r="G118" i="2"/>
  <c r="G121" i="2" s="1"/>
  <c r="H112" i="4" s="1"/>
  <c r="F122" i="2"/>
  <c r="F124" i="2" s="1"/>
  <c r="J92" i="2"/>
  <c r="J95" i="2" s="1"/>
  <c r="J96" i="2" s="1"/>
  <c r="J98" i="2" s="1"/>
  <c r="I87" i="2"/>
  <c r="I89" i="2" s="1"/>
  <c r="J56" i="2"/>
  <c r="J59" i="2" s="1"/>
  <c r="J60" i="2" s="1"/>
  <c r="J62" i="2" s="1"/>
  <c r="F126" i="2" l="1"/>
  <c r="G42" i="4" s="1"/>
  <c r="H118" i="2"/>
  <c r="H121" i="2" s="1"/>
  <c r="I112" i="4" s="1"/>
  <c r="G122" i="2"/>
  <c r="G124" i="2" s="1"/>
  <c r="H122" i="2" l="1"/>
  <c r="H124" i="2" s="1"/>
  <c r="H126" i="2" s="1"/>
  <c r="I42" i="4" s="1"/>
  <c r="G126" i="2"/>
  <c r="H42" i="4" s="1"/>
  <c r="I118" i="2"/>
  <c r="I121" i="2" s="1"/>
  <c r="J112" i="4" s="1"/>
  <c r="J118" i="2" l="1"/>
  <c r="J121" i="2" s="1"/>
  <c r="K112" i="4" s="1"/>
  <c r="I122" i="2"/>
  <c r="I124" i="2" s="1"/>
  <c r="I126" i="2" l="1"/>
  <c r="J42" i="4" s="1"/>
  <c r="J122" i="2"/>
  <c r="J124" i="2" s="1"/>
  <c r="J126" i="2" l="1"/>
  <c r="K42" i="4" s="1"/>
  <c r="AO10" i="3" l="1"/>
  <c r="AN10" i="3"/>
  <c r="AM10" i="3"/>
  <c r="AL10" i="3"/>
  <c r="AF14" i="3"/>
  <c r="AC14" i="3" s="1"/>
  <c r="B5" i="16"/>
  <c r="AA14" i="3"/>
  <c r="Z9" i="3"/>
  <c r="Y9" i="3"/>
  <c r="X9" i="3"/>
  <c r="W9" i="3"/>
  <c r="AF15" i="3"/>
  <c r="AK19" i="3"/>
  <c r="AA19" i="3"/>
  <c r="AA10" i="3"/>
  <c r="AK14" i="3"/>
  <c r="AH14" i="3" s="1"/>
  <c r="S41" i="3"/>
  <c r="T41" i="3"/>
  <c r="U41" i="3"/>
  <c r="R41" i="3"/>
  <c r="E33" i="2"/>
  <c r="E32" i="2" s="1"/>
  <c r="G33" i="2"/>
  <c r="H173" i="4" s="1"/>
  <c r="H174" i="4" s="1"/>
  <c r="H33" i="2"/>
  <c r="I173" i="4" s="1"/>
  <c r="I174" i="4" s="1"/>
  <c r="F33" i="2"/>
  <c r="G173" i="4" s="1"/>
  <c r="G167" i="4"/>
  <c r="G114" i="4"/>
  <c r="H114" i="4" s="1"/>
  <c r="G109" i="4"/>
  <c r="H109" i="4" s="1"/>
  <c r="I109" i="4" s="1"/>
  <c r="J109" i="4" s="1"/>
  <c r="K109" i="4" s="1"/>
  <c r="G108" i="4"/>
  <c r="H108" i="4" s="1"/>
  <c r="I108" i="4" s="1"/>
  <c r="J108" i="4" s="1"/>
  <c r="K108" i="4" s="1"/>
  <c r="G130" i="4"/>
  <c r="H130" i="4" s="1"/>
  <c r="I130" i="4" s="1"/>
  <c r="J130" i="4" s="1"/>
  <c r="K130" i="4" s="1"/>
  <c r="G100" i="4"/>
  <c r="G120" i="4"/>
  <c r="G121" i="4"/>
  <c r="D134" i="4"/>
  <c r="D135" i="4" s="1"/>
  <c r="E134" i="4"/>
  <c r="E135" i="4" s="1"/>
  <c r="F134" i="4"/>
  <c r="F135" i="4" s="1"/>
  <c r="C134" i="4"/>
  <c r="C135" i="4" s="1"/>
  <c r="I114" i="4" l="1"/>
  <c r="G126" i="4"/>
  <c r="H126" i="4" s="1"/>
  <c r="I126" i="4" s="1"/>
  <c r="J126" i="4" s="1"/>
  <c r="K126" i="4" s="1"/>
  <c r="G174" i="4"/>
  <c r="AP10" i="3"/>
  <c r="AB14" i="3"/>
  <c r="J41" i="2"/>
  <c r="I41" i="2"/>
  <c r="H41" i="2"/>
  <c r="G41" i="2"/>
  <c r="F41" i="2"/>
  <c r="F34" i="2"/>
  <c r="AD14" i="3"/>
  <c r="AE14" i="3"/>
  <c r="AA7" i="3"/>
  <c r="W7" i="3" s="1"/>
  <c r="AI14" i="3"/>
  <c r="AJ14" i="3"/>
  <c r="AG14" i="3"/>
  <c r="AP14" i="3"/>
  <c r="AN14" i="3" s="1"/>
  <c r="AN16" i="3" s="1"/>
  <c r="AG19" i="3"/>
  <c r="AP19" i="3"/>
  <c r="AJ19" i="3"/>
  <c r="AI19" i="3"/>
  <c r="AH19" i="3"/>
  <c r="J114" i="4" l="1"/>
  <c r="AL14" i="3"/>
  <c r="AM14" i="3"/>
  <c r="AM16" i="3" s="1"/>
  <c r="Z7" i="3"/>
  <c r="X7" i="3"/>
  <c r="Y7" i="3"/>
  <c r="AO19" i="3"/>
  <c r="AM19" i="3"/>
  <c r="AL19" i="3"/>
  <c r="AN19" i="3"/>
  <c r="AJ16" i="3"/>
  <c r="AO14" i="3"/>
  <c r="AL16" i="3"/>
  <c r="K114" i="4" l="1"/>
  <c r="AO16" i="3"/>
  <c r="AP16" i="3" l="1"/>
  <c r="AG16" i="3" l="1"/>
  <c r="AK15" i="3"/>
  <c r="AI16" i="3"/>
  <c r="AH16" i="3"/>
  <c r="AK10" i="3"/>
  <c r="AF10" i="3"/>
  <c r="AF20" i="3"/>
  <c r="AB16" i="3"/>
  <c r="AA15" i="3"/>
  <c r="Z16" i="3"/>
  <c r="BO11" i="3"/>
  <c r="P14" i="3"/>
  <c r="P15" i="3" s="1"/>
  <c r="O14" i="3"/>
  <c r="O15" i="3" s="1"/>
  <c r="N14" i="3"/>
  <c r="Y16" i="3"/>
  <c r="X16" i="3"/>
  <c r="W16" i="3"/>
  <c r="J19" i="3"/>
  <c r="J20" i="3" s="1"/>
  <c r="I19" i="3"/>
  <c r="H19" i="3"/>
  <c r="P20" i="3"/>
  <c r="O20" i="3"/>
  <c r="N20" i="3"/>
  <c r="M20" i="3"/>
  <c r="U11" i="3"/>
  <c r="V10" i="3"/>
  <c r="V44" i="3"/>
  <c r="U14" i="3"/>
  <c r="T14" i="3"/>
  <c r="T15" i="3" s="1"/>
  <c r="S14" i="3"/>
  <c r="S15" i="3" s="1"/>
  <c r="R14" i="3"/>
  <c r="R15" i="3" s="1"/>
  <c r="P7" i="3"/>
  <c r="Q7" i="3" s="1"/>
  <c r="N9" i="3"/>
  <c r="M9" i="3"/>
  <c r="I10" i="3"/>
  <c r="F7" i="3"/>
  <c r="G7" i="3" s="1"/>
  <c r="K7" i="3"/>
  <c r="K19" i="3" s="1"/>
  <c r="P9" i="3"/>
  <c r="I15" i="3"/>
  <c r="D10" i="3"/>
  <c r="T11" i="3"/>
  <c r="T9" i="3" s="1"/>
  <c r="T19" i="3" s="1"/>
  <c r="T21" i="3"/>
  <c r="R21" i="3"/>
  <c r="S21" i="3"/>
  <c r="S11" i="3"/>
  <c r="S9" i="3" s="1"/>
  <c r="S19" i="3" s="1"/>
  <c r="R11" i="3"/>
  <c r="R9" i="3" s="1"/>
  <c r="D20" i="3"/>
  <c r="F11" i="3"/>
  <c r="F10" i="3" s="1"/>
  <c r="E11" i="3"/>
  <c r="E10" i="3" s="1"/>
  <c r="C11" i="3"/>
  <c r="C10" i="3" s="1"/>
  <c r="F16" i="3"/>
  <c r="E16" i="3"/>
  <c r="C16" i="3"/>
  <c r="F21" i="3"/>
  <c r="F20" i="3" s="1"/>
  <c r="E21" i="3"/>
  <c r="E20" i="3" s="1"/>
  <c r="C21" i="3"/>
  <c r="C20" i="3" s="1"/>
  <c r="K11" i="3"/>
  <c r="K10" i="3" s="1"/>
  <c r="J11" i="3"/>
  <c r="J10" i="3" s="1"/>
  <c r="K16" i="3"/>
  <c r="K15" i="3" s="1"/>
  <c r="J16" i="3"/>
  <c r="J15" i="3" s="1"/>
  <c r="K21" i="3"/>
  <c r="I21" i="3"/>
  <c r="I20" i="3" s="1"/>
  <c r="H21" i="3"/>
  <c r="H16" i="3"/>
  <c r="H15" i="3" s="1"/>
  <c r="H11" i="3"/>
  <c r="H10" i="3" s="1"/>
  <c r="G23" i="3"/>
  <c r="Q11" i="11"/>
  <c r="R19" i="3" l="1"/>
  <c r="V9" i="3"/>
  <c r="U15" i="3"/>
  <c r="U16" i="3" s="1"/>
  <c r="V16" i="3" s="1"/>
  <c r="V19" i="3"/>
  <c r="AK16" i="3"/>
  <c r="AC16" i="3"/>
  <c r="AE16" i="3"/>
  <c r="S20" i="3"/>
  <c r="T20" i="3"/>
  <c r="L15" i="3"/>
  <c r="AA16" i="3"/>
  <c r="V15" i="3"/>
  <c r="L7" i="3"/>
  <c r="K20" i="3"/>
  <c r="V11" i="3"/>
  <c r="O9" i="3"/>
  <c r="C15" i="3"/>
  <c r="E15" i="3"/>
  <c r="F15" i="3"/>
  <c r="D15" i="3"/>
  <c r="K27" i="11"/>
  <c r="C9" i="6"/>
  <c r="N27" i="11"/>
  <c r="I21" i="11"/>
  <c r="F22" i="11"/>
  <c r="K91" i="11"/>
  <c r="K28" i="11"/>
  <c r="L28" i="11"/>
  <c r="M28" i="11"/>
  <c r="N28" i="11"/>
  <c r="G30" i="11"/>
  <c r="O26" i="11"/>
  <c r="E33" i="5"/>
  <c r="E35" i="5" s="1"/>
  <c r="E36" i="5" s="1"/>
  <c r="E37" i="5" s="1"/>
  <c r="C29" i="5" s="1"/>
  <c r="C30" i="5" s="1"/>
  <c r="I29" i="11"/>
  <c r="I28" i="11"/>
  <c r="J28" i="11" s="1"/>
  <c r="H28" i="11"/>
  <c r="G28" i="11"/>
  <c r="F28" i="11"/>
  <c r="E28" i="11"/>
  <c r="D28" i="11"/>
  <c r="C28" i="11"/>
  <c r="I27" i="11"/>
  <c r="I26" i="11"/>
  <c r="H22" i="11"/>
  <c r="J22" i="11" s="1"/>
  <c r="J21" i="11" s="1"/>
  <c r="G22" i="11"/>
  <c r="G29" i="11" s="1"/>
  <c r="F27" i="11"/>
  <c r="E22" i="11"/>
  <c r="E27" i="11" s="1"/>
  <c r="D22" i="11"/>
  <c r="D27" i="11" s="1"/>
  <c r="C22" i="11"/>
  <c r="C29" i="11" s="1"/>
  <c r="I14" i="11"/>
  <c r="I16" i="11" s="1"/>
  <c r="I19" i="11" s="1"/>
  <c r="H14" i="11"/>
  <c r="H23" i="11" s="1"/>
  <c r="G14" i="11"/>
  <c r="G23" i="11" s="1"/>
  <c r="G25" i="11" s="1"/>
  <c r="F14" i="11"/>
  <c r="F16" i="11" s="1"/>
  <c r="E14" i="11"/>
  <c r="E16" i="11" s="1"/>
  <c r="D14" i="11"/>
  <c r="D23" i="11" s="1"/>
  <c r="D25" i="11" s="1"/>
  <c r="C14" i="11"/>
  <c r="C23" i="11" s="1"/>
  <c r="C25" i="11" s="1"/>
  <c r="D9" i="11"/>
  <c r="E9" i="11" s="1"/>
  <c r="F9" i="11" s="1"/>
  <c r="H9" i="11" s="1"/>
  <c r="K38" i="6"/>
  <c r="L38" i="6" s="1"/>
  <c r="I38" i="6"/>
  <c r="H38" i="6" s="1"/>
  <c r="M10" i="2"/>
  <c r="M12" i="2" s="1"/>
  <c r="E6" i="2" s="1"/>
  <c r="E23" i="2"/>
  <c r="L19" i="3"/>
  <c r="H20" i="3" s="1"/>
  <c r="E5" i="2"/>
  <c r="H24" i="8"/>
  <c r="H14" i="8"/>
  <c r="F14" i="8"/>
  <c r="C13" i="5"/>
  <c r="G52" i="6"/>
  <c r="G51" i="6" s="1"/>
  <c r="G54" i="6"/>
  <c r="G55" i="6" s="1"/>
  <c r="I50" i="6"/>
  <c r="H50" i="6" s="1"/>
  <c r="K50" i="6"/>
  <c r="L50" i="6" s="1"/>
  <c r="G40" i="6"/>
  <c r="G39" i="6" s="1"/>
  <c r="F70" i="4"/>
  <c r="C35" i="16" s="1"/>
  <c r="F71" i="4"/>
  <c r="C36" i="16" s="1"/>
  <c r="F82" i="4"/>
  <c r="D19" i="4"/>
  <c r="D75" i="4" s="1"/>
  <c r="E19" i="4"/>
  <c r="E75" i="4" s="1"/>
  <c r="C20" i="4"/>
  <c r="C76" i="4" s="1"/>
  <c r="D20" i="4"/>
  <c r="D76" i="4" s="1"/>
  <c r="E20" i="4"/>
  <c r="E76" i="4" s="1"/>
  <c r="C21" i="4"/>
  <c r="C77" i="4" s="1"/>
  <c r="D21" i="4"/>
  <c r="D77" i="4" s="1"/>
  <c r="E21" i="4"/>
  <c r="E77" i="4" s="1"/>
  <c r="F19" i="4"/>
  <c r="F75" i="4" s="1"/>
  <c r="F20" i="4"/>
  <c r="F76" i="4" s="1"/>
  <c r="F21" i="4"/>
  <c r="F77" i="4" s="1"/>
  <c r="Q27" i="3"/>
  <c r="V27" i="3" s="1"/>
  <c r="F65" i="4"/>
  <c r="E65" i="4"/>
  <c r="D65" i="4"/>
  <c r="G27" i="3"/>
  <c r="G32" i="3" s="1"/>
  <c r="L27" i="3"/>
  <c r="AA41" i="3"/>
  <c r="Q42" i="3"/>
  <c r="V42" i="3" s="1"/>
  <c r="AA45" i="3"/>
  <c r="AF45" i="3" s="1"/>
  <c r="AK45" i="3" s="1"/>
  <c r="AP45" i="3" s="1"/>
  <c r="AF44" i="3"/>
  <c r="L23" i="3"/>
  <c r="L50" i="3"/>
  <c r="L51" i="3"/>
  <c r="G49" i="3"/>
  <c r="G50" i="3"/>
  <c r="G51" i="3"/>
  <c r="Q23" i="3"/>
  <c r="Q50" i="3"/>
  <c r="Q51" i="3"/>
  <c r="B50" i="3"/>
  <c r="B51" i="3"/>
  <c r="F69" i="4"/>
  <c r="C34" i="16" s="1"/>
  <c r="D29" i="4"/>
  <c r="D145" i="4" s="1"/>
  <c r="D16" i="4"/>
  <c r="D140" i="4" s="1"/>
  <c r="E29" i="4"/>
  <c r="E145" i="4" s="1"/>
  <c r="E16" i="4"/>
  <c r="E140" i="4" s="1"/>
  <c r="F29" i="4"/>
  <c r="F145" i="4" s="1"/>
  <c r="F16" i="4"/>
  <c r="F140" i="4" s="1"/>
  <c r="G140" i="4" s="1"/>
  <c r="C29" i="4"/>
  <c r="C145" i="4" s="1"/>
  <c r="C13" i="4"/>
  <c r="C19" i="4" s="1"/>
  <c r="C75" i="4" s="1"/>
  <c r="F83" i="4"/>
  <c r="F81" i="4"/>
  <c r="C37" i="16" s="1"/>
  <c r="C10" i="4"/>
  <c r="E144" i="4"/>
  <c r="D10" i="4"/>
  <c r="E10" i="4"/>
  <c r="F10" i="4"/>
  <c r="D10" i="14" s="1"/>
  <c r="D23" i="2"/>
  <c r="D22" i="2"/>
  <c r="H33" i="4"/>
  <c r="I33" i="4" s="1"/>
  <c r="J33" i="4" s="1"/>
  <c r="K33" i="4" s="1"/>
  <c r="H35" i="4"/>
  <c r="I35" i="4" s="1"/>
  <c r="J35" i="4" s="1"/>
  <c r="K35" i="4" s="1"/>
  <c r="H88" i="4"/>
  <c r="H49" i="4"/>
  <c r="I49" i="4" s="1"/>
  <c r="J49" i="4" s="1"/>
  <c r="K49" i="4" s="1"/>
  <c r="H90" i="4"/>
  <c r="I90" i="4" s="1"/>
  <c r="J90" i="4" s="1"/>
  <c r="K90" i="4" s="1"/>
  <c r="BO12" i="3"/>
  <c r="BP12" i="3" s="1"/>
  <c r="C27" i="6"/>
  <c r="C8" i="5"/>
  <c r="G32" i="2" s="1"/>
  <c r="C53" i="6"/>
  <c r="G7" i="10"/>
  <c r="G54" i="4"/>
  <c r="H54" i="4" s="1"/>
  <c r="BO15" i="3"/>
  <c r="B28" i="3"/>
  <c r="B42" i="3"/>
  <c r="L13" i="8"/>
  <c r="E13" i="8"/>
  <c r="AK3" i="8"/>
  <c r="M14" i="8"/>
  <c r="M15" i="8"/>
  <c r="M16" i="8"/>
  <c r="M17" i="8"/>
  <c r="M18" i="8"/>
  <c r="M19" i="8"/>
  <c r="M13" i="8"/>
  <c r="N14" i="8"/>
  <c r="N15" i="8"/>
  <c r="N16" i="8"/>
  <c r="N17" i="8"/>
  <c r="N18" i="8"/>
  <c r="N19" i="8"/>
  <c r="N13" i="8"/>
  <c r="L14" i="8"/>
  <c r="L15" i="8"/>
  <c r="L16" i="8"/>
  <c r="L17" i="8"/>
  <c r="L18" i="8"/>
  <c r="L19" i="8"/>
  <c r="I13" i="8"/>
  <c r="M23" i="8"/>
  <c r="J23" i="8"/>
  <c r="L23" i="8"/>
  <c r="L24" i="8"/>
  <c r="M24" i="8"/>
  <c r="N24" i="8"/>
  <c r="L25" i="8"/>
  <c r="M25" i="8"/>
  <c r="N25" i="8"/>
  <c r="L26" i="8"/>
  <c r="M26" i="8"/>
  <c r="N26" i="8"/>
  <c r="L27" i="8"/>
  <c r="M27" i="8"/>
  <c r="N27" i="8"/>
  <c r="L28" i="8"/>
  <c r="M28" i="8"/>
  <c r="N28" i="8"/>
  <c r="L29" i="8"/>
  <c r="M29" i="8"/>
  <c r="N29" i="8"/>
  <c r="N23" i="8"/>
  <c r="D25" i="8"/>
  <c r="E15" i="8"/>
  <c r="E25" i="8"/>
  <c r="F15" i="8"/>
  <c r="F25" i="8"/>
  <c r="G15" i="8"/>
  <c r="G25" i="8"/>
  <c r="H15" i="8"/>
  <c r="H25" i="8"/>
  <c r="I15" i="8"/>
  <c r="I25" i="8"/>
  <c r="J15" i="8"/>
  <c r="J25" i="8"/>
  <c r="K15" i="8"/>
  <c r="K25" i="8"/>
  <c r="D26" i="8"/>
  <c r="E16" i="8"/>
  <c r="E26" i="8"/>
  <c r="F16" i="8"/>
  <c r="F26" i="8"/>
  <c r="G16" i="8"/>
  <c r="G26" i="8"/>
  <c r="H16" i="8"/>
  <c r="H26" i="8"/>
  <c r="I16" i="8"/>
  <c r="I26" i="8"/>
  <c r="J16" i="8"/>
  <c r="J26" i="8"/>
  <c r="K16" i="8"/>
  <c r="K26" i="8"/>
  <c r="D27" i="8"/>
  <c r="E17" i="8"/>
  <c r="E27" i="8"/>
  <c r="F17" i="8"/>
  <c r="F27" i="8"/>
  <c r="G17" i="8"/>
  <c r="G27" i="8"/>
  <c r="H17" i="8"/>
  <c r="H27" i="8"/>
  <c r="I17" i="8"/>
  <c r="I27" i="8"/>
  <c r="J17" i="8"/>
  <c r="J27" i="8"/>
  <c r="K17" i="8"/>
  <c r="K27" i="8"/>
  <c r="D28" i="8"/>
  <c r="E18" i="8"/>
  <c r="E28" i="8"/>
  <c r="F18" i="8"/>
  <c r="F28" i="8"/>
  <c r="G18" i="8"/>
  <c r="G28" i="8"/>
  <c r="H18" i="8"/>
  <c r="H28" i="8"/>
  <c r="I18" i="8"/>
  <c r="I28" i="8"/>
  <c r="J18" i="8"/>
  <c r="J28" i="8"/>
  <c r="K18" i="8"/>
  <c r="K28" i="8"/>
  <c r="D29" i="8"/>
  <c r="E19" i="8"/>
  <c r="E29" i="8"/>
  <c r="F19" i="8"/>
  <c r="F29" i="8"/>
  <c r="G19" i="8"/>
  <c r="G29" i="8"/>
  <c r="H19" i="8"/>
  <c r="H29" i="8"/>
  <c r="I19" i="8"/>
  <c r="I29" i="8"/>
  <c r="J19" i="8"/>
  <c r="J29" i="8"/>
  <c r="K19" i="8"/>
  <c r="K29" i="8"/>
  <c r="D24" i="8"/>
  <c r="E14" i="8"/>
  <c r="E24" i="8"/>
  <c r="F24" i="8"/>
  <c r="G14" i="8"/>
  <c r="G24" i="8"/>
  <c r="I14" i="8"/>
  <c r="I24" i="8"/>
  <c r="J14" i="8"/>
  <c r="J24" i="8"/>
  <c r="K14" i="8"/>
  <c r="K24" i="8"/>
  <c r="C24" i="8"/>
  <c r="C25" i="8"/>
  <c r="C26" i="8"/>
  <c r="C27" i="8"/>
  <c r="C28" i="8"/>
  <c r="C29" i="8"/>
  <c r="C13" i="8"/>
  <c r="C23" i="8"/>
  <c r="D13" i="8"/>
  <c r="D23" i="8"/>
  <c r="E23" i="8"/>
  <c r="F13" i="8"/>
  <c r="F23" i="8"/>
  <c r="G13" i="8"/>
  <c r="G23" i="8"/>
  <c r="H13" i="8"/>
  <c r="H23" i="8"/>
  <c r="I23" i="8"/>
  <c r="J13" i="8"/>
  <c r="K13" i="8"/>
  <c r="K23" i="8"/>
  <c r="C14" i="8"/>
  <c r="C15" i="8"/>
  <c r="C16" i="8"/>
  <c r="C17" i="8"/>
  <c r="C18" i="8"/>
  <c r="C19" i="8"/>
  <c r="D14" i="8"/>
  <c r="D15" i="8"/>
  <c r="D16" i="8"/>
  <c r="D17" i="8"/>
  <c r="D18" i="8"/>
  <c r="D19" i="8"/>
  <c r="AN4" i="8"/>
  <c r="AN5" i="8"/>
  <c r="AN6" i="8"/>
  <c r="AN7" i="8"/>
  <c r="AN8" i="8"/>
  <c r="AN9" i="8"/>
  <c r="AN3" i="8"/>
  <c r="AK4" i="8"/>
  <c r="AK5" i="8"/>
  <c r="AK6" i="8"/>
  <c r="AK7" i="8"/>
  <c r="AK8" i="8"/>
  <c r="AK9" i="8"/>
  <c r="AF4" i="8"/>
  <c r="AF5" i="8"/>
  <c r="AF6" i="8"/>
  <c r="AF7" i="8"/>
  <c r="AF8" i="8"/>
  <c r="AF9" i="8"/>
  <c r="AF3" i="8"/>
  <c r="AA4" i="8"/>
  <c r="AA5" i="8"/>
  <c r="AA6" i="8"/>
  <c r="AA7" i="8"/>
  <c r="AA8" i="8"/>
  <c r="AA9" i="8"/>
  <c r="AA3" i="8"/>
  <c r="V4" i="8"/>
  <c r="V5" i="8"/>
  <c r="V6" i="8"/>
  <c r="V7" i="8"/>
  <c r="V8" i="8"/>
  <c r="V9" i="8"/>
  <c r="V3" i="8"/>
  <c r="Q4" i="8"/>
  <c r="Q5" i="8"/>
  <c r="Q6" i="8"/>
  <c r="Q7" i="8"/>
  <c r="Q8" i="8"/>
  <c r="Q9" i="8"/>
  <c r="Q3" i="8"/>
  <c r="L4" i="8"/>
  <c r="L5" i="8"/>
  <c r="L6" i="8"/>
  <c r="L7" i="8"/>
  <c r="L8" i="8"/>
  <c r="L9" i="8"/>
  <c r="L3" i="8"/>
  <c r="G4" i="8"/>
  <c r="G5" i="8"/>
  <c r="G6" i="8"/>
  <c r="G7" i="8"/>
  <c r="G8" i="8"/>
  <c r="G9" i="8"/>
  <c r="G3" i="8"/>
  <c r="D81" i="4"/>
  <c r="E81" i="4"/>
  <c r="D82" i="4"/>
  <c r="E82" i="4"/>
  <c r="D83" i="4"/>
  <c r="E83" i="4"/>
  <c r="C83" i="4"/>
  <c r="C82" i="4"/>
  <c r="C81" i="4"/>
  <c r="C71" i="4"/>
  <c r="D70" i="4"/>
  <c r="E70" i="4"/>
  <c r="C70" i="4"/>
  <c r="D69" i="4"/>
  <c r="E69" i="4"/>
  <c r="D71" i="4"/>
  <c r="E71" i="4"/>
  <c r="G42" i="3"/>
  <c r="L42" i="3"/>
  <c r="L44" i="3"/>
  <c r="Q44" i="3"/>
  <c r="G44" i="3"/>
  <c r="G37" i="3"/>
  <c r="L37" i="3"/>
  <c r="Q37" i="3"/>
  <c r="V38" i="3" s="1"/>
  <c r="B37" i="3"/>
  <c r="C17" i="5"/>
  <c r="C65" i="6" s="1"/>
  <c r="C67" i="6" s="1"/>
  <c r="F66" i="4"/>
  <c r="E66" i="4"/>
  <c r="D66" i="4"/>
  <c r="F64" i="4"/>
  <c r="E64" i="4"/>
  <c r="D64" i="4"/>
  <c r="E47" i="4"/>
  <c r="D47" i="4"/>
  <c r="C47" i="4"/>
  <c r="F47" i="4"/>
  <c r="I54" i="4" l="1"/>
  <c r="J54" i="4" s="1"/>
  <c r="K54" i="4" s="1"/>
  <c r="C46" i="16"/>
  <c r="C9" i="16"/>
  <c r="V7" i="3"/>
  <c r="L11" i="14"/>
  <c r="L15" i="14" s="1"/>
  <c r="L17" i="14" s="1"/>
  <c r="L18" i="14" s="1"/>
  <c r="J11" i="14"/>
  <c r="J15" i="14" s="1"/>
  <c r="J17" i="14" s="1"/>
  <c r="J18" i="14" s="1"/>
  <c r="D142" i="4"/>
  <c r="D24" i="2"/>
  <c r="E22" i="2"/>
  <c r="E24" i="2" s="1"/>
  <c r="E18" i="2"/>
  <c r="C38" i="16"/>
  <c r="C50" i="16" s="1"/>
  <c r="T42" i="3"/>
  <c r="T43" i="3" s="1"/>
  <c r="U42" i="3"/>
  <c r="U43" i="3" s="1"/>
  <c r="R42" i="3"/>
  <c r="R43" i="3" s="1"/>
  <c r="S42" i="3"/>
  <c r="S43" i="3" s="1"/>
  <c r="Y41" i="3"/>
  <c r="Z41" i="3"/>
  <c r="W41" i="3"/>
  <c r="X41" i="3"/>
  <c r="E37" i="16"/>
  <c r="G42" i="6"/>
  <c r="G43" i="6" s="1"/>
  <c r="C12" i="6"/>
  <c r="C45" i="6" s="1"/>
  <c r="E35" i="2"/>
  <c r="F35" i="2" s="1"/>
  <c r="C22" i="16"/>
  <c r="G69" i="4" s="1"/>
  <c r="D34" i="16"/>
  <c r="D46" i="16" s="1"/>
  <c r="C24" i="16"/>
  <c r="C11" i="16" s="1"/>
  <c r="G71" i="4" s="1"/>
  <c r="C48" i="16"/>
  <c r="D36" i="16"/>
  <c r="D35" i="16"/>
  <c r="C23" i="16"/>
  <c r="C10" i="16" s="1"/>
  <c r="G70" i="4" s="1"/>
  <c r="C47" i="16"/>
  <c r="G34" i="2"/>
  <c r="H32" i="2"/>
  <c r="N10" i="2"/>
  <c r="E9" i="2" s="1"/>
  <c r="F11" i="2" s="1"/>
  <c r="F8" i="2"/>
  <c r="H8" i="2"/>
  <c r="I8" i="2"/>
  <c r="G8" i="2"/>
  <c r="J8" i="2"/>
  <c r="F37" i="4"/>
  <c r="F141" i="4"/>
  <c r="G141" i="4" s="1"/>
  <c r="H141" i="4" s="1"/>
  <c r="D37" i="4"/>
  <c r="D141" i="4"/>
  <c r="C37" i="4"/>
  <c r="C141" i="4"/>
  <c r="E37" i="4"/>
  <c r="E141" i="4"/>
  <c r="D85" i="4"/>
  <c r="C69" i="4"/>
  <c r="C84" i="4"/>
  <c r="F84" i="4"/>
  <c r="E72" i="4"/>
  <c r="E22" i="4"/>
  <c r="E78" i="4" s="1"/>
  <c r="E87" i="4"/>
  <c r="D88" i="4"/>
  <c r="D144" i="4"/>
  <c r="E88" i="4"/>
  <c r="C87" i="4"/>
  <c r="D22" i="4"/>
  <c r="D78" i="4" s="1"/>
  <c r="E142" i="4"/>
  <c r="F144" i="4"/>
  <c r="AD16" i="3"/>
  <c r="G15" i="3"/>
  <c r="D72" i="4"/>
  <c r="C85" i="4"/>
  <c r="C88" i="4"/>
  <c r="F87" i="4"/>
  <c r="E84" i="4"/>
  <c r="F85" i="4"/>
  <c r="F88" i="4"/>
  <c r="D84" i="4"/>
  <c r="E85" i="4"/>
  <c r="D87" i="4"/>
  <c r="F72" i="4"/>
  <c r="C139" i="4"/>
  <c r="Q49" i="3"/>
  <c r="Q52" i="3" s="1"/>
  <c r="L20" i="3"/>
  <c r="G19" i="3"/>
  <c r="G20" i="3" s="1"/>
  <c r="L49" i="3"/>
  <c r="L52" i="3" s="1"/>
  <c r="G45" i="3"/>
  <c r="G28" i="3"/>
  <c r="G33" i="3" s="1"/>
  <c r="Q32" i="3"/>
  <c r="Q45" i="3"/>
  <c r="L32" i="3"/>
  <c r="AF41" i="3"/>
  <c r="AK44" i="3"/>
  <c r="AP44" i="3" s="1"/>
  <c r="L28" i="3"/>
  <c r="G52" i="3"/>
  <c r="B49" i="3"/>
  <c r="B52" i="3" s="1"/>
  <c r="AA42" i="3"/>
  <c r="L45" i="3"/>
  <c r="Q28" i="3"/>
  <c r="V28" i="3" s="1"/>
  <c r="V29" i="3" s="1"/>
  <c r="C16" i="5"/>
  <c r="C18" i="5" s="1"/>
  <c r="C19" i="5" s="1"/>
  <c r="C8" i="6" s="1"/>
  <c r="C57" i="6"/>
  <c r="C43" i="6"/>
  <c r="F139" i="4"/>
  <c r="G139" i="4" s="1"/>
  <c r="C142" i="4"/>
  <c r="L22" i="11"/>
  <c r="M22" i="11" s="1"/>
  <c r="N22" i="11" s="1"/>
  <c r="I23" i="11"/>
  <c r="I25" i="11" s="1"/>
  <c r="I88" i="4"/>
  <c r="J88" i="4" s="1"/>
  <c r="K88" i="4" s="1"/>
  <c r="D139" i="4"/>
  <c r="F142" i="4"/>
  <c r="F22" i="4"/>
  <c r="F78" i="4" s="1"/>
  <c r="E139" i="4"/>
  <c r="E23" i="11"/>
  <c r="E25" i="11" s="1"/>
  <c r="H16" i="11"/>
  <c r="H19" i="11" s="1"/>
  <c r="F23" i="11"/>
  <c r="F25" i="11" s="1"/>
  <c r="D16" i="11"/>
  <c r="E29" i="11"/>
  <c r="H25" i="11"/>
  <c r="C26" i="11"/>
  <c r="G26" i="11"/>
  <c r="C27" i="11"/>
  <c r="G27" i="11"/>
  <c r="D29" i="11"/>
  <c r="H29" i="11"/>
  <c r="J29" i="11" s="1"/>
  <c r="D26" i="11"/>
  <c r="H26" i="11"/>
  <c r="J26" i="11" s="1"/>
  <c r="H27" i="11"/>
  <c r="K76" i="11" s="1"/>
  <c r="C16" i="11"/>
  <c r="G16" i="11"/>
  <c r="G19" i="11" s="1"/>
  <c r="J13" i="11"/>
  <c r="E26" i="11"/>
  <c r="F29" i="11"/>
  <c r="F26" i="11"/>
  <c r="I141" i="4" l="1"/>
  <c r="S34" i="3"/>
  <c r="U29" i="3"/>
  <c r="R34" i="3"/>
  <c r="T34" i="3"/>
  <c r="F24" i="2"/>
  <c r="F9" i="2"/>
  <c r="E38" i="16"/>
  <c r="E26" i="16" s="1"/>
  <c r="E13" i="16" s="1"/>
  <c r="I82" i="4" s="1"/>
  <c r="C26" i="16"/>
  <c r="C13" i="16" s="1"/>
  <c r="G82" i="4" s="1"/>
  <c r="D38" i="16"/>
  <c r="D26" i="16" s="1"/>
  <c r="D13" i="16" s="1"/>
  <c r="H82" i="4" s="1"/>
  <c r="G38" i="16"/>
  <c r="G50" i="16" s="1"/>
  <c r="F37" i="16"/>
  <c r="F25" i="16" s="1"/>
  <c r="F12" i="16" s="1"/>
  <c r="J81" i="4" s="1"/>
  <c r="F38" i="16"/>
  <c r="F26" i="16" s="1"/>
  <c r="F13" i="16" s="1"/>
  <c r="J82" i="4" s="1"/>
  <c r="G37" i="16"/>
  <c r="G49" i="16" s="1"/>
  <c r="C25" i="16"/>
  <c r="C12" i="16" s="1"/>
  <c r="G81" i="4" s="1"/>
  <c r="D37" i="16"/>
  <c r="D25" i="16" s="1"/>
  <c r="D12" i="16" s="1"/>
  <c r="H81" i="4" s="1"/>
  <c r="C49" i="16"/>
  <c r="T37" i="3"/>
  <c r="Y42" i="3"/>
  <c r="Y43" i="3" s="1"/>
  <c r="Z42" i="3"/>
  <c r="Z43" i="3" s="1"/>
  <c r="W42" i="3"/>
  <c r="W43" i="3" s="1"/>
  <c r="X42" i="3"/>
  <c r="X43" i="3" s="1"/>
  <c r="S37" i="3"/>
  <c r="U28" i="3"/>
  <c r="R28" i="3"/>
  <c r="S28" i="3"/>
  <c r="T28" i="3"/>
  <c r="AD41" i="3"/>
  <c r="AC41" i="3"/>
  <c r="AE41" i="3"/>
  <c r="AB41" i="3"/>
  <c r="V43" i="3"/>
  <c r="V51" i="3" s="1"/>
  <c r="C59" i="6"/>
  <c r="G35" i="2"/>
  <c r="D48" i="16"/>
  <c r="D24" i="16"/>
  <c r="D11" i="16" s="1"/>
  <c r="H71" i="4" s="1"/>
  <c r="E36" i="16"/>
  <c r="E49" i="16"/>
  <c r="E25" i="16"/>
  <c r="E12" i="16" s="1"/>
  <c r="I81" i="4" s="1"/>
  <c r="C39" i="16"/>
  <c r="C40" i="16"/>
  <c r="D23" i="16"/>
  <c r="D10" i="16" s="1"/>
  <c r="H70" i="4" s="1"/>
  <c r="E35" i="16"/>
  <c r="D47" i="16"/>
  <c r="D22" i="16"/>
  <c r="D9" i="16" s="1"/>
  <c r="H69" i="4" s="1"/>
  <c r="E34" i="16"/>
  <c r="E46" i="16" s="1"/>
  <c r="I32" i="2"/>
  <c r="H34" i="2"/>
  <c r="C144" i="4"/>
  <c r="G144" i="4" s="1"/>
  <c r="H144" i="4" s="1"/>
  <c r="I144" i="4" s="1"/>
  <c r="C140" i="4"/>
  <c r="H140" i="4" s="1"/>
  <c r="H139" i="4"/>
  <c r="E39" i="4"/>
  <c r="E51" i="4" s="1"/>
  <c r="G145" i="4"/>
  <c r="D39" i="4"/>
  <c r="C72" i="4"/>
  <c r="G142" i="4"/>
  <c r="H142" i="4" s="1"/>
  <c r="I142" i="4" s="1"/>
  <c r="J142" i="4" s="1"/>
  <c r="K142" i="4" s="1"/>
  <c r="C22" i="4"/>
  <c r="AF16" i="3"/>
  <c r="AK41" i="3"/>
  <c r="AP32" i="3"/>
  <c r="AF32" i="3"/>
  <c r="L33" i="3"/>
  <c r="AF33" i="3" s="1"/>
  <c r="AK33" i="3" s="1"/>
  <c r="AP33" i="3" s="1"/>
  <c r="AA32" i="3"/>
  <c r="AA27" i="3" s="1"/>
  <c r="AK32" i="3"/>
  <c r="Q53" i="3"/>
  <c r="G53" i="3"/>
  <c r="L53" i="3"/>
  <c r="Q33" i="3"/>
  <c r="AF42" i="3"/>
  <c r="K21" i="11"/>
  <c r="L76" i="11"/>
  <c r="L27" i="11" s="1"/>
  <c r="M76" i="11"/>
  <c r="M27" i="11" s="1"/>
  <c r="K75" i="11"/>
  <c r="L75" i="11" s="1"/>
  <c r="M75" i="11" s="1"/>
  <c r="N75" i="11" s="1"/>
  <c r="K15" i="11"/>
  <c r="K77" i="11"/>
  <c r="L77" i="11" s="1"/>
  <c r="M77" i="11" s="1"/>
  <c r="N77" i="11" s="1"/>
  <c r="N76" i="11"/>
  <c r="K86" i="11"/>
  <c r="K96" i="11" s="1"/>
  <c r="K13" i="11" s="1"/>
  <c r="N86" i="11"/>
  <c r="L86" i="11"/>
  <c r="M86" i="11"/>
  <c r="F39" i="4"/>
  <c r="D25" i="14" s="1"/>
  <c r="J11" i="11"/>
  <c r="J14" i="11" s="1"/>
  <c r="J23" i="11" s="1"/>
  <c r="J25" i="11" s="1"/>
  <c r="J15" i="11"/>
  <c r="G11" i="2"/>
  <c r="F12" i="2"/>
  <c r="AN34" i="3" l="1"/>
  <c r="AI34" i="3"/>
  <c r="AD34" i="3"/>
  <c r="Y34" i="3"/>
  <c r="T27" i="3"/>
  <c r="AL34" i="3"/>
  <c r="AG34" i="3"/>
  <c r="AB34" i="3"/>
  <c r="W34" i="3"/>
  <c r="R27" i="3"/>
  <c r="U34" i="3"/>
  <c r="U30" i="3"/>
  <c r="U31" i="3"/>
  <c r="V31" i="3" s="1"/>
  <c r="AM34" i="3"/>
  <c r="AH34" i="3"/>
  <c r="AC34" i="3"/>
  <c r="X34" i="3"/>
  <c r="S27" i="3"/>
  <c r="L26" i="14"/>
  <c r="L30" i="14" s="1"/>
  <c r="L32" i="14" s="1"/>
  <c r="L33" i="14" s="1"/>
  <c r="J26" i="14"/>
  <c r="J30" i="14" s="1"/>
  <c r="J32" i="14" s="1"/>
  <c r="J33" i="14" s="1"/>
  <c r="I140" i="4"/>
  <c r="J141" i="4"/>
  <c r="G9" i="2"/>
  <c r="F10" i="2"/>
  <c r="F17" i="2" s="1"/>
  <c r="G26" i="16"/>
  <c r="G13" i="16" s="1"/>
  <c r="K82" i="4" s="1"/>
  <c r="F49" i="16"/>
  <c r="D49" i="16"/>
  <c r="U37" i="3"/>
  <c r="I139" i="4"/>
  <c r="E50" i="16"/>
  <c r="D50" i="16"/>
  <c r="G25" i="16"/>
  <c r="G12" i="16" s="1"/>
  <c r="K81" i="4" s="1"/>
  <c r="F50" i="16"/>
  <c r="R37" i="3"/>
  <c r="C33" i="16"/>
  <c r="AA43" i="3"/>
  <c r="AA51" i="3" s="1"/>
  <c r="X27" i="3"/>
  <c r="Y27" i="3"/>
  <c r="W27" i="3"/>
  <c r="Z27" i="3"/>
  <c r="AP41" i="3"/>
  <c r="AH41" i="3"/>
  <c r="AI41" i="3"/>
  <c r="AJ41" i="3"/>
  <c r="AG41" i="3"/>
  <c r="AD42" i="3"/>
  <c r="AD43" i="3" s="1"/>
  <c r="AE42" i="3"/>
  <c r="AE43" i="3" s="1"/>
  <c r="AB42" i="3"/>
  <c r="AB43" i="3" s="1"/>
  <c r="AC42" i="3"/>
  <c r="AC43" i="3" s="1"/>
  <c r="H35" i="2"/>
  <c r="C28" i="16"/>
  <c r="C15" i="16" s="1"/>
  <c r="G84" i="4" s="1"/>
  <c r="F40" i="16"/>
  <c r="C52" i="16"/>
  <c r="G40" i="16"/>
  <c r="E40" i="16"/>
  <c r="D40" i="16"/>
  <c r="C27" i="16"/>
  <c r="C14" i="16" s="1"/>
  <c r="G83" i="4" s="1"/>
  <c r="C51" i="16"/>
  <c r="D39" i="16"/>
  <c r="G39" i="16"/>
  <c r="F39" i="16"/>
  <c r="E39" i="16"/>
  <c r="E22" i="16"/>
  <c r="E9" i="16" s="1"/>
  <c r="I69" i="4" s="1"/>
  <c r="F34" i="16"/>
  <c r="E47" i="16"/>
  <c r="E23" i="16"/>
  <c r="E10" i="16" s="1"/>
  <c r="I70" i="4" s="1"/>
  <c r="F35" i="16"/>
  <c r="F10" i="16" s="1"/>
  <c r="E48" i="16"/>
  <c r="E24" i="16"/>
  <c r="E11" i="16" s="1"/>
  <c r="I71" i="4" s="1"/>
  <c r="F36" i="16"/>
  <c r="F11" i="16" s="1"/>
  <c r="J32" i="2"/>
  <c r="J34" i="2" s="1"/>
  <c r="I34" i="2"/>
  <c r="H145" i="4"/>
  <c r="D51" i="4"/>
  <c r="D53" i="4" s="1"/>
  <c r="D55" i="4" s="1"/>
  <c r="C78" i="4"/>
  <c r="C39" i="4"/>
  <c r="C51" i="4" s="1"/>
  <c r="AF27" i="3"/>
  <c r="AK42" i="3"/>
  <c r="AA28" i="3"/>
  <c r="AA29" i="3" s="1"/>
  <c r="X29" i="3" s="1"/>
  <c r="N87" i="11"/>
  <c r="N29" i="11"/>
  <c r="N85" i="11"/>
  <c r="M87" i="11"/>
  <c r="M29" i="11"/>
  <c r="M85" i="11"/>
  <c r="L87" i="11"/>
  <c r="L85" i="11"/>
  <c r="L29" i="11"/>
  <c r="L11" i="11" s="1"/>
  <c r="K85" i="11"/>
  <c r="K87" i="11"/>
  <c r="K29" i="11"/>
  <c r="K11" i="11" s="1"/>
  <c r="K14" i="11" s="1"/>
  <c r="K23" i="11" s="1"/>
  <c r="K97" i="11" s="1"/>
  <c r="L97" i="11" s="1"/>
  <c r="M97" i="11" s="1"/>
  <c r="N97" i="11" s="1"/>
  <c r="J144" i="4"/>
  <c r="F51" i="4"/>
  <c r="E53" i="4"/>
  <c r="E55" i="4" s="1"/>
  <c r="E90" i="4"/>
  <c r="J16" i="11"/>
  <c r="J18" i="11"/>
  <c r="L15" i="11"/>
  <c r="L21" i="11"/>
  <c r="L26" i="11"/>
  <c r="H11" i="2"/>
  <c r="G12" i="2"/>
  <c r="F46" i="16" l="1"/>
  <c r="F9" i="16"/>
  <c r="C8" i="16"/>
  <c r="G9" i="4" s="1"/>
  <c r="G27" i="4" s="1"/>
  <c r="C45" i="16"/>
  <c r="V30" i="3"/>
  <c r="V35" i="3" s="1"/>
  <c r="U35" i="3"/>
  <c r="AO34" i="3"/>
  <c r="AJ34" i="3"/>
  <c r="AE34" i="3"/>
  <c r="Z34" i="3"/>
  <c r="Z29" i="3" s="1"/>
  <c r="U27" i="3"/>
  <c r="W29" i="3"/>
  <c r="Y29" i="3"/>
  <c r="J140" i="4"/>
  <c r="K141" i="4"/>
  <c r="G152" i="4"/>
  <c r="G103" i="4" s="1"/>
  <c r="H9" i="2"/>
  <c r="G10" i="2"/>
  <c r="C21" i="16"/>
  <c r="J139" i="4"/>
  <c r="D90" i="4"/>
  <c r="I35" i="2"/>
  <c r="J35" i="2" s="1"/>
  <c r="Y28" i="3"/>
  <c r="X28" i="3"/>
  <c r="X37" i="3" s="1"/>
  <c r="Z28" i="3"/>
  <c r="Z37" i="3" s="1"/>
  <c r="W28" i="3"/>
  <c r="AK27" i="3"/>
  <c r="AD27" i="3"/>
  <c r="AE27" i="3"/>
  <c r="AB27" i="3"/>
  <c r="AC27" i="3"/>
  <c r="AF43" i="3"/>
  <c r="AF51" i="3" s="1"/>
  <c r="Y37" i="3"/>
  <c r="AN41" i="3"/>
  <c r="AO41" i="3"/>
  <c r="AL41" i="3"/>
  <c r="AM41" i="3"/>
  <c r="AI42" i="3"/>
  <c r="AG42" i="3"/>
  <c r="AG43" i="3" s="1"/>
  <c r="AH42" i="3"/>
  <c r="AH43" i="3" s="1"/>
  <c r="AJ42" i="3"/>
  <c r="AJ43" i="3" s="1"/>
  <c r="D33" i="16"/>
  <c r="D45" i="16" s="1"/>
  <c r="V50" i="3"/>
  <c r="C31" i="16" s="1"/>
  <c r="C43" i="16" s="1"/>
  <c r="V37" i="3"/>
  <c r="AI43" i="3"/>
  <c r="E51" i="16"/>
  <c r="E27" i="16"/>
  <c r="E14" i="16" s="1"/>
  <c r="I83" i="4" s="1"/>
  <c r="G52" i="16"/>
  <c r="G28" i="16"/>
  <c r="G15" i="16" s="1"/>
  <c r="K84" i="4" s="1"/>
  <c r="G34" i="16"/>
  <c r="G46" i="16" s="1"/>
  <c r="F22" i="16"/>
  <c r="J69" i="4" s="1"/>
  <c r="F51" i="16"/>
  <c r="F27" i="16"/>
  <c r="F14" i="16" s="1"/>
  <c r="J83" i="4" s="1"/>
  <c r="G51" i="16"/>
  <c r="G27" i="16"/>
  <c r="G14" i="16" s="1"/>
  <c r="K83" i="4" s="1"/>
  <c r="D52" i="16"/>
  <c r="D28" i="16"/>
  <c r="D15" i="16" s="1"/>
  <c r="H84" i="4" s="1"/>
  <c r="F52" i="16"/>
  <c r="F28" i="16"/>
  <c r="F15" i="16" s="1"/>
  <c r="J84" i="4" s="1"/>
  <c r="G35" i="16"/>
  <c r="F47" i="16"/>
  <c r="F23" i="16"/>
  <c r="J70" i="4" s="1"/>
  <c r="F48" i="16"/>
  <c r="F24" i="16"/>
  <c r="J71" i="4" s="1"/>
  <c r="G36" i="16"/>
  <c r="D27" i="16"/>
  <c r="D14" i="16" s="1"/>
  <c r="H83" i="4" s="1"/>
  <c r="D51" i="16"/>
  <c r="E52" i="16"/>
  <c r="E28" i="16"/>
  <c r="E15" i="16" s="1"/>
  <c r="I84" i="4" s="1"/>
  <c r="I145" i="4"/>
  <c r="C53" i="4"/>
  <c r="C55" i="4" s="1"/>
  <c r="C90" i="4"/>
  <c r="AF28" i="3"/>
  <c r="AP42" i="3"/>
  <c r="L96" i="11"/>
  <c r="M96" i="11" s="1"/>
  <c r="N96" i="11" s="1"/>
  <c r="K95" i="11"/>
  <c r="L95" i="11" s="1"/>
  <c r="M95" i="11" s="1"/>
  <c r="N95" i="11" s="1"/>
  <c r="K18" i="11"/>
  <c r="F53" i="4"/>
  <c r="F55" i="4" s="1"/>
  <c r="F90" i="4"/>
  <c r="K144" i="4"/>
  <c r="J19" i="11"/>
  <c r="G36" i="4" s="1"/>
  <c r="G154" i="4" s="1"/>
  <c r="G106" i="4" s="1"/>
  <c r="K16" i="11"/>
  <c r="L18" i="11"/>
  <c r="M21" i="11"/>
  <c r="M11" i="11"/>
  <c r="M15" i="11"/>
  <c r="M26" i="11"/>
  <c r="L13" i="11"/>
  <c r="L14" i="11" s="1"/>
  <c r="I11" i="2"/>
  <c r="H12" i="2"/>
  <c r="F58" i="4" l="1"/>
  <c r="F59" i="4"/>
  <c r="D40" i="14" s="1"/>
  <c r="AB28" i="3"/>
  <c r="AF29" i="3"/>
  <c r="AP27" i="3"/>
  <c r="X30" i="3"/>
  <c r="X31" i="3" s="1"/>
  <c r="Y30" i="3"/>
  <c r="Y31" i="3" s="1"/>
  <c r="Z30" i="3"/>
  <c r="Z31" i="3" s="1"/>
  <c r="W30" i="3"/>
  <c r="K140" i="4"/>
  <c r="I9" i="2"/>
  <c r="H10" i="2"/>
  <c r="C19" i="16"/>
  <c r="D21" i="16"/>
  <c r="D8" i="16"/>
  <c r="H9" i="4" s="1"/>
  <c r="H27" i="4" s="1"/>
  <c r="K139" i="4"/>
  <c r="G66" i="4"/>
  <c r="G15" i="4"/>
  <c r="G21" i="4" s="1"/>
  <c r="G77" i="4" s="1"/>
  <c r="AE28" i="3"/>
  <c r="AC28" i="3"/>
  <c r="AD28" i="3"/>
  <c r="C6" i="16"/>
  <c r="AN27" i="3"/>
  <c r="AO27" i="3"/>
  <c r="AL27" i="3"/>
  <c r="AM27" i="3"/>
  <c r="W37" i="3"/>
  <c r="AA37" i="3"/>
  <c r="AK43" i="3"/>
  <c r="AK51" i="3" s="1"/>
  <c r="E33" i="16"/>
  <c r="E45" i="16" s="1"/>
  <c r="AN42" i="3"/>
  <c r="AN43" i="3" s="1"/>
  <c r="AO42" i="3"/>
  <c r="AO43" i="3" s="1"/>
  <c r="AM42" i="3"/>
  <c r="AM43" i="3" s="1"/>
  <c r="AL42" i="3"/>
  <c r="AL43" i="3" s="1"/>
  <c r="AI27" i="3"/>
  <c r="AG27" i="3"/>
  <c r="AH27" i="3"/>
  <c r="AJ27" i="3"/>
  <c r="G47" i="16"/>
  <c r="G23" i="16"/>
  <c r="G10" i="16" s="1"/>
  <c r="K70" i="4" s="1"/>
  <c r="G22" i="16"/>
  <c r="G9" i="16" s="1"/>
  <c r="K69" i="4" s="1"/>
  <c r="G48" i="16"/>
  <c r="G24" i="16"/>
  <c r="G11" i="16" s="1"/>
  <c r="K71" i="4" s="1"/>
  <c r="J145" i="4"/>
  <c r="AK28" i="3"/>
  <c r="AK29" i="3" s="1"/>
  <c r="K19" i="11"/>
  <c r="L16" i="11"/>
  <c r="L23" i="11"/>
  <c r="N26" i="11"/>
  <c r="N13" i="11" s="1"/>
  <c r="M13" i="11"/>
  <c r="M14" i="11" s="1"/>
  <c r="N21" i="11"/>
  <c r="N11" i="11"/>
  <c r="N15" i="11"/>
  <c r="M18" i="11"/>
  <c r="J11" i="2"/>
  <c r="I12" i="2"/>
  <c r="L47" i="14" l="1"/>
  <c r="J47" i="14"/>
  <c r="AG29" i="3"/>
  <c r="AH29" i="3"/>
  <c r="AI29" i="3"/>
  <c r="AJ29" i="3"/>
  <c r="AJ30" i="3" s="1"/>
  <c r="AJ31" i="3" s="1"/>
  <c r="AA30" i="3"/>
  <c r="AA31" i="3" s="1"/>
  <c r="W31" i="3"/>
  <c r="AC29" i="3"/>
  <c r="AD29" i="3"/>
  <c r="AE29" i="3"/>
  <c r="AB29" i="3"/>
  <c r="H66" i="4"/>
  <c r="J9" i="2"/>
  <c r="J10" i="2" s="1"/>
  <c r="I10" i="2"/>
  <c r="AA50" i="3"/>
  <c r="D31" i="16" s="1"/>
  <c r="D43" i="16" s="1"/>
  <c r="H15" i="4"/>
  <c r="H21" i="4" s="1"/>
  <c r="H77" i="4" s="1"/>
  <c r="G7" i="4"/>
  <c r="G64" i="4" s="1"/>
  <c r="E21" i="16"/>
  <c r="E8" i="16"/>
  <c r="I9" i="4" s="1"/>
  <c r="I27" i="4" s="1"/>
  <c r="AP43" i="3"/>
  <c r="AI28" i="3"/>
  <c r="AI37" i="3" s="1"/>
  <c r="AJ28" i="3"/>
  <c r="AJ37" i="3" s="1"/>
  <c r="AH28" i="3"/>
  <c r="AH37" i="3" s="1"/>
  <c r="AG28" i="3"/>
  <c r="AB37" i="3"/>
  <c r="AF37" i="3"/>
  <c r="F33" i="16"/>
  <c r="F45" i="16" s="1"/>
  <c r="K145" i="4"/>
  <c r="AP28" i="3"/>
  <c r="AP29" i="3" s="1"/>
  <c r="R11" i="11"/>
  <c r="L19" i="11"/>
  <c r="M16" i="11"/>
  <c r="M23" i="11"/>
  <c r="N18" i="11"/>
  <c r="N14" i="11"/>
  <c r="J12" i="2"/>
  <c r="J48" i="14" l="1"/>
  <c r="J45" i="14"/>
  <c r="J41" i="14" s="1"/>
  <c r="L45" i="14"/>
  <c r="L41" i="14" s="1"/>
  <c r="L48" i="14"/>
  <c r="AM29" i="3"/>
  <c r="AM30" i="3" s="1"/>
  <c r="AM31" i="3" s="1"/>
  <c r="AN29" i="3"/>
  <c r="AN30" i="3" s="1"/>
  <c r="AN31" i="3" s="1"/>
  <c r="AO29" i="3"/>
  <c r="AO30" i="3" s="1"/>
  <c r="AO31" i="3" s="1"/>
  <c r="AL29" i="3"/>
  <c r="AB30" i="3"/>
  <c r="AE30" i="3"/>
  <c r="AE31" i="3" s="1"/>
  <c r="AE37" i="3"/>
  <c r="AD30" i="3"/>
  <c r="AD31" i="3" s="1"/>
  <c r="AD37" i="3"/>
  <c r="AC30" i="3"/>
  <c r="AC31" i="3" s="1"/>
  <c r="AC37" i="3"/>
  <c r="AI30" i="3"/>
  <c r="AI31" i="3" s="1"/>
  <c r="AH30" i="3"/>
  <c r="AH31" i="3" s="1"/>
  <c r="AG30" i="3"/>
  <c r="D6" i="16"/>
  <c r="H7" i="4" s="1"/>
  <c r="H65" i="4" s="1"/>
  <c r="G25" i="4"/>
  <c r="G13" i="4"/>
  <c r="G19" i="4" s="1"/>
  <c r="G75" i="4" s="1"/>
  <c r="D19" i="16"/>
  <c r="AF50" i="3"/>
  <c r="E31" i="16" s="1"/>
  <c r="E43" i="16" s="1"/>
  <c r="F21" i="16"/>
  <c r="F8" i="16"/>
  <c r="J9" i="4" s="1"/>
  <c r="J27" i="4" s="1"/>
  <c r="E19" i="16"/>
  <c r="E6" i="16"/>
  <c r="G65" i="4"/>
  <c r="I15" i="4"/>
  <c r="I21" i="4" s="1"/>
  <c r="I77" i="4" s="1"/>
  <c r="I66" i="4"/>
  <c r="H36" i="4"/>
  <c r="H154" i="4" s="1"/>
  <c r="AG37" i="3"/>
  <c r="AK50" i="3"/>
  <c r="F31" i="16" s="1"/>
  <c r="F43" i="16" s="1"/>
  <c r="AN28" i="3"/>
  <c r="AN37" i="3" s="1"/>
  <c r="AM28" i="3"/>
  <c r="AM37" i="3" s="1"/>
  <c r="AO28" i="3"/>
  <c r="AO37" i="3" s="1"/>
  <c r="AL28" i="3"/>
  <c r="G33" i="16"/>
  <c r="G45" i="16" s="1"/>
  <c r="AP51" i="3"/>
  <c r="S11" i="11"/>
  <c r="M19" i="11"/>
  <c r="N16" i="11"/>
  <c r="N23" i="11"/>
  <c r="AK30" i="3" l="1"/>
  <c r="AG31" i="3"/>
  <c r="AF30" i="3"/>
  <c r="AB31" i="3"/>
  <c r="AL30" i="3"/>
  <c r="H106" i="4"/>
  <c r="H64" i="4"/>
  <c r="J15" i="4"/>
  <c r="J21" i="4" s="1"/>
  <c r="J77" i="4" s="1"/>
  <c r="AK37" i="3"/>
  <c r="H13" i="4"/>
  <c r="H19" i="4" s="1"/>
  <c r="H75" i="4" s="1"/>
  <c r="H25" i="4"/>
  <c r="J66" i="4"/>
  <c r="G21" i="16"/>
  <c r="G8" i="16"/>
  <c r="K9" i="4" s="1"/>
  <c r="K15" i="4" s="1"/>
  <c r="K21" i="4" s="1"/>
  <c r="K77" i="4" s="1"/>
  <c r="I7" i="4"/>
  <c r="I13" i="4" s="1"/>
  <c r="F19" i="16"/>
  <c r="F6" i="16"/>
  <c r="I36" i="4"/>
  <c r="I154" i="4" s="1"/>
  <c r="AL37" i="3"/>
  <c r="T11" i="11"/>
  <c r="N19" i="11"/>
  <c r="AP30" i="3" l="1"/>
  <c r="AL31" i="3"/>
  <c r="I106" i="4"/>
  <c r="I64" i="4"/>
  <c r="I25" i="4"/>
  <c r="I65" i="4"/>
  <c r="K66" i="4"/>
  <c r="K27" i="4"/>
  <c r="J7" i="4"/>
  <c r="J25" i="4" s="1"/>
  <c r="J36" i="4"/>
  <c r="J154" i="4" s="1"/>
  <c r="AP50" i="3"/>
  <c r="AP37" i="3"/>
  <c r="I19" i="4"/>
  <c r="I75" i="4" s="1"/>
  <c r="U11" i="11"/>
  <c r="J106" i="4" l="1"/>
  <c r="J13" i="4"/>
  <c r="J19" i="4" s="1"/>
  <c r="J75" i="4" s="1"/>
  <c r="J64" i="4"/>
  <c r="J65" i="4"/>
  <c r="K36" i="4"/>
  <c r="K154" i="4" s="1"/>
  <c r="G31" i="16"/>
  <c r="G43" i="16" s="1"/>
  <c r="R20" i="3"/>
  <c r="K106" i="4" l="1"/>
  <c r="G19" i="16"/>
  <c r="G6" i="16"/>
  <c r="U21" i="3"/>
  <c r="U23" i="3" s="1"/>
  <c r="Z21" i="3"/>
  <c r="Y21" i="3"/>
  <c r="V21" i="3" l="1"/>
  <c r="V23" i="3" s="1"/>
  <c r="K7" i="4"/>
  <c r="AA20" i="3"/>
  <c r="K25" i="4" l="1"/>
  <c r="K64" i="4"/>
  <c r="K65" i="4"/>
  <c r="K13" i="4"/>
  <c r="K19" i="4" s="1"/>
  <c r="K75" i="4" s="1"/>
  <c r="V49" i="3"/>
  <c r="C32" i="16" l="1"/>
  <c r="C44" i="16" s="1"/>
  <c r="V52" i="3"/>
  <c r="C20" i="16" l="1"/>
  <c r="V53" i="3"/>
  <c r="G8" i="4" l="1"/>
  <c r="G10" i="4" s="1"/>
  <c r="D55" i="14" s="1"/>
  <c r="F5" i="2"/>
  <c r="L56" i="14" l="1"/>
  <c r="L60" i="14" s="1"/>
  <c r="L62" i="14" s="1"/>
  <c r="L63" i="14" s="1"/>
  <c r="J56" i="14"/>
  <c r="J60" i="14" s="1"/>
  <c r="J62" i="14" s="1"/>
  <c r="J63" i="14" s="1"/>
  <c r="G26" i="4"/>
  <c r="G14" i="4"/>
  <c r="G16" i="4" s="1"/>
  <c r="G113" i="4" s="1"/>
  <c r="F18" i="2"/>
  <c r="F22" i="2"/>
  <c r="F23" i="2" s="1"/>
  <c r="G28" i="4"/>
  <c r="G46" i="4"/>
  <c r="G97" i="4"/>
  <c r="G101" i="4"/>
  <c r="G44" i="4"/>
  <c r="G29" i="4" l="1"/>
  <c r="G116" i="4" s="1"/>
  <c r="G159" i="4" s="1"/>
  <c r="G153" i="4"/>
  <c r="G104" i="4" s="1"/>
  <c r="F25" i="2"/>
  <c r="G158" i="4"/>
  <c r="G20" i="4"/>
  <c r="G76" i="4" s="1"/>
  <c r="G155" i="4"/>
  <c r="G160" i="4"/>
  <c r="F27" i="2"/>
  <c r="G47" i="4"/>
  <c r="G98" i="4"/>
  <c r="G22" i="4"/>
  <c r="G78" i="4" s="1"/>
  <c r="G72" i="4"/>
  <c r="G85" i="4" l="1"/>
  <c r="G99" i="4"/>
  <c r="G157" i="4" s="1"/>
  <c r="G23" i="2"/>
  <c r="H153" i="4" s="1"/>
  <c r="H104" i="4" s="1"/>
  <c r="I104" i="4" s="1"/>
  <c r="J104" i="4" s="1"/>
  <c r="K104" i="4" s="1"/>
  <c r="G156" i="4"/>
  <c r="C25" i="6"/>
  <c r="G34" i="4"/>
  <c r="G37" i="4" s="1"/>
  <c r="G39" i="4" s="1"/>
  <c r="G117" i="4"/>
  <c r="G122" i="4" s="1"/>
  <c r="M15" i="3"/>
  <c r="Q19" i="3"/>
  <c r="G51" i="4" l="1"/>
  <c r="G52" i="4" s="1"/>
  <c r="G53" i="4" s="1"/>
  <c r="G55" i="4" s="1"/>
  <c r="D70" i="14"/>
  <c r="G25" i="2"/>
  <c r="H25" i="2" s="1"/>
  <c r="I25" i="2" s="1"/>
  <c r="J25" i="2" s="1"/>
  <c r="C26" i="6"/>
  <c r="C22" i="6"/>
  <c r="C23" i="6" s="1"/>
  <c r="C24" i="6" s="1"/>
  <c r="Q20" i="3"/>
  <c r="N15" i="3"/>
  <c r="Q15" i="3" s="1"/>
  <c r="G150" i="4" l="1"/>
  <c r="G58" i="4"/>
  <c r="G59" i="4"/>
  <c r="D85" i="14" s="1"/>
  <c r="L71" i="14"/>
  <c r="L75" i="14" s="1"/>
  <c r="L77" i="14" s="1"/>
  <c r="L78" i="14" s="1"/>
  <c r="J71" i="14"/>
  <c r="J75" i="14" s="1"/>
  <c r="J77" i="14" s="1"/>
  <c r="J78" i="14" s="1"/>
  <c r="C28" i="6"/>
  <c r="C30" i="6" s="1"/>
  <c r="AO20" i="3"/>
  <c r="AN20" i="3"/>
  <c r="AN21" i="3" s="1"/>
  <c r="AM20" i="3"/>
  <c r="AM21" i="3" s="1"/>
  <c r="AL20" i="3"/>
  <c r="AL21" i="3" s="1"/>
  <c r="AH20" i="3"/>
  <c r="AH21" i="3" s="1"/>
  <c r="AG20" i="3"/>
  <c r="AJ20" i="3"/>
  <c r="AJ21" i="3" s="1"/>
  <c r="AI20" i="3"/>
  <c r="AI21" i="3" s="1"/>
  <c r="AC7" i="3"/>
  <c r="AC21" i="3" s="1"/>
  <c r="AE7" i="3"/>
  <c r="AE21" i="3" s="1"/>
  <c r="AD7" i="3"/>
  <c r="AD21" i="3" s="1"/>
  <c r="AB7" i="3"/>
  <c r="AB21" i="3" s="1"/>
  <c r="L92" i="14" l="1"/>
  <c r="J92" i="14"/>
  <c r="G128" i="4"/>
  <c r="G129" i="4" s="1"/>
  <c r="G131" i="4" s="1"/>
  <c r="G132" i="4" s="1"/>
  <c r="G164" i="4"/>
  <c r="AK20" i="3"/>
  <c r="AG21" i="3"/>
  <c r="AP20" i="3"/>
  <c r="AO21" i="3"/>
  <c r="AF21" i="3"/>
  <c r="Y11" i="3"/>
  <c r="W11" i="3"/>
  <c r="X11" i="3"/>
  <c r="Z11" i="3"/>
  <c r="J93" i="14" l="1"/>
  <c r="J90" i="14"/>
  <c r="J86" i="14" s="1"/>
  <c r="G175" i="4"/>
  <c r="G177" i="4" s="1"/>
  <c r="G95" i="4" s="1"/>
  <c r="H176" i="4" s="1"/>
  <c r="F40" i="2"/>
  <c r="F130" i="2" s="1"/>
  <c r="F131" i="2" s="1"/>
  <c r="L93" i="14"/>
  <c r="L90" i="14"/>
  <c r="L86" i="14" s="1"/>
  <c r="AK21" i="3"/>
  <c r="AP21" i="3"/>
  <c r="AA11" i="3"/>
  <c r="Y23" i="3"/>
  <c r="Z23" i="3"/>
  <c r="W21" i="3"/>
  <c r="X21" i="3"/>
  <c r="X23" i="3" s="1"/>
  <c r="F137" i="2" l="1"/>
  <c r="F132" i="2"/>
  <c r="F134" i="2" s="1"/>
  <c r="G39" i="2"/>
  <c r="G129" i="2"/>
  <c r="G102" i="4"/>
  <c r="G110" i="4" s="1"/>
  <c r="AA21" i="3"/>
  <c r="W23" i="3"/>
  <c r="AA23" i="3" s="1"/>
  <c r="G134" i="4" l="1"/>
  <c r="G135" i="4" s="1"/>
  <c r="AA49" i="3"/>
  <c r="AA52" i="3" l="1"/>
  <c r="AA53" i="3" s="1"/>
  <c r="D32" i="16"/>
  <c r="D44" i="16" s="1"/>
  <c r="D20" i="16" l="1"/>
  <c r="D7" i="16"/>
  <c r="H8" i="4" l="1"/>
  <c r="G5" i="2"/>
  <c r="G22" i="2" s="1"/>
  <c r="G24" i="2" s="1"/>
  <c r="G7" i="2" l="1"/>
  <c r="H14" i="4"/>
  <c r="H16" i="4" s="1"/>
  <c r="H26" i="4"/>
  <c r="H10" i="4"/>
  <c r="H166" i="4" l="1"/>
  <c r="H97" i="4"/>
  <c r="H101" i="4"/>
  <c r="H98" i="4"/>
  <c r="H113" i="4"/>
  <c r="H167" i="4"/>
  <c r="H13" i="2"/>
  <c r="D27" i="6"/>
  <c r="J13" i="2"/>
  <c r="G13" i="2"/>
  <c r="G17" i="2" s="1"/>
  <c r="H152" i="4" s="1"/>
  <c r="H103" i="4" s="1"/>
  <c r="I13" i="2"/>
  <c r="H20" i="4"/>
  <c r="H76" i="4" s="1"/>
  <c r="H22" i="4"/>
  <c r="H78" i="4" s="1"/>
  <c r="H72" i="4"/>
  <c r="H46" i="4"/>
  <c r="H44" i="4"/>
  <c r="H28" i="4"/>
  <c r="H29" i="4" s="1"/>
  <c r="G6" i="2" l="1"/>
  <c r="H158" i="4"/>
  <c r="H156" i="4"/>
  <c r="H99" i="4"/>
  <c r="H116" i="4"/>
  <c r="H159" i="4" s="1"/>
  <c r="H160" i="4"/>
  <c r="G27" i="2"/>
  <c r="D25" i="6" s="1"/>
  <c r="H155" i="4"/>
  <c r="G18" i="2"/>
  <c r="H85" i="4"/>
  <c r="H47" i="4"/>
  <c r="H34" i="4" l="1"/>
  <c r="H37" i="4" s="1"/>
  <c r="H39" i="4" s="1"/>
  <c r="D22" i="6" s="1"/>
  <c r="D23" i="6" s="1"/>
  <c r="D24" i="6" s="1"/>
  <c r="H117" i="4"/>
  <c r="H122" i="4" s="1"/>
  <c r="H157" i="4"/>
  <c r="D26" i="6" s="1"/>
  <c r="H51" i="4" l="1"/>
  <c r="H52" i="4" s="1"/>
  <c r="H53" i="4" s="1"/>
  <c r="H55" i="4" s="1"/>
  <c r="D28" i="6"/>
  <c r="D30" i="6" s="1"/>
  <c r="H59" i="4" l="1"/>
  <c r="H58" i="4"/>
  <c r="H150" i="4"/>
  <c r="H128" i="4" s="1"/>
  <c r="H129" i="4" l="1"/>
  <c r="H131" i="4" s="1"/>
  <c r="H132" i="4" s="1"/>
  <c r="H164" i="4"/>
  <c r="H175" i="4" s="1"/>
  <c r="H177" i="4" s="1"/>
  <c r="H95" i="4" s="1"/>
  <c r="G40" i="2" l="1"/>
  <c r="G130" i="2" s="1"/>
  <c r="G131" i="2" s="1"/>
  <c r="H129" i="2" s="1"/>
  <c r="H102" i="4"/>
  <c r="H110" i="4" s="1"/>
  <c r="H134" i="4" s="1"/>
  <c r="H135" i="4" s="1"/>
  <c r="I176" i="4"/>
  <c r="G132" i="2" l="1"/>
  <c r="G134" i="2" s="1"/>
  <c r="H39" i="2"/>
  <c r="G137" i="2"/>
  <c r="AE11" i="3" l="1"/>
  <c r="AE23" i="3" s="1"/>
  <c r="AI11" i="3"/>
  <c r="AI23" i="3" s="1"/>
  <c r="AJ7" i="3"/>
  <c r="AJ11" i="3"/>
  <c r="AJ23" i="3"/>
  <c r="AK7" i="3"/>
  <c r="AC11" i="3"/>
  <c r="AC23" i="3" s="1"/>
  <c r="AH7" i="3"/>
  <c r="AI7" i="3"/>
  <c r="AD11" i="3"/>
  <c r="AD23" i="3"/>
  <c r="AG7" i="3"/>
  <c r="AH11" i="3"/>
  <c r="AH23" i="3" s="1"/>
  <c r="AB11" i="3"/>
  <c r="AB23" i="3"/>
  <c r="AG11" i="3"/>
  <c r="AG23" i="3"/>
  <c r="AK23" i="3" s="1"/>
  <c r="AP9" i="3"/>
  <c r="AF23" i="3" l="1"/>
  <c r="AF49" i="3"/>
  <c r="AO9" i="3"/>
  <c r="AP7" i="3"/>
  <c r="AL9" i="3"/>
  <c r="AN9" i="3"/>
  <c r="AM9" i="3"/>
  <c r="AK49" i="3"/>
  <c r="AK11" i="3"/>
  <c r="AF11" i="3"/>
  <c r="AM11" i="3" l="1"/>
  <c r="AM23" i="3" s="1"/>
  <c r="AM7" i="3"/>
  <c r="AK52" i="3"/>
  <c r="F32" i="16"/>
  <c r="F7" i="16" s="1"/>
  <c r="AO7" i="3"/>
  <c r="AO11" i="3"/>
  <c r="AO23" i="3" s="1"/>
  <c r="AN7" i="3"/>
  <c r="AN11" i="3"/>
  <c r="AN23" i="3" s="1"/>
  <c r="AL11" i="3"/>
  <c r="AL7" i="3"/>
  <c r="AF52" i="3"/>
  <c r="AF53" i="3" s="1"/>
  <c r="E32" i="16"/>
  <c r="E20" i="16" l="1"/>
  <c r="E7" i="16"/>
  <c r="E44" i="16"/>
  <c r="F44" i="16"/>
  <c r="F20" i="16"/>
  <c r="AK53" i="3"/>
  <c r="AP11" i="3"/>
  <c r="AL23" i="3"/>
  <c r="AP23" i="3" s="1"/>
  <c r="H5" i="2" l="1"/>
  <c r="I8" i="4"/>
  <c r="J8" i="4"/>
  <c r="I5" i="2"/>
  <c r="AP49" i="3"/>
  <c r="I10" i="4" l="1"/>
  <c r="I14" i="4"/>
  <c r="I16" i="4" s="1"/>
  <c r="I26" i="4"/>
  <c r="I22" i="2"/>
  <c r="I24" i="2" s="1"/>
  <c r="I7" i="2"/>
  <c r="J14" i="4"/>
  <c r="J16" i="4" s="1"/>
  <c r="J26" i="4"/>
  <c r="J10" i="4"/>
  <c r="AP52" i="3"/>
  <c r="AP53" i="3" s="1"/>
  <c r="G32" i="16"/>
  <c r="G7" i="16" s="1"/>
  <c r="H22" i="2"/>
  <c r="H24" i="2" s="1"/>
  <c r="H7" i="2"/>
  <c r="I166" i="4" l="1"/>
  <c r="H14" i="2"/>
  <c r="H17" i="2" s="1"/>
  <c r="H6" i="2" s="1"/>
  <c r="I14" i="2"/>
  <c r="J14" i="2"/>
  <c r="E27" i="6"/>
  <c r="I101" i="4"/>
  <c r="I28" i="4"/>
  <c r="I29" i="4" s="1"/>
  <c r="I44" i="4"/>
  <c r="I97" i="4"/>
  <c r="I46" i="4"/>
  <c r="G44" i="16"/>
  <c r="G20" i="16"/>
  <c r="J72" i="4"/>
  <c r="J98" i="4"/>
  <c r="J113" i="4"/>
  <c r="J22" i="4"/>
  <c r="J20" i="4"/>
  <c r="J76" i="4" s="1"/>
  <c r="I98" i="4"/>
  <c r="I72" i="4"/>
  <c r="I22" i="4"/>
  <c r="I113" i="4"/>
  <c r="J97" i="4"/>
  <c r="J46" i="4"/>
  <c r="J44" i="4"/>
  <c r="J28" i="4"/>
  <c r="J29" i="4" s="1"/>
  <c r="J101" i="4"/>
  <c r="J166" i="4"/>
  <c r="J167" i="4" s="1"/>
  <c r="I15" i="2"/>
  <c r="F27" i="6"/>
  <c r="J15" i="2"/>
  <c r="I20" i="4"/>
  <c r="I76" i="4" s="1"/>
  <c r="J47" i="4" l="1"/>
  <c r="I17" i="2"/>
  <c r="I18" i="2" s="1"/>
  <c r="I116" i="4"/>
  <c r="I159" i="4" s="1"/>
  <c r="I99" i="4"/>
  <c r="I85" i="4"/>
  <c r="J99" i="4"/>
  <c r="J116" i="4"/>
  <c r="J85" i="4"/>
  <c r="I158" i="4"/>
  <c r="J160" i="4"/>
  <c r="I160" i="4"/>
  <c r="I78" i="4"/>
  <c r="J78" i="4"/>
  <c r="J155" i="4"/>
  <c r="I155" i="4"/>
  <c r="H18" i="2"/>
  <c r="I152" i="4"/>
  <c r="I103" i="4" s="1"/>
  <c r="H27" i="2"/>
  <c r="J158" i="4"/>
  <c r="K8" i="4"/>
  <c r="J5" i="2"/>
  <c r="I47" i="4"/>
  <c r="I167" i="4"/>
  <c r="J156" i="4"/>
  <c r="I156" i="4"/>
  <c r="J159" i="4" l="1"/>
  <c r="J117" i="4"/>
  <c r="J122" i="4" s="1"/>
  <c r="I117" i="4"/>
  <c r="I122" i="4" s="1"/>
  <c r="I6" i="2"/>
  <c r="I27" i="2"/>
  <c r="J34" i="4" s="1"/>
  <c r="J37" i="4" s="1"/>
  <c r="J39" i="4" s="1"/>
  <c r="J152" i="4"/>
  <c r="J103" i="4" s="1"/>
  <c r="K14" i="4"/>
  <c r="K16" i="4" s="1"/>
  <c r="K26" i="4"/>
  <c r="K10" i="4"/>
  <c r="I157" i="4"/>
  <c r="E26" i="6" s="1"/>
  <c r="J157" i="4"/>
  <c r="J22" i="2"/>
  <c r="J24" i="2" s="1"/>
  <c r="J7" i="2"/>
  <c r="I34" i="4"/>
  <c r="I37" i="4" s="1"/>
  <c r="I39" i="4" s="1"/>
  <c r="E25" i="6"/>
  <c r="F26" i="6" l="1"/>
  <c r="F25" i="6"/>
  <c r="K20" i="4"/>
  <c r="K76" i="4" s="1"/>
  <c r="K97" i="4"/>
  <c r="K155" i="4" s="1"/>
  <c r="K46" i="4"/>
  <c r="K28" i="4"/>
  <c r="K29" i="4" s="1"/>
  <c r="K44" i="4"/>
  <c r="K101" i="4"/>
  <c r="K160" i="4" s="1"/>
  <c r="I51" i="4"/>
  <c r="E22" i="6"/>
  <c r="J51" i="4"/>
  <c r="F22" i="6"/>
  <c r="J16" i="2"/>
  <c r="J17" i="2" s="1"/>
  <c r="G27" i="6"/>
  <c r="K166" i="4"/>
  <c r="K113" i="4"/>
  <c r="K72" i="4"/>
  <c r="K98" i="4"/>
  <c r="K156" i="4" s="1"/>
  <c r="K22" i="4"/>
  <c r="K116" i="4" l="1"/>
  <c r="K159" i="4" s="1"/>
  <c r="K99" i="4"/>
  <c r="K157" i="4" s="1"/>
  <c r="K85" i="4"/>
  <c r="F23" i="6"/>
  <c r="F24" i="6" s="1"/>
  <c r="F28" i="6" s="1"/>
  <c r="F30" i="6" s="1"/>
  <c r="J18" i="2"/>
  <c r="K152" i="4"/>
  <c r="K103" i="4" s="1"/>
  <c r="J27" i="2"/>
  <c r="J6" i="2"/>
  <c r="E23" i="6"/>
  <c r="E24" i="6" s="1"/>
  <c r="E28" i="6" s="1"/>
  <c r="E30" i="6" s="1"/>
  <c r="K117" i="4"/>
  <c r="K122" i="4" s="1"/>
  <c r="K158" i="4"/>
  <c r="I52" i="4"/>
  <c r="I53" i="4" s="1"/>
  <c r="I55" i="4" s="1"/>
  <c r="K78" i="4"/>
  <c r="K167" i="4"/>
  <c r="J52" i="4"/>
  <c r="J53" i="4" s="1"/>
  <c r="J55" i="4" s="1"/>
  <c r="K47" i="4"/>
  <c r="G26" i="6" l="1"/>
  <c r="G43" i="2" s="1"/>
  <c r="J150" i="4"/>
  <c r="J164" i="4" s="1"/>
  <c r="J58" i="4"/>
  <c r="J59" i="4"/>
  <c r="I58" i="4"/>
  <c r="I59" i="4"/>
  <c r="I150" i="4"/>
  <c r="G25" i="6"/>
  <c r="K34" i="4"/>
  <c r="K37" i="4" s="1"/>
  <c r="K39" i="4" s="1"/>
  <c r="I43" i="2" l="1"/>
  <c r="I52" i="2" s="1"/>
  <c r="F43" i="2"/>
  <c r="F52" i="2" s="1"/>
  <c r="J43" i="2"/>
  <c r="J52" i="2" s="1"/>
  <c r="H43" i="2"/>
  <c r="H52" i="2" s="1"/>
  <c r="I164" i="4"/>
  <c r="I128" i="4"/>
  <c r="K51" i="4"/>
  <c r="G22" i="6"/>
  <c r="I40" i="2"/>
  <c r="I130" i="2" s="1"/>
  <c r="J175" i="4"/>
  <c r="G44" i="2"/>
  <c r="G47" i="2" s="1"/>
  <c r="G49" i="2" s="1"/>
  <c r="G52" i="2"/>
  <c r="F44" i="2" l="1"/>
  <c r="F47" i="2" s="1"/>
  <c r="F49" i="2" s="1"/>
  <c r="F53" i="2" s="1"/>
  <c r="C49" i="6"/>
  <c r="C51" i="6" s="1"/>
  <c r="C54" i="6" s="1"/>
  <c r="G23" i="6"/>
  <c r="G24" i="6" s="1"/>
  <c r="G28" i="6" s="1"/>
  <c r="I129" i="4"/>
  <c r="I131" i="4" s="1"/>
  <c r="I132" i="4" s="1"/>
  <c r="J128" i="4"/>
  <c r="G53" i="2"/>
  <c r="K52" i="4"/>
  <c r="K53" i="4" s="1"/>
  <c r="K55" i="4" s="1"/>
  <c r="I175" i="4"/>
  <c r="I177" i="4" s="1"/>
  <c r="I95" i="4" s="1"/>
  <c r="H40" i="2"/>
  <c r="K59" i="4" l="1"/>
  <c r="K58" i="4"/>
  <c r="K150" i="4"/>
  <c r="K164" i="4" s="1"/>
  <c r="H130" i="2"/>
  <c r="H131" i="2" s="1"/>
  <c r="H44" i="2"/>
  <c r="H47" i="2" s="1"/>
  <c r="H49" i="2" s="1"/>
  <c r="H53" i="2" s="1"/>
  <c r="C37" i="6"/>
  <c r="G30" i="6"/>
  <c r="C32" i="6" s="1"/>
  <c r="J176" i="4"/>
  <c r="J177" i="4" s="1"/>
  <c r="J95" i="4" s="1"/>
  <c r="I102" i="4"/>
  <c r="I110" i="4" s="1"/>
  <c r="I134" i="4" s="1"/>
  <c r="I135" i="4" s="1"/>
  <c r="J129" i="4"/>
  <c r="J131" i="4" s="1"/>
  <c r="J132" i="4" s="1"/>
  <c r="C40" i="6" l="1"/>
  <c r="C41" i="6" s="1"/>
  <c r="C42" i="6" s="1"/>
  <c r="C44" i="6" s="1"/>
  <c r="C46" i="6" s="1"/>
  <c r="C55" i="6"/>
  <c r="C56" i="6" s="1"/>
  <c r="C58" i="6" s="1"/>
  <c r="C60" i="6" s="1"/>
  <c r="K128" i="4"/>
  <c r="K129" i="4" s="1"/>
  <c r="K131" i="4" s="1"/>
  <c r="K132" i="4" s="1"/>
  <c r="K176" i="4"/>
  <c r="J102" i="4"/>
  <c r="J110" i="4" s="1"/>
  <c r="J134" i="4" s="1"/>
  <c r="J135" i="4" s="1"/>
  <c r="H132" i="2"/>
  <c r="H134" i="2" s="1"/>
  <c r="I39" i="2"/>
  <c r="I44" i="2" s="1"/>
  <c r="I47" i="2" s="1"/>
  <c r="I49" i="2" s="1"/>
  <c r="I53" i="2" s="1"/>
  <c r="H137" i="2"/>
  <c r="I129" i="2"/>
  <c r="I131" i="2" s="1"/>
  <c r="K175" i="4"/>
  <c r="J40" i="2"/>
  <c r="J130" i="2" s="1"/>
  <c r="K177" i="4" l="1"/>
  <c r="K95" i="4" s="1"/>
  <c r="K102" i="4" s="1"/>
  <c r="K110" i="4" s="1"/>
  <c r="K134" i="4" s="1"/>
  <c r="K135" i="4" s="1"/>
  <c r="J129" i="2"/>
  <c r="J131" i="2" s="1"/>
  <c r="J39" i="2"/>
  <c r="J44" i="2" s="1"/>
  <c r="J47" i="2" s="1"/>
  <c r="J49" i="2" s="1"/>
  <c r="J53" i="2" s="1"/>
  <c r="I137" i="2"/>
  <c r="G38" i="6"/>
  <c r="BH105" i="6"/>
  <c r="I132" i="2"/>
  <c r="I134" i="2" s="1"/>
  <c r="BH109" i="6"/>
  <c r="BH110" i="6" s="1"/>
  <c r="G50" i="6"/>
  <c r="J137" i="2" l="1"/>
  <c r="J132" i="2"/>
  <c r="J134" i="2" s="1"/>
  <c r="BH106" i="6"/>
  <c r="BH115" i="6" s="1"/>
  <c r="C17" i="6" s="1"/>
  <c r="H22" i="13" s="1"/>
  <c r="H23" i="13" s="1"/>
  <c r="BH114" i="6"/>
  <c r="C16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66" authorId="0" shapeId="0" xr:uid="{888ED306-9291-E34D-BB03-0457331A529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Q3 Cash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</author>
    <author>Avery Lyn</author>
    <author>Microsoft Office User</author>
  </authors>
  <commentList>
    <comment ref="AA7" authorId="0" shapeId="0" xr:uid="{638BCA9E-A96D-4202-93FC-C574AA383169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Assuming no growth other than Gelnex acquisition.</t>
        </r>
      </text>
    </comment>
    <comment ref="AF7" authorId="0" shapeId="0" xr:uid="{BFE207B1-543F-4EF3-B110-CD09F3A286C4}">
      <text>
        <r>
          <rPr>
            <b/>
            <sz val="9"/>
            <color rgb="FF000000"/>
            <rFont val="Tahoma"/>
            <family val="2"/>
          </rPr>
          <t>Brian: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Assuming a restoration of volume in palm oils as prices begin to decline… Gelnex factored in.
</t>
        </r>
      </text>
    </comment>
    <comment ref="U10" authorId="0" shapeId="0" xr:uid="{0AAEE778-D089-430A-833D-E43A9D6511FE}">
      <text>
        <r>
          <rPr>
            <b/>
            <sz val="9"/>
            <color rgb="FF000000"/>
            <rFont val="Tahoma"/>
            <family val="2"/>
          </rPr>
          <t>Brian: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Jacobsen's avg. </t>
        </r>
      </text>
    </comment>
    <comment ref="V10" authorId="0" shapeId="0" xr:uid="{5E9C5375-3E24-4320-AE91-E9CDB0799113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(Average price for the year).</t>
        </r>
      </text>
    </comment>
    <comment ref="AB10" authorId="0" shapeId="0" xr:uid="{92AB3D01-98A1-4390-B65B-C48685E634A9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Assuming market pressures abate (conservative) and a restoration of prices to normalcy. Data based on historical pricing from futures market.</t>
        </r>
      </text>
    </comment>
    <comment ref="BO10" authorId="0" shapeId="0" xr:uid="{242A7894-01E3-4D0D-8240-E0DCF41A945B}">
      <text>
        <r>
          <rPr>
            <b/>
            <sz val="9"/>
            <color rgb="FF000000"/>
            <rFont val="Tahoma"/>
            <family val="2"/>
          </rPr>
          <t>Brian: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chinese company margin</t>
        </r>
      </text>
    </comment>
    <comment ref="BN12" authorId="1" shapeId="0" xr:uid="{16316241-C9A3-4CA2-8982-961BD67A3610}">
      <text>
        <r>
          <rPr>
            <b/>
            <sz val="9"/>
            <color rgb="FF000000"/>
            <rFont val="Tahoma"/>
            <family val="2"/>
          </rPr>
          <t>Avery Lyn: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gelnex took edbitda multiple to back into edbitda, then found comp for ebitda margin to back into gelnex revenue -- conservative estimate  
</t>
        </r>
      </text>
    </comment>
    <comment ref="G14" authorId="0" shapeId="0" xr:uid="{F98B74A9-EA54-4D72-98F2-792B5173A2B2}">
      <text>
        <r>
          <rPr>
            <b/>
            <sz val="9"/>
            <color rgb="FF000000"/>
            <rFont val="Tahoma"/>
            <family val="2"/>
          </rPr>
          <t>Brian: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X14" authorId="0" shapeId="0" xr:uid="{6448F54B-B7F7-4D49-90E9-2EA7BDFE5724}">
      <text>
        <r>
          <rPr>
            <b/>
            <sz val="9"/>
            <color rgb="FF000000"/>
            <rFont val="Tahoma"/>
            <family val="2"/>
          </rPr>
          <t>Brian: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Completion of Gelnex acquisition.</t>
        </r>
      </text>
    </comment>
    <comment ref="AA14" authorId="1" shapeId="0" xr:uid="{3D2C3E2B-7A26-4C61-BCBB-213CB1131966}">
      <text>
        <r>
          <rPr>
            <b/>
            <sz val="9"/>
            <color rgb="FF000000"/>
            <rFont val="Tahoma"/>
            <family val="2"/>
          </rPr>
          <t>Avery Lyn: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Gelex @ 48k metric tons -- added to historical volume 
</t>
        </r>
      </text>
    </comment>
    <comment ref="V15" authorId="0" shapeId="0" xr:uid="{150929EE-6FF4-46DC-9EF3-BD0B5F309A24}">
      <text>
        <r>
          <rPr>
            <b/>
            <sz val="9"/>
            <color rgb="FF000000"/>
            <rFont val="Tahoma"/>
            <family val="2"/>
          </rPr>
          <t>Brian: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Average price for the year.</t>
        </r>
      </text>
    </comment>
    <comment ref="AK15" authorId="0" shapeId="0" xr:uid="{5AB7F832-C0C3-438B-A87C-013C16C592AC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Elevated prices likely to continue to dwindle until 2025 (MS)
</t>
        </r>
      </text>
    </comment>
    <comment ref="AP15" authorId="0" shapeId="0" xr:uid="{152BCFAE-8BCB-45C0-88A2-74A2575E433C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Underlying growth should restore; assuming revenue synergies from acquisition of Gelnex (one of biggest collagen producers and now a pro forma ~31% TAM share) … </t>
        </r>
      </text>
    </comment>
    <comment ref="AK19" authorId="0" shapeId="0" xr:uid="{301242C9-5100-4D9E-955C-5DDF71DE93AC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Russia snarls (hopefully) abate by 2025; price &amp; volume restorations.</t>
        </r>
      </text>
    </comment>
    <comment ref="V20" authorId="0" shapeId="0" xr:uid="{656F3701-CEF9-43AE-936B-65FB935E40CF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Average price for the year.</t>
        </r>
      </text>
    </comment>
    <comment ref="Z20" authorId="0" shapeId="0" xr:uid="{31E5CE54-E1A9-4BD0-ABDF-6AE316BE6C5F}">
      <text>
        <r>
          <rPr>
            <b/>
            <sz val="9"/>
            <color indexed="81"/>
            <rFont val="Tahoma"/>
            <family val="2"/>
          </rPr>
          <t>Brian:</t>
        </r>
        <r>
          <rPr>
            <sz val="9"/>
            <color indexed="81"/>
            <rFont val="Tahoma"/>
            <family val="2"/>
          </rPr>
          <t xml:space="preserve">
Average of all recorded years; straight-lining for simplicity. </t>
        </r>
      </text>
    </comment>
    <comment ref="U30" authorId="1" shapeId="0" xr:uid="{9200A982-EA96-4312-ACCF-4385F966ACDE}">
      <text>
        <r>
          <rPr>
            <b/>
            <sz val="9"/>
            <color rgb="FF000000"/>
            <rFont val="Tahoma"/>
            <family val="2"/>
          </rPr>
          <t>Avery Lyn: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Averaged past four quarters for percentage of total revenue</t>
        </r>
      </text>
    </comment>
    <comment ref="A44" authorId="2" shapeId="0" xr:uid="{18356929-6DEC-3C46-9991-557142B6FC1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Historical Volume Growth has been insignificant. Fuel growth stems from DGD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Avery Lyn</author>
  </authors>
  <commentList>
    <comment ref="B21" authorId="0" shapeId="0" xr:uid="{A32ED75B-A7B4-449B-9CB2-FF994F115780}">
      <text>
        <r>
          <rPr>
            <b/>
            <sz val="9"/>
            <color rgb="FF000000"/>
            <rFont val="Tahoma"/>
            <family val="2"/>
          </rPr>
          <t>Avery Lyn: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From valero</t>
        </r>
      </text>
    </comment>
    <comment ref="I22" authorId="0" shapeId="0" xr:uid="{F218ACC3-E509-4D7B-B1EC-EDA8F241493E}">
      <text>
        <r>
          <rPr>
            <b/>
            <sz val="9"/>
            <color rgb="FF000000"/>
            <rFont val="Tahoma"/>
            <family val="2"/>
          </rPr>
          <t>Avery Lyn: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Hardcoded because valero and dgd numbers did not align
</t>
        </r>
        <r>
          <rPr>
            <sz val="9"/>
            <color rgb="FF000000"/>
            <rFont val="Tahoma"/>
            <family val="2"/>
          </rPr>
          <t xml:space="preserve">190k referenced in investors presentation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7" authorId="0" shapeId="0" xr:uid="{BA118230-1272-0149-9D2A-E4F70EBFD17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Capex Amounts</t>
        </r>
      </text>
    </comment>
    <comment ref="B82" authorId="0" shapeId="0" xr:uid="{71591DE5-BF54-7343-8760-6B1E1D4FD49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matures 2024</t>
        </r>
      </text>
    </comment>
    <comment ref="B91" authorId="0" shapeId="0" xr:uid="{A19D8F58-A13F-5048-895F-61BD00D826B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5.25%</t>
        </r>
      </text>
    </comment>
    <comment ref="B100" authorId="0" shapeId="0" xr:uid="{77D59B2E-D4E1-DC4F-999B-B4003B41B5B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3.625%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1" authorId="0" shapeId="0" xr:uid="{92F36A66-7C3D-2447-8125-3F42CD1DCB2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Most recent raising at this amount
</t>
        </r>
      </text>
    </comment>
  </commentList>
</comments>
</file>

<file path=xl/sharedStrings.xml><?xml version="1.0" encoding="utf-8"?>
<sst xmlns="http://schemas.openxmlformats.org/spreadsheetml/2006/main" count="1066" uniqueCount="541">
  <si>
    <r>
      <rPr>
        <b/>
        <sz val="12"/>
        <color indexed="8"/>
        <rFont val="Arial"/>
        <family val="2"/>
      </rPr>
      <t>Model Owner:</t>
    </r>
    <r>
      <rPr>
        <sz val="12"/>
        <color indexed="8"/>
        <rFont val="Arial"/>
        <family val="2"/>
      </rPr>
      <t xml:space="preserve"> Andrew Ukhanov &amp; Team</t>
    </r>
  </si>
  <si>
    <t>Bull</t>
  </si>
  <si>
    <t>Base</t>
  </si>
  <si>
    <t>Darling Ingredients</t>
  </si>
  <si>
    <t>Bear</t>
  </si>
  <si>
    <t>NYSE: DAR</t>
  </si>
  <si>
    <t>Model &amp; Valuation</t>
  </si>
  <si>
    <t>Darling Ingredients Inc. is a developer and producer of sustainable natural ingredients from edible and inedible bio-nutrients, creating a ingredients and customized specialty solutions for customers in the food, animal feed, fuel, bioenergy and fertilizer industries. Darling also has a notable joint venture partnership with Valero with their DGD project</t>
  </si>
  <si>
    <t>Case</t>
  </si>
  <si>
    <t>Implied Upside</t>
  </si>
  <si>
    <t>Action</t>
  </si>
  <si>
    <t xml:space="preserve"> </t>
  </si>
  <si>
    <t>Operating Model</t>
  </si>
  <si>
    <t>Income Statement</t>
  </si>
  <si>
    <t>2018A</t>
  </si>
  <si>
    <t>2019A</t>
  </si>
  <si>
    <t>2020A</t>
  </si>
  <si>
    <t>2021A</t>
  </si>
  <si>
    <t>2022E</t>
  </si>
  <si>
    <t>2023E</t>
  </si>
  <si>
    <t>2024E</t>
  </si>
  <si>
    <t>2025E</t>
  </si>
  <si>
    <t>2026E</t>
  </si>
  <si>
    <t>all numbers in ($) millions</t>
  </si>
  <si>
    <t>Revenues</t>
  </si>
  <si>
    <t>Feed</t>
  </si>
  <si>
    <t>Food</t>
  </si>
  <si>
    <t>Fuel</t>
  </si>
  <si>
    <t>Total Revenue</t>
  </si>
  <si>
    <t>Cost of Goods</t>
  </si>
  <si>
    <t>Total COGS</t>
  </si>
  <si>
    <t>Gross Profit</t>
  </si>
  <si>
    <t>Total Gross Profit</t>
  </si>
  <si>
    <t>SG&amp;A Expenses</t>
  </si>
  <si>
    <t>Corporate</t>
  </si>
  <si>
    <t>Total SG&amp;A Exp.</t>
  </si>
  <si>
    <t>Operating Expenses</t>
  </si>
  <si>
    <t>Loss (gain) on Sale of Assets</t>
  </si>
  <si>
    <t>-</t>
  </si>
  <si>
    <t xml:space="preserve">Restructuring and Impairment </t>
  </si>
  <si>
    <t>D&amp;A Expense</t>
  </si>
  <si>
    <t>Acquisition &amp; Integration Costs</t>
  </si>
  <si>
    <t>Equity in Net Income of DGD</t>
  </si>
  <si>
    <t>Total Operating Expenses</t>
  </si>
  <si>
    <t>Operating Income</t>
  </si>
  <si>
    <t>Other Expenses</t>
  </si>
  <si>
    <t>Interest Expense</t>
  </si>
  <si>
    <t>Debt Extinguishment Expense</t>
  </si>
  <si>
    <t>Foreign Currency Losses</t>
  </si>
  <si>
    <t>Gain on Disposal of Subsidiaries</t>
  </si>
  <si>
    <t>Other expense, net</t>
  </si>
  <si>
    <t>Total Other Expenses</t>
  </si>
  <si>
    <t>Equity in Net Income of Other Unconsolidated Subsidiaries</t>
  </si>
  <si>
    <t>Income Before Tax</t>
  </si>
  <si>
    <t>Provision For Tax Expense</t>
  </si>
  <si>
    <t>Net Income</t>
  </si>
  <si>
    <t>(Less: NCI)</t>
  </si>
  <si>
    <t>NET INCOME (DAR):</t>
  </si>
  <si>
    <t>Net income per common share attributable to Darling Ingredients:</t>
  </si>
  <si>
    <t xml:space="preserve">     Basic</t>
  </si>
  <si>
    <t xml:space="preserve">     Diluted</t>
  </si>
  <si>
    <t>Income Statement Drivers</t>
  </si>
  <si>
    <t>Revenue Growth Y/o/Y</t>
  </si>
  <si>
    <t>NM</t>
  </si>
  <si>
    <t>COGS % (Segment)</t>
  </si>
  <si>
    <t xml:space="preserve">TOTAL COGS % </t>
  </si>
  <si>
    <t>Gross Margin % (Segment)</t>
  </si>
  <si>
    <t>TOTAL GROSS MARGIN %</t>
  </si>
  <si>
    <t>SG&amp;A Expense (Segment)</t>
  </si>
  <si>
    <t>TOTAL SG&amp;A EXPENSE %</t>
  </si>
  <si>
    <t>Foreign Currency Losses % of Revenue</t>
  </si>
  <si>
    <t>Other Expense % of Revenue</t>
  </si>
  <si>
    <t>Effective Tax Rate</t>
  </si>
  <si>
    <t>Balance Sheet</t>
  </si>
  <si>
    <t>Millions</t>
  </si>
  <si>
    <t>Assets</t>
  </si>
  <si>
    <t>Cash and cash equivalents</t>
  </si>
  <si>
    <t>Restricted cash</t>
  </si>
  <si>
    <t>Accounts receivable</t>
  </si>
  <si>
    <t>Inventories</t>
  </si>
  <si>
    <t>Prepaid expenses</t>
  </si>
  <si>
    <t>Income taxes refundable</t>
  </si>
  <si>
    <t>Other current assets</t>
  </si>
  <si>
    <t>Total current assets</t>
  </si>
  <si>
    <t>Property, plant and equipment, net</t>
  </si>
  <si>
    <t>Intangible assets, net</t>
  </si>
  <si>
    <t>Goodwill</t>
  </si>
  <si>
    <t>Investment in unconsolidated subsidiaries</t>
  </si>
  <si>
    <t>Operating lease right-of-use assets</t>
  </si>
  <si>
    <t>Other assets</t>
  </si>
  <si>
    <t>Deferred income taxes</t>
  </si>
  <si>
    <t>Total Assets</t>
  </si>
  <si>
    <t>Liabilities</t>
  </si>
  <si>
    <t>Current portion of long-term debt</t>
  </si>
  <si>
    <t>Accounts payable, principally trade</t>
  </si>
  <si>
    <t>Income taxes payable</t>
  </si>
  <si>
    <t>Current operating lease liabilities</t>
  </si>
  <si>
    <t>Accrued expenses</t>
  </si>
  <si>
    <t>Total current liabilities</t>
  </si>
  <si>
    <t>Long-term debt, net of current portion</t>
  </si>
  <si>
    <t>Long-term operating lease liabilities</t>
  </si>
  <si>
    <t>Other noncurrent liabilities</t>
  </si>
  <si>
    <t>Total liabilities</t>
  </si>
  <si>
    <t>Stockholders' equity</t>
  </si>
  <si>
    <t>Common stock, $0.01 par value;</t>
  </si>
  <si>
    <t>Additional paid-in capital</t>
  </si>
  <si>
    <t xml:space="preserve">Treasury stock, at cost; </t>
  </si>
  <si>
    <t>Accumulated other comprehensive loss</t>
  </si>
  <si>
    <t>Retained earnings</t>
  </si>
  <si>
    <t>Total Darling's stockholders' equity</t>
  </si>
  <si>
    <t>Noncontrolling interests</t>
  </si>
  <si>
    <t>Total stockholders' equity</t>
  </si>
  <si>
    <t>Total Liabilities + Equity</t>
  </si>
  <si>
    <t>Balance Sheet Difference</t>
  </si>
  <si>
    <t>Balance Sheet Check</t>
  </si>
  <si>
    <t>Working Capital Assumptions</t>
  </si>
  <si>
    <t>Current Assets</t>
  </si>
  <si>
    <t>Receivables Days</t>
  </si>
  <si>
    <t>Inventory Turnover</t>
  </si>
  <si>
    <t>Prepaid Expenses Days</t>
  </si>
  <si>
    <t>Other Current Assets as a % of revenue</t>
  </si>
  <si>
    <t>Current Liabilities</t>
  </si>
  <si>
    <t>Payable Days</t>
  </si>
  <si>
    <t xml:space="preserve">Accrued Expenses as a % of SGA </t>
  </si>
  <si>
    <t>Cash Flow Statement</t>
  </si>
  <si>
    <t>Net income</t>
  </si>
  <si>
    <t>Operating Activities</t>
  </si>
  <si>
    <t xml:space="preserve">Depreciation   </t>
  </si>
  <si>
    <t>Ammortization</t>
  </si>
  <si>
    <t>Equity in net income of Diamond Green Diesel and other unconsolidated subsidiaries</t>
  </si>
  <si>
    <t xml:space="preserve">Inventories </t>
  </si>
  <si>
    <t>Prepaid Expenses</t>
  </si>
  <si>
    <t xml:space="preserve">Accounts Payable </t>
  </si>
  <si>
    <t>Accrued Expenses</t>
  </si>
  <si>
    <t>Other</t>
  </si>
  <si>
    <t>Operating Lease Assets</t>
  </si>
  <si>
    <t>Current Lease Liabilities</t>
  </si>
  <si>
    <t>Non Current Lease Liabilities</t>
  </si>
  <si>
    <t>Net cash provided by operating activities</t>
  </si>
  <si>
    <t>Investing Activities</t>
  </si>
  <si>
    <t>Capital expenditures</t>
  </si>
  <si>
    <t>Net cash used in investing activities</t>
  </si>
  <si>
    <t>Financing Activities</t>
  </si>
  <si>
    <t>Proceeds from long-term debt</t>
  </si>
  <si>
    <t>Payments on long-term debt</t>
  </si>
  <si>
    <t>Borrowings from revolving credit facility</t>
  </si>
  <si>
    <t>Payments on revolving credit facility</t>
  </si>
  <si>
    <t>Repurchase of common stock</t>
  </si>
  <si>
    <t>Net cash used in financing activities</t>
  </si>
  <si>
    <t>Net increase/(decrease) in cash, cash equivalents and restricted cash</t>
  </si>
  <si>
    <t>Cash, cash equivalents and restricted cash at beginning of year</t>
  </si>
  <si>
    <t>Cash, cash equivalents and restricted cash at end of year</t>
  </si>
  <si>
    <t>Assumptions</t>
  </si>
  <si>
    <t>Company:</t>
  </si>
  <si>
    <t>Ticker:</t>
  </si>
  <si>
    <t>DAR</t>
  </si>
  <si>
    <t>Date of Valuation</t>
  </si>
  <si>
    <t>Stub</t>
  </si>
  <si>
    <t>WACC</t>
  </si>
  <si>
    <t>Tax Rate</t>
  </si>
  <si>
    <t>PGR</t>
  </si>
  <si>
    <t>Multiple</t>
  </si>
  <si>
    <t>DSO</t>
  </si>
  <si>
    <t>Share Price</t>
  </si>
  <si>
    <t>Method of Valuation:</t>
  </si>
  <si>
    <t>Average of Methods</t>
  </si>
  <si>
    <t>Implied Share Price:</t>
  </si>
  <si>
    <t>Implied Upside:</t>
  </si>
  <si>
    <t>Discounted Cash Flow Valuation</t>
  </si>
  <si>
    <t>FY'22</t>
  </si>
  <si>
    <t>FY'23</t>
  </si>
  <si>
    <t>FY'24</t>
  </si>
  <si>
    <t>FY'25</t>
  </si>
  <si>
    <t>FY'26</t>
  </si>
  <si>
    <t>Top-Down Unlevered Free Cash Flow (ULFCF) Calculations</t>
  </si>
  <si>
    <t>EBIT</t>
  </si>
  <si>
    <t>NOPAT</t>
  </si>
  <si>
    <t>Plus: D&amp;A</t>
  </si>
  <si>
    <t>Less: NWC</t>
  </si>
  <si>
    <t>Less: CAPEX</t>
  </si>
  <si>
    <t xml:space="preserve">Unlevered Free Cash Flow </t>
  </si>
  <si>
    <t>Present Value of Unlevered Free Cash Flow</t>
  </si>
  <si>
    <t>Sum of Present Value of Unlevered Free Cash Flow</t>
  </si>
  <si>
    <t>Perpetuity Method</t>
  </si>
  <si>
    <t>Sensitivity Analysis</t>
  </si>
  <si>
    <t>Terminal Year ULFCF</t>
  </si>
  <si>
    <t>Perpetuity Growth Method (ULFCF)</t>
  </si>
  <si>
    <t>TGR</t>
  </si>
  <si>
    <t>Terminal Value</t>
  </si>
  <si>
    <t>Present Value of Terminal Value</t>
  </si>
  <si>
    <t>Implied Enterprise Value</t>
  </si>
  <si>
    <t>Net Debt</t>
  </si>
  <si>
    <t>Implied Equity Value</t>
  </si>
  <si>
    <t>Diluted Shares Outstanding</t>
  </si>
  <si>
    <t>Implied Share Price</t>
  </si>
  <si>
    <t>Terminal EBITDA Method</t>
  </si>
  <si>
    <t>Exit Year EBITDA</t>
  </si>
  <si>
    <t>EV/EBITDA Method</t>
  </si>
  <si>
    <t xml:space="preserve">Terminal Value </t>
  </si>
  <si>
    <t>WACC / Discount rate</t>
  </si>
  <si>
    <t>Discount period</t>
  </si>
  <si>
    <t>Net Present Terminal Value</t>
  </si>
  <si>
    <t>Present value of ULFCF</t>
  </si>
  <si>
    <t>Implied Enterprise value</t>
  </si>
  <si>
    <t>Net debt</t>
  </si>
  <si>
    <t>Implied share price</t>
  </si>
  <si>
    <t>›</t>
  </si>
  <si>
    <t>Net Debt Build:</t>
  </si>
  <si>
    <t>Total Debt:</t>
  </si>
  <si>
    <t>Total Cash:</t>
  </si>
  <si>
    <t>Net Debt:</t>
  </si>
  <si>
    <t>Perpetuity Growth Method</t>
  </si>
  <si>
    <t>Exit Multiple Method</t>
  </si>
  <si>
    <t>Implied Share Price (Exit Multiple Method)</t>
  </si>
  <si>
    <t>Implied Upside (Exit Multiple Method</t>
  </si>
  <si>
    <t>Implied Share Price (Average of Methods)</t>
  </si>
  <si>
    <t>Implied Upside (Average of Methods)</t>
  </si>
  <si>
    <t>Revenue Build</t>
  </si>
  <si>
    <t>Fiscal Year End Date</t>
  </si>
  <si>
    <t>Total FY Revenue</t>
  </si>
  <si>
    <t>FY'19</t>
  </si>
  <si>
    <t>FY'20</t>
  </si>
  <si>
    <t>FY'21</t>
  </si>
  <si>
    <t>FY'22E</t>
  </si>
  <si>
    <t>FY'23E</t>
  </si>
  <si>
    <t>FY'24E</t>
  </si>
  <si>
    <t>FY'25E</t>
  </si>
  <si>
    <t>FY'26E</t>
  </si>
  <si>
    <t>$ in thousands, except per share</t>
  </si>
  <si>
    <t>FY'18A</t>
  </si>
  <si>
    <t>Q1</t>
  </si>
  <si>
    <t>Q2</t>
  </si>
  <si>
    <t>Q3</t>
  </si>
  <si>
    <t>Q4</t>
  </si>
  <si>
    <t>FY'19A</t>
  </si>
  <si>
    <t>FY'20A</t>
  </si>
  <si>
    <t>FY'21A</t>
  </si>
  <si>
    <t>Q4E</t>
  </si>
  <si>
    <t>Food Segment</t>
  </si>
  <si>
    <t>Edible Fats</t>
  </si>
  <si>
    <t>Palm Oil</t>
  </si>
  <si>
    <t>Step:</t>
  </si>
  <si>
    <t>Volume</t>
  </si>
  <si>
    <t>N/M</t>
  </si>
  <si>
    <t>Price</t>
  </si>
  <si>
    <t>gp margin food</t>
  </si>
  <si>
    <t>Revenue (Edible Fats)</t>
  </si>
  <si>
    <t>gelnex</t>
  </si>
  <si>
    <t>Collagen (Food Ingredients)</t>
  </si>
  <si>
    <t>ton</t>
  </si>
  <si>
    <t>ebitda</t>
  </si>
  <si>
    <t>ebitda / ton</t>
  </si>
  <si>
    <t>Revenue (Collagen)</t>
  </si>
  <si>
    <t>Volume (in thousands)</t>
  </si>
  <si>
    <t>Other Revenue</t>
  </si>
  <si>
    <t>Total Segment Revenue:</t>
  </si>
  <si>
    <t>Feed Segment</t>
  </si>
  <si>
    <t>Average Price</t>
  </si>
  <si>
    <t>Revenue</t>
  </si>
  <si>
    <t xml:space="preserve">Sale to DGD </t>
  </si>
  <si>
    <t>Sale to Other</t>
  </si>
  <si>
    <t>Volume Growth</t>
  </si>
  <si>
    <t>Price Appreciation</t>
  </si>
  <si>
    <t xml:space="preserve">% of yearly revenue </t>
  </si>
  <si>
    <t>N/A</t>
  </si>
  <si>
    <t xml:space="preserve">DGD % of total revenue </t>
  </si>
  <si>
    <t>Segment Revenue</t>
  </si>
  <si>
    <t>Fuel Segment</t>
  </si>
  <si>
    <t>Volume (mmts)</t>
  </si>
  <si>
    <t>Summary</t>
  </si>
  <si>
    <t>Food Revenue</t>
  </si>
  <si>
    <t>Feed Revenue</t>
  </si>
  <si>
    <t>Fuel Revenue</t>
  </si>
  <si>
    <t xml:space="preserve">    Growth</t>
  </si>
  <si>
    <t>Current Share Price</t>
  </si>
  <si>
    <t>SALES MULTIPLE COMPANY VALUATION</t>
  </si>
  <si>
    <t>($ in millions, except per share amounts)</t>
  </si>
  <si>
    <t>Implied Reference Range</t>
  </si>
  <si>
    <t>Data</t>
  </si>
  <si>
    <t>Low</t>
  </si>
  <si>
    <t>High</t>
  </si>
  <si>
    <t>LTM Sales</t>
  </si>
  <si>
    <t>Implied Enterprise Value Reference Range</t>
  </si>
  <si>
    <t>(-) Net Debt</t>
  </si>
  <si>
    <t>(-) Minority Interest</t>
  </si>
  <si>
    <t>(-) Preferred Stock</t>
  </si>
  <si>
    <t>Implied Equity Value Reference Range</t>
  </si>
  <si>
    <t>Fully Diluted Shares Outstanding</t>
  </si>
  <si>
    <t>Implied Target Price</t>
  </si>
  <si>
    <t>% Upside (Downside) from current share price</t>
  </si>
  <si>
    <t>EBITDA MULTIPLE COMPANY VALUATION</t>
  </si>
  <si>
    <t>LTM EBITDA</t>
  </si>
  <si>
    <t>P/E Valuation</t>
  </si>
  <si>
    <t>LTM EPS</t>
  </si>
  <si>
    <t>FY + 1 Sales Valuation</t>
  </si>
  <si>
    <t>FY+1 EBITDA</t>
  </si>
  <si>
    <t>FY + 1 EBITDA Valuation</t>
  </si>
  <si>
    <t>P/E + 1 Valuation</t>
  </si>
  <si>
    <t>Forward EPS</t>
  </si>
  <si>
    <t>Case Analysis</t>
  </si>
  <si>
    <t>($ in millions)</t>
  </si>
  <si>
    <t>Active Case</t>
  </si>
  <si>
    <t>Feed COGS</t>
  </si>
  <si>
    <t>Food COGS</t>
  </si>
  <si>
    <t>Fuel COGS</t>
  </si>
  <si>
    <t>Feed SGA</t>
  </si>
  <si>
    <t>Food SGA</t>
  </si>
  <si>
    <t>Fuel SGA</t>
  </si>
  <si>
    <t>Corporate SGA</t>
  </si>
  <si>
    <t>Explanation for Gal/year</t>
  </si>
  <si>
    <t>Switches:</t>
  </si>
  <si>
    <r>
      <rPr>
        <b/>
        <sz val="12"/>
        <color rgb="FF000000"/>
        <rFont val="Garamond"/>
        <family val="1"/>
      </rPr>
      <t xml:space="preserve">Bull Gallons / Year Step: </t>
    </r>
    <r>
      <rPr>
        <b/>
        <i/>
        <sz val="12"/>
        <color rgb="FF000000"/>
        <rFont val="Garamond"/>
        <family val="1"/>
      </rPr>
      <t>assumes that DGD hits 1.2B gal/year by end of 2023</t>
    </r>
  </si>
  <si>
    <r>
      <rPr>
        <b/>
        <sz val="12"/>
        <color rgb="FF000000"/>
        <rFont val="Garamond"/>
        <family val="1"/>
      </rPr>
      <t xml:space="preserve">Base Gallons / Year Step: </t>
    </r>
    <r>
      <rPr>
        <b/>
        <i/>
        <sz val="12"/>
        <color rgb="FF000000"/>
        <rFont val="Garamond"/>
        <family val="1"/>
      </rPr>
      <t>assumes that DGD htis 1.2B gal/year by end of 2024</t>
    </r>
  </si>
  <si>
    <t>D&amp;A Per Gallon</t>
  </si>
  <si>
    <t>Gallons / Year Step</t>
  </si>
  <si>
    <t>Revenue / Gallon</t>
  </si>
  <si>
    <t>Int. Exp as a % of Revenue</t>
  </si>
  <si>
    <t>Costs excluding D&amp;A / gallon</t>
  </si>
  <si>
    <r>
      <rPr>
        <b/>
        <sz val="12"/>
        <color rgb="FF000000"/>
        <rFont val="Garamond"/>
        <family val="1"/>
      </rPr>
      <t xml:space="preserve">Bear Gallons / Year Step: </t>
    </r>
    <r>
      <rPr>
        <b/>
        <i/>
        <sz val="12"/>
        <color rgb="FF000000"/>
        <rFont val="Garamond"/>
        <family val="1"/>
      </rPr>
      <t>assumes that DGD hits 1.2B gal/year by end of 2025</t>
    </r>
  </si>
  <si>
    <t>Income to DAR</t>
  </si>
  <si>
    <t xml:space="preserve">DGD Segment </t>
  </si>
  <si>
    <t xml:space="preserve">all numbers in thousands except EBIT/gallon </t>
  </si>
  <si>
    <t>Operating revenues</t>
  </si>
  <si>
    <t>Expenses:</t>
  </si>
  <si>
    <t>Costs excluding D&amp;A</t>
  </si>
  <si>
    <t>EBITDA</t>
  </si>
  <si>
    <t>D&amp;A expense</t>
  </si>
  <si>
    <t>Other income</t>
  </si>
  <si>
    <t>Interest and debt expense, net</t>
  </si>
  <si>
    <t>Sales Gallons/day (thousands)</t>
  </si>
  <si>
    <t>Sales Gallons/year (thousands)</t>
  </si>
  <si>
    <t xml:space="preserve">EBITDA/gallon </t>
  </si>
  <si>
    <t xml:space="preserve">DAR reported EBTIDA/gallon </t>
  </si>
  <si>
    <t xml:space="preserve">Difference </t>
  </si>
  <si>
    <t>Step</t>
  </si>
  <si>
    <t>relatively conservative as cost per gallon will remain above 2022 q1</t>
  </si>
  <si>
    <t xml:space="preserve">D&amp;A expense/gallon </t>
  </si>
  <si>
    <t>Interest and debt expense % of revenue</t>
  </si>
  <si>
    <t xml:space="preserve">Revenue / gallon </t>
  </si>
  <si>
    <t>PP&amp;E Depreciation Schedule</t>
  </si>
  <si>
    <t>PP&amp;E</t>
  </si>
  <si>
    <t>Value</t>
  </si>
  <si>
    <t xml:space="preserve">Straight-line </t>
  </si>
  <si>
    <t>Land</t>
  </si>
  <si>
    <t>Buildings &amp; Improvements</t>
  </si>
  <si>
    <t>Machinery &amp; Equipment</t>
  </si>
  <si>
    <t>CAPEX</t>
  </si>
  <si>
    <t>Vehicles</t>
  </si>
  <si>
    <t xml:space="preserve">   as a % of revenue</t>
  </si>
  <si>
    <t>Aircraft</t>
  </si>
  <si>
    <t>Straight line depreciation years</t>
  </si>
  <si>
    <t>Construction in Process</t>
  </si>
  <si>
    <t>Existing PP&amp;E depreciation</t>
  </si>
  <si>
    <t>Total Property / W AVG Years</t>
  </si>
  <si>
    <t>CAPEX years</t>
  </si>
  <si>
    <t>Accumulated Depreciation</t>
  </si>
  <si>
    <t>Net PP&amp;E</t>
  </si>
  <si>
    <t>Book depreciation</t>
  </si>
  <si>
    <t>% of revenue</t>
  </si>
  <si>
    <t>Amortization</t>
  </si>
  <si>
    <t xml:space="preserve">2026E </t>
  </si>
  <si>
    <t>Intagabile Asset Value</t>
  </si>
  <si>
    <t>Total D&amp;A</t>
  </si>
  <si>
    <t xml:space="preserve">Share Repurchase Schedule </t>
  </si>
  <si>
    <t>Thousands</t>
  </si>
  <si>
    <t>Weighted Price</t>
  </si>
  <si>
    <t>$ Repurchased</t>
  </si>
  <si>
    <t>Shares Repurchased</t>
  </si>
  <si>
    <t>Debt Schedule</t>
  </si>
  <si>
    <t>Cash at the Beginning of the Period</t>
  </si>
  <si>
    <t>Free Cash Flow Available to service Debt</t>
  </si>
  <si>
    <t>Share Issuances (Repurchases)</t>
  </si>
  <si>
    <t>Dividends Paid</t>
  </si>
  <si>
    <t>Minimum Cash Cushion</t>
  </si>
  <si>
    <t>Cash Available to Service Debt</t>
  </si>
  <si>
    <t>Revolver Issuances</t>
  </si>
  <si>
    <t xml:space="preserve"> Revolver Repayments</t>
  </si>
  <si>
    <t>Cash Available to Service Current Portion of Term Debt</t>
  </si>
  <si>
    <t>Current Portion of Term Debt Paydown</t>
  </si>
  <si>
    <t>Cash Available to Service Notes</t>
  </si>
  <si>
    <t>Long Term Debt Issuances</t>
  </si>
  <si>
    <t>Long Term Debt Repayment</t>
  </si>
  <si>
    <t>Cash at the End of the Period</t>
  </si>
  <si>
    <t xml:space="preserve">Revolving Credit Facility </t>
  </si>
  <si>
    <t>Beginning Balance</t>
  </si>
  <si>
    <t>Optional Issuances</t>
  </si>
  <si>
    <t>Mandatory Paydown</t>
  </si>
  <si>
    <t>Ending Balance</t>
  </si>
  <si>
    <t>Average Balance</t>
  </si>
  <si>
    <t>Interest Rate</t>
  </si>
  <si>
    <t>Term A-1 Facility</t>
  </si>
  <si>
    <t>Term A-2 Facility</t>
  </si>
  <si>
    <t>Term Loan B</t>
  </si>
  <si>
    <t>Senior Notes Due 2027</t>
  </si>
  <si>
    <t>Senior Notes Due 2026</t>
  </si>
  <si>
    <t>Senior Notes Due 2030</t>
  </si>
  <si>
    <t>Current Portion of Long Term Debt:</t>
  </si>
  <si>
    <t>Total Interest Expense</t>
  </si>
  <si>
    <t>Cash &amp; Equivalents:</t>
  </si>
  <si>
    <t>Changes in Cash and Equivalents</t>
  </si>
  <si>
    <t>Interest Income</t>
  </si>
  <si>
    <t>Cash Check</t>
  </si>
  <si>
    <t>Operating Lease Schedule</t>
  </si>
  <si>
    <t>Lease Expense</t>
  </si>
  <si>
    <t>Existing Balance</t>
  </si>
  <si>
    <t>Lease Payments</t>
  </si>
  <si>
    <t>Current Operating Lease Liabilities</t>
  </si>
  <si>
    <t>Non-Current Operating Lease Liabilities</t>
  </si>
  <si>
    <t>Operating Lease ROU Assets</t>
  </si>
  <si>
    <t>ROU as a % of Total Liability</t>
  </si>
  <si>
    <t>Darling Ingredients | Weighted Average Cost of Capital</t>
  </si>
  <si>
    <t>all #'s in thousands</t>
  </si>
  <si>
    <t>Cost of Equity:</t>
  </si>
  <si>
    <t>Beta</t>
  </si>
  <si>
    <t>Risk-Free Rate</t>
  </si>
  <si>
    <t>Expected Market Return:</t>
  </si>
  <si>
    <t>COST OF EQUITY:</t>
  </si>
  <si>
    <t>Cost of Debt:</t>
  </si>
  <si>
    <t>Cost of Debt (proxy):</t>
  </si>
  <si>
    <t>Company Tax Rate:</t>
  </si>
  <si>
    <t>COST OF DEBT:</t>
  </si>
  <si>
    <t>Capital Structure:</t>
  </si>
  <si>
    <t>Market Value of Equity:</t>
  </si>
  <si>
    <t>Book Value of Debt:</t>
  </si>
  <si>
    <t>Total Capitalization:</t>
  </si>
  <si>
    <t>WACC:</t>
  </si>
  <si>
    <t>Darling Ingredients | Diluted Shares Outstanding-Treasury Stock Method</t>
  </si>
  <si>
    <t>Company Name:</t>
  </si>
  <si>
    <t>Company Share Price</t>
  </si>
  <si>
    <t>Basic Shares Outstanding:</t>
  </si>
  <si>
    <t>Plus: ITM Options:</t>
  </si>
  <si>
    <t>Diluted Shares Outstanding:</t>
  </si>
  <si>
    <t>Options:</t>
  </si>
  <si>
    <t>Number of Shares</t>
  </si>
  <si>
    <t>Weighted-Average Strike Price</t>
  </si>
  <si>
    <t>Gross Proceeds</t>
  </si>
  <si>
    <t>Tranche 1</t>
  </si>
  <si>
    <t>Total Proceeds:</t>
  </si>
  <si>
    <t>Repurchased:</t>
  </si>
  <si>
    <t>Net Dilution:</t>
  </si>
  <si>
    <t>Darling Ingredients | Debt Tranches</t>
  </si>
  <si>
    <t>Carrying value Term A-1 facility</t>
  </si>
  <si>
    <t>Carrying value Term A-2 facility</t>
  </si>
  <si>
    <t>Carrying value Term Loan B</t>
  </si>
  <si>
    <t>Carrying value 6% Senior Notes due 2030</t>
  </si>
  <si>
    <t>Carrying value 5.25% Senior Notes due 2027</t>
  </si>
  <si>
    <t>Carrying value 3.625% Senior Notes due 2026</t>
  </si>
  <si>
    <t>Other Notes and Obligations</t>
  </si>
  <si>
    <t>Revolving Credit</t>
  </si>
  <si>
    <t>Less: Current Maturities</t>
  </si>
  <si>
    <t>Darling Ingredients Comparable Companies Analysis</t>
  </si>
  <si>
    <t>All #'s in millions</t>
  </si>
  <si>
    <t> </t>
  </si>
  <si>
    <t xml:space="preserve">Market </t>
  </si>
  <si>
    <t>Financials</t>
  </si>
  <si>
    <t>Multiples</t>
  </si>
  <si>
    <t>Company</t>
  </si>
  <si>
    <t>Ticker</t>
  </si>
  <si>
    <t>Market Cap</t>
  </si>
  <si>
    <t>Enterprise Value</t>
  </si>
  <si>
    <t>EV/Rev</t>
  </si>
  <si>
    <t>EV/EBIT</t>
  </si>
  <si>
    <t>P/E</t>
  </si>
  <si>
    <t>EV/EBITDA</t>
  </si>
  <si>
    <t xml:space="preserve">Lamb Weston Holdings Inc </t>
  </si>
  <si>
    <t>LW</t>
  </si>
  <si>
    <t xml:space="preserve">Bunge Ltd </t>
  </si>
  <si>
    <t>BG</t>
  </si>
  <si>
    <t>Archer-Daniels-Midland Co.</t>
  </si>
  <si>
    <t>ADM</t>
  </si>
  <si>
    <t>Enviva Inc</t>
  </si>
  <si>
    <t>EVA</t>
  </si>
  <si>
    <t>Median</t>
  </si>
  <si>
    <t>Mean</t>
  </si>
  <si>
    <t>25th Percentile</t>
  </si>
  <si>
    <t>75th Percentile</t>
  </si>
  <si>
    <t>Price Elasticity of Demand (PED)</t>
  </si>
  <si>
    <t>evry 1% of price inc / dec, -.58% impact on Q(d)</t>
  </si>
  <si>
    <t>x</t>
  </si>
  <si>
    <t xml:space="preserve">Jacobsen Historicals </t>
  </si>
  <si>
    <t>2015 Q1</t>
  </si>
  <si>
    <t>2015 Q2</t>
  </si>
  <si>
    <t>2015 Q3</t>
  </si>
  <si>
    <t>2015 Q4</t>
  </si>
  <si>
    <t>2015 Avg</t>
  </si>
  <si>
    <t>2016 Q1</t>
  </si>
  <si>
    <t xml:space="preserve">2016 Q2 </t>
  </si>
  <si>
    <t>2016 Q3</t>
  </si>
  <si>
    <t xml:space="preserve">2016 Q4 </t>
  </si>
  <si>
    <t>2016 Avg</t>
  </si>
  <si>
    <t>2017 Q1</t>
  </si>
  <si>
    <t>2017 Q2</t>
  </si>
  <si>
    <t>2017 Q3</t>
  </si>
  <si>
    <t>2017 Q4</t>
  </si>
  <si>
    <t>2017 Avg</t>
  </si>
  <si>
    <t>2018 Q1</t>
  </si>
  <si>
    <t xml:space="preserve">2018 Q2 </t>
  </si>
  <si>
    <t>2018 Q3</t>
  </si>
  <si>
    <t>2018 Q4</t>
  </si>
  <si>
    <t xml:space="preserve">2018 Avg </t>
  </si>
  <si>
    <t>2019 Q1</t>
  </si>
  <si>
    <t>2019 Q2</t>
  </si>
  <si>
    <t>2019 Q3</t>
  </si>
  <si>
    <t>2019 Q4</t>
  </si>
  <si>
    <t xml:space="preserve">2019 Avg </t>
  </si>
  <si>
    <t>2020 Q1</t>
  </si>
  <si>
    <t xml:space="preserve">2020 Q2 </t>
  </si>
  <si>
    <t>2020 Q3</t>
  </si>
  <si>
    <t xml:space="preserve">2020 Q4 </t>
  </si>
  <si>
    <t xml:space="preserve">2020 Avg </t>
  </si>
  <si>
    <t xml:space="preserve">2021 Q1 </t>
  </si>
  <si>
    <t xml:space="preserve">2021 Q2 </t>
  </si>
  <si>
    <t xml:space="preserve">2021 Q3 </t>
  </si>
  <si>
    <t>2021 Q4</t>
  </si>
  <si>
    <t xml:space="preserve">2021 Avg </t>
  </si>
  <si>
    <t>2022 Q1</t>
  </si>
  <si>
    <t>2022Q2</t>
  </si>
  <si>
    <t>2022 H1 Avg</t>
  </si>
  <si>
    <r>
      <t xml:space="preserve">MBM (Illinois) </t>
    </r>
    <r>
      <rPr>
        <b/>
        <sz val="11"/>
        <color theme="1"/>
        <rFont val="Garamond"/>
        <family val="1"/>
      </rPr>
      <t>/ton</t>
    </r>
  </si>
  <si>
    <r>
      <t xml:space="preserve">Feed Grade PM (Mid-South) </t>
    </r>
    <r>
      <rPr>
        <b/>
        <sz val="11"/>
        <color theme="1"/>
        <rFont val="Garamond"/>
        <family val="1"/>
      </rPr>
      <t>/ton</t>
    </r>
  </si>
  <si>
    <r>
      <t xml:space="preserve">Pet Food PM (Mid-South) </t>
    </r>
    <r>
      <rPr>
        <b/>
        <sz val="11"/>
        <color theme="1"/>
        <rFont val="Garamond"/>
        <family val="1"/>
      </rPr>
      <t>/ton</t>
    </r>
  </si>
  <si>
    <r>
      <t xml:space="preserve">Feather meal (Mid-South) </t>
    </r>
    <r>
      <rPr>
        <b/>
        <sz val="11"/>
        <color theme="1"/>
        <rFont val="Garamond"/>
        <family val="1"/>
      </rPr>
      <t>/ton</t>
    </r>
  </si>
  <si>
    <r>
      <t>BFT (Chicago) /</t>
    </r>
    <r>
      <rPr>
        <b/>
        <sz val="11"/>
        <color theme="1"/>
        <rFont val="Garamond"/>
        <family val="1"/>
      </rPr>
      <t>cwt</t>
    </r>
  </si>
  <si>
    <r>
      <t xml:space="preserve">YG (Illinois) </t>
    </r>
    <r>
      <rPr>
        <b/>
        <sz val="11"/>
        <color theme="1"/>
        <rFont val="Garamond"/>
        <family val="1"/>
      </rPr>
      <t>/cwt</t>
    </r>
  </si>
  <si>
    <r>
      <t xml:space="preserve">Corn (Illinois) </t>
    </r>
    <r>
      <rPr>
        <b/>
        <sz val="11"/>
        <color theme="1"/>
        <rFont val="Garamond"/>
        <family val="1"/>
      </rPr>
      <t xml:space="preserve">/bushel </t>
    </r>
  </si>
  <si>
    <t>6.5 Year</t>
  </si>
  <si>
    <t>5.5 Year</t>
  </si>
  <si>
    <t>5 Year</t>
  </si>
  <si>
    <t>3 Year</t>
  </si>
  <si>
    <t xml:space="preserve">Averages </t>
  </si>
  <si>
    <t xml:space="preserve">25th </t>
  </si>
  <si>
    <t>Avg</t>
  </si>
  <si>
    <t xml:space="preserve">75th </t>
  </si>
  <si>
    <t xml:space="preserve">Current Price Relative To </t>
  </si>
  <si>
    <t>MBM (Illinois) /ton</t>
  </si>
  <si>
    <t>Feed Grade PM (Mid-South) /ton</t>
  </si>
  <si>
    <t>Pet Food PM (Mid-South) /ton</t>
  </si>
  <si>
    <t>Feather meal (Mid-South) /ton</t>
  </si>
  <si>
    <t>BFT (Chicago) /cwt</t>
  </si>
  <si>
    <t>YG (Illinois) /cwt</t>
  </si>
  <si>
    <t xml:space="preserve">Corn (Illinois) /bushel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</si>
</sst>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\A"/>
    <numFmt numFmtId="165" formatCode="0000\E"/>
    <numFmt numFmtId="166" formatCode="_(#,##0_);_(\(#,##0\);_(&quot;-&quot;_);_(@_)"/>
    <numFmt numFmtId="167" formatCode="#,##0.0"/>
    <numFmt numFmtId="168" formatCode="_(\$* #,##0_);_(\$* \(#,##0\);_(\$* &quot;-&quot;_);_(@_)"/>
    <numFmt numFmtId="169" formatCode="_(0_);_(\(0\);_(&quot;-&quot;_);@_)"/>
    <numFmt numFmtId="170" formatCode="_(&quot;$&quot;* #,##0_);_(&quot;$&quot;* \(#,##0\);_(&quot;$&quot;* &quot;-&quot;??_);_(@_)"/>
    <numFmt numFmtId="171" formatCode="_([$$-409]* #,##0.00_);_([$$-409]* \(#,##0.00\);_([$$-409]* &quot;-&quot;??_);_(@_)"/>
    <numFmt numFmtId="172" formatCode="0.0%"/>
    <numFmt numFmtId="173" formatCode="0.000%"/>
    <numFmt numFmtId="174" formatCode="_([$$-409]* #,##0.0000_);_([$$-409]* \(#,##0.0000\);_([$$-409]* &quot;-&quot;????_);_(@_)"/>
    <numFmt numFmtId="175" formatCode="0\A"/>
    <numFmt numFmtId="176" formatCode="\Q0"/>
    <numFmt numFmtId="177" formatCode="_(* #,##0_);_(* \(#,##0\);_(* &quot;-&quot;??_);_(@_)"/>
    <numFmt numFmtId="178" formatCode="_([$$-409]* #,##0_);_([$$-409]* \(#,##0\);_([$$-409]* &quot;-&quot;??_);_(@_)"/>
    <numFmt numFmtId="179" formatCode="#,##0.000_);\(#,##0.000\)"/>
    <numFmt numFmtId="180" formatCode="&quot;$&quot;#,##0.0_);[Red]\(&quot;$&quot;#,##0.0\)"/>
    <numFmt numFmtId="181" formatCode="yyyy\-mm\-dd"/>
    <numFmt numFmtId="182" formatCode="0.0"/>
    <numFmt numFmtId="183" formatCode="_(&quot;$&quot;* #,##0.0_);_(&quot;$&quot;* \(#,##0.0\);_(&quot;$&quot;* &quot;-&quot;??_);_(@_)"/>
    <numFmt numFmtId="184" formatCode="0_);\(0\)"/>
    <numFmt numFmtId="185" formatCode="0.00&quot;x&quot;"/>
  </numFmts>
  <fonts count="1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sz val="11"/>
      <color rgb="FFFFFFFF"/>
      <name val="Arial Narrow"/>
      <family val="2"/>
    </font>
    <font>
      <sz val="11"/>
      <color rgb="FF000000"/>
      <name val="Arial Narrow"/>
      <family val="2"/>
    </font>
    <font>
      <i/>
      <sz val="11"/>
      <color rgb="FFFFFFFF"/>
      <name val="Arial Narrow"/>
      <family val="2"/>
    </font>
    <font>
      <sz val="11"/>
      <name val="Arial Narrow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Arial Narrow"/>
      <family val="2"/>
    </font>
    <font>
      <sz val="11"/>
      <color theme="0"/>
      <name val="Arial Narrow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name val="Calibri"/>
      <family val="2"/>
    </font>
    <font>
      <sz val="11"/>
      <color rgb="FFFFFFFF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sz val="12"/>
      <color theme="0"/>
      <name val="Garamond"/>
      <family val="1"/>
    </font>
    <font>
      <sz val="11"/>
      <color theme="1"/>
      <name val="Garamond"/>
      <family val="1"/>
    </font>
    <font>
      <sz val="11"/>
      <name val="Garamond"/>
      <family val="1"/>
    </font>
    <font>
      <b/>
      <sz val="12"/>
      <color theme="1"/>
      <name val="Garamond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 (Body)"/>
    </font>
    <font>
      <b/>
      <sz val="11"/>
      <color theme="1"/>
      <name val="Calibri"/>
      <family val="2"/>
      <scheme val="minor"/>
    </font>
    <font>
      <b/>
      <sz val="9"/>
      <color theme="0"/>
      <name val="Arial Narrow"/>
      <family val="2"/>
    </font>
    <font>
      <sz val="9"/>
      <color theme="1"/>
      <name val="Arial Narrow"/>
      <family val="2"/>
    </font>
    <font>
      <b/>
      <sz val="12"/>
      <color theme="0"/>
      <name val="Arial Narrow"/>
      <family val="2"/>
    </font>
    <font>
      <b/>
      <i/>
      <sz val="12"/>
      <color theme="0"/>
      <name val="Arial Narrow"/>
      <family val="2"/>
    </font>
    <font>
      <sz val="12"/>
      <color theme="0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name val="Calibri"/>
      <family val="2"/>
      <scheme val="minor"/>
    </font>
    <font>
      <b/>
      <u/>
      <sz val="12"/>
      <color theme="1"/>
      <name val="Garamond"/>
      <family val="1"/>
    </font>
    <font>
      <i/>
      <sz val="12"/>
      <color theme="0"/>
      <name val="Garamond"/>
      <family val="1"/>
    </font>
    <font>
      <b/>
      <sz val="12"/>
      <name val="Garamond"/>
      <family val="1"/>
    </font>
    <font>
      <sz val="12"/>
      <name val="Garamond"/>
      <family val="1"/>
    </font>
    <font>
      <b/>
      <i/>
      <sz val="12"/>
      <color theme="1"/>
      <name val="Garamond"/>
      <family val="1"/>
    </font>
    <font>
      <b/>
      <sz val="12"/>
      <color rgb="FF4472C4"/>
      <name val="Garamond"/>
      <family val="1"/>
    </font>
    <font>
      <b/>
      <sz val="12"/>
      <color rgb="FF000000"/>
      <name val="Garamond"/>
      <family val="1"/>
    </font>
    <font>
      <b/>
      <i/>
      <sz val="12"/>
      <color rgb="FF000000"/>
      <name val="Garamond"/>
      <family val="1"/>
    </font>
    <font>
      <sz val="12"/>
      <color theme="8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u/>
      <sz val="12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b/>
      <sz val="12"/>
      <color theme="4"/>
      <name val="Calibri"/>
      <family val="2"/>
      <scheme val="minor"/>
    </font>
    <font>
      <sz val="10"/>
      <color theme="0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i/>
      <sz val="11"/>
      <color theme="0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sz val="16"/>
      <color rgb="FFFFFFFF"/>
      <name val="Arial"/>
      <family val="2"/>
    </font>
    <font>
      <sz val="12"/>
      <color rgb="FF000000"/>
      <name val="Calibri"/>
      <family val="2"/>
    </font>
    <font>
      <sz val="12"/>
      <color rgb="FF0070C0"/>
      <name val="Calibri"/>
      <family val="2"/>
      <scheme val="minor"/>
    </font>
    <font>
      <sz val="10"/>
      <color rgb="FF000000"/>
      <name val="Arial Narrow"/>
      <family val="2"/>
    </font>
    <font>
      <b/>
      <sz val="10"/>
      <color theme="9"/>
      <name val="Arial Narrow"/>
      <family val="2"/>
    </font>
    <font>
      <b/>
      <sz val="10"/>
      <color rgb="FF000000"/>
      <name val="Arial Narrow"/>
      <family val="2"/>
    </font>
    <font>
      <b/>
      <i/>
      <sz val="10"/>
      <color rgb="FF000000"/>
      <name val="Arial Narrow"/>
      <family val="2"/>
    </font>
    <font>
      <sz val="10"/>
      <color rgb="FF212529"/>
      <name val="Arial Narrow"/>
      <family val="2"/>
    </font>
    <font>
      <sz val="10"/>
      <color rgb="FFFFFFFF"/>
      <name val="Arial Narrow"/>
      <family val="2"/>
    </font>
    <font>
      <b/>
      <sz val="10"/>
      <color rgb="FFFFFFFF"/>
      <name val="Arial Narrow"/>
      <family val="2"/>
    </font>
    <font>
      <sz val="10"/>
      <color theme="9"/>
      <name val="Arial Narrow"/>
      <family val="2"/>
    </font>
    <font>
      <sz val="10"/>
      <color rgb="FF00B050"/>
      <name val="Arial Narrow"/>
      <family val="2"/>
    </font>
    <font>
      <sz val="10"/>
      <name val="Arial Narrow"/>
      <family val="2"/>
    </font>
    <font>
      <sz val="10"/>
      <color rgb="FF0000FF"/>
      <name val="Arial Narrow"/>
      <family val="2"/>
    </font>
    <font>
      <b/>
      <sz val="10"/>
      <name val="Arial Narrow"/>
      <family val="2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1"/>
      <color rgb="FFFFFFFF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4472C4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2"/>
      <color theme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4472C4"/>
      <name val="Garamond"/>
      <family val="1"/>
    </font>
  </fonts>
  <fills count="18">
    <fill>
      <patternFill patternType="none"/>
    </fill>
    <fill>
      <patternFill patternType="gray125"/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rgb="FF000000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9E1F2"/>
        <bgColor rgb="FF000000"/>
      </patternFill>
    </fill>
  </fills>
  <borders count="7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1"/>
      </right>
      <top style="thin">
        <color theme="0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 style="double">
        <color theme="1"/>
      </bottom>
      <diagonal/>
    </border>
    <border>
      <left/>
      <right style="thin">
        <color indexed="64"/>
      </right>
      <top style="thin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BFBFBF"/>
      </bottom>
      <diagonal/>
    </border>
  </borders>
  <cellStyleXfs count="7">
    <xf numFmtId="0" fontId="0" fillId="0" borderId="0"/>
    <xf numFmtId="44" fontId="20" fillId="0" borderId="0" applyFont="0" applyFill="0" applyBorder="0" applyAlignment="0" applyProtection="0"/>
    <xf numFmtId="0" fontId="31" fillId="0" borderId="0"/>
    <xf numFmtId="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</cellStyleXfs>
  <cellXfs count="66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41" fontId="6" fillId="0" borderId="0" xfId="0" applyNumberFormat="1" applyFont="1"/>
    <xf numFmtId="166" fontId="6" fillId="0" borderId="0" xfId="0" applyNumberFormat="1" applyFont="1"/>
    <xf numFmtId="0" fontId="2" fillId="2" borderId="0" xfId="0" applyFont="1" applyFill="1"/>
    <xf numFmtId="0" fontId="5" fillId="2" borderId="0" xfId="0" applyFont="1" applyFill="1"/>
    <xf numFmtId="9" fontId="2" fillId="2" borderId="0" xfId="0" applyNumberFormat="1" applyFont="1" applyFill="1"/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left"/>
    </xf>
    <xf numFmtId="166" fontId="6" fillId="0" borderId="4" xfId="0" applyNumberFormat="1" applyFont="1" applyBorder="1"/>
    <xf numFmtId="43" fontId="4" fillId="0" borderId="4" xfId="0" applyNumberFormat="1" applyFont="1" applyBorder="1"/>
    <xf numFmtId="0" fontId="12" fillId="0" borderId="0" xfId="0" applyFont="1"/>
    <xf numFmtId="0" fontId="11" fillId="0" borderId="0" xfId="0" applyFont="1"/>
    <xf numFmtId="37" fontId="0" fillId="0" borderId="0" xfId="0" applyNumberFormat="1"/>
    <xf numFmtId="37" fontId="12" fillId="0" borderId="0" xfId="0" applyNumberFormat="1" applyFont="1"/>
    <xf numFmtId="3" fontId="0" fillId="0" borderId="0" xfId="0" applyNumberFormat="1"/>
    <xf numFmtId="3" fontId="13" fillId="0" borderId="0" xfId="0" applyNumberFormat="1" applyFont="1"/>
    <xf numFmtId="0" fontId="12" fillId="0" borderId="7" xfId="0" applyFont="1" applyBorder="1"/>
    <xf numFmtId="37" fontId="12" fillId="0" borderId="7" xfId="0" applyNumberFormat="1" applyFont="1" applyBorder="1"/>
    <xf numFmtId="6" fontId="0" fillId="0" borderId="0" xfId="0" applyNumberForma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7" fontId="17" fillId="0" borderId="0" xfId="0" applyNumberFormat="1" applyFont="1"/>
    <xf numFmtId="37" fontId="15" fillId="0" borderId="0" xfId="0" applyNumberFormat="1" applyFont="1"/>
    <xf numFmtId="37" fontId="15" fillId="0" borderId="0" xfId="0" quotePrefix="1" applyNumberFormat="1" applyFont="1"/>
    <xf numFmtId="37" fontId="15" fillId="0" borderId="0" xfId="0" quotePrefix="1" applyNumberFormat="1" applyFont="1" applyAlignment="1">
      <alignment horizontal="center"/>
    </xf>
    <xf numFmtId="37" fontId="15" fillId="0" borderId="0" xfId="0" quotePrefix="1" applyNumberFormat="1" applyFont="1" applyAlignment="1">
      <alignment horizontal="right"/>
    </xf>
    <xf numFmtId="37" fontId="17" fillId="0" borderId="0" xfId="0" quotePrefix="1" applyNumberFormat="1" applyFont="1" applyAlignment="1">
      <alignment horizontal="center"/>
    </xf>
    <xf numFmtId="0" fontId="0" fillId="0" borderId="1" xfId="0" applyBorder="1"/>
    <xf numFmtId="37" fontId="17" fillId="0" borderId="1" xfId="0" applyNumberFormat="1" applyFont="1" applyBorder="1"/>
    <xf numFmtId="37" fontId="12" fillId="0" borderId="1" xfId="0" applyNumberFormat="1" applyFont="1" applyBorder="1"/>
    <xf numFmtId="37" fontId="15" fillId="0" borderId="1" xfId="0" applyNumberFormat="1" applyFont="1" applyBorder="1"/>
    <xf numFmtId="37" fontId="12" fillId="0" borderId="8" xfId="0" applyNumberFormat="1" applyFont="1" applyBorder="1"/>
    <xf numFmtId="37" fontId="15" fillId="0" borderId="1" xfId="0" applyNumberFormat="1" applyFont="1" applyBorder="1" applyAlignment="1">
      <alignment horizontal="right"/>
    </xf>
    <xf numFmtId="37" fontId="17" fillId="0" borderId="1" xfId="0" quotePrefix="1" applyNumberFormat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9" fontId="0" fillId="0" borderId="0" xfId="0" applyNumberFormat="1"/>
    <xf numFmtId="0" fontId="12" fillId="0" borderId="0" xfId="0" applyFont="1" applyAlignment="1">
      <alignment horizontal="center"/>
    </xf>
    <xf numFmtId="4" fontId="0" fillId="0" borderId="0" xfId="0" applyNumberFormat="1"/>
    <xf numFmtId="0" fontId="18" fillId="0" borderId="0" xfId="0" applyFont="1" applyAlignment="1">
      <alignment horizontal="center"/>
    </xf>
    <xf numFmtId="8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44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12" fillId="0" borderId="4" xfId="0" applyFont="1" applyBorder="1" applyAlignment="1">
      <alignment horizontal="left"/>
    </xf>
    <xf numFmtId="10" fontId="0" fillId="0" borderId="5" xfId="0" applyNumberFormat="1" applyBorder="1"/>
    <xf numFmtId="15" fontId="0" fillId="0" borderId="0" xfId="0" applyNumberFormat="1"/>
    <xf numFmtId="0" fontId="26" fillId="0" borderId="0" xfId="0" applyFont="1" applyAlignment="1">
      <alignment horizontal="left"/>
    </xf>
    <xf numFmtId="0" fontId="21" fillId="0" borderId="11" xfId="0" applyFont="1" applyBorder="1"/>
    <xf numFmtId="0" fontId="22" fillId="0" borderId="6" xfId="0" applyFont="1" applyBorder="1"/>
    <xf numFmtId="0" fontId="22" fillId="0" borderId="12" xfId="0" applyFont="1" applyBorder="1"/>
    <xf numFmtId="4" fontId="22" fillId="0" borderId="5" xfId="0" applyNumberFormat="1" applyFont="1" applyBorder="1"/>
    <xf numFmtId="10" fontId="22" fillId="0" borderId="5" xfId="0" applyNumberFormat="1" applyFont="1" applyBorder="1"/>
    <xf numFmtId="0" fontId="21" fillId="0" borderId="12" xfId="0" applyFont="1" applyBorder="1"/>
    <xf numFmtId="0" fontId="22" fillId="0" borderId="5" xfId="0" applyFont="1" applyBorder="1"/>
    <xf numFmtId="9" fontId="22" fillId="0" borderId="5" xfId="0" applyNumberFormat="1" applyFont="1" applyBorder="1"/>
    <xf numFmtId="3" fontId="22" fillId="0" borderId="5" xfId="0" applyNumberFormat="1" applyFont="1" applyBorder="1"/>
    <xf numFmtId="0" fontId="23" fillId="0" borderId="13" xfId="0" applyFont="1" applyBorder="1"/>
    <xf numFmtId="10" fontId="22" fillId="0" borderId="10" xfId="0" applyNumberFormat="1" applyFont="1" applyBorder="1"/>
    <xf numFmtId="170" fontId="27" fillId="0" borderId="0" xfId="1" applyNumberFormat="1" applyFont="1"/>
    <xf numFmtId="170" fontId="24" fillId="0" borderId="0" xfId="1" applyNumberFormat="1" applyFont="1"/>
    <xf numFmtId="170" fontId="0" fillId="0" borderId="0" xfId="1" applyNumberFormat="1" applyFont="1"/>
    <xf numFmtId="44" fontId="0" fillId="0" borderId="0" xfId="1" applyFont="1" applyBorder="1"/>
    <xf numFmtId="170" fontId="0" fillId="0" borderId="4" xfId="1" applyNumberFormat="1" applyFont="1" applyBorder="1"/>
    <xf numFmtId="170" fontId="0" fillId="0" borderId="0" xfId="0" applyNumberFormat="1"/>
    <xf numFmtId="44" fontId="0" fillId="0" borderId="0" xfId="0" applyNumberFormat="1"/>
    <xf numFmtId="37" fontId="0" fillId="0" borderId="0" xfId="1" applyNumberFormat="1" applyFont="1"/>
    <xf numFmtId="37" fontId="12" fillId="0" borderId="9" xfId="0" applyNumberFormat="1" applyFont="1" applyBorder="1"/>
    <xf numFmtId="0" fontId="18" fillId="0" borderId="0" xfId="0" applyFont="1" applyAlignment="1">
      <alignment horizontal="center" vertical="center"/>
    </xf>
    <xf numFmtId="0" fontId="33" fillId="0" borderId="0" xfId="0" applyFont="1"/>
    <xf numFmtId="0" fontId="35" fillId="4" borderId="15" xfId="0" applyFont="1" applyFill="1" applyBorder="1" applyAlignment="1">
      <alignment horizontal="center" vertical="center"/>
    </xf>
    <xf numFmtId="0" fontId="34" fillId="4" borderId="15" xfId="0" applyFont="1" applyFill="1" applyBorder="1" applyAlignment="1">
      <alignment horizontal="center" vertical="center"/>
    </xf>
    <xf numFmtId="0" fontId="34" fillId="4" borderId="23" xfId="0" applyFont="1" applyFill="1" applyBorder="1" applyAlignment="1">
      <alignment vertical="center"/>
    </xf>
    <xf numFmtId="0" fontId="36" fillId="0" borderId="14" xfId="2" applyFont="1" applyBorder="1" applyAlignment="1">
      <alignment horizontal="left" indent="1"/>
    </xf>
    <xf numFmtId="0" fontId="36" fillId="0" borderId="19" xfId="2" applyFont="1" applyBorder="1" applyAlignment="1">
      <alignment horizontal="left" indent="1"/>
    </xf>
    <xf numFmtId="0" fontId="34" fillId="4" borderId="0" xfId="0" applyFont="1" applyFill="1" applyAlignment="1">
      <alignment horizontal="center" vertical="center"/>
    </xf>
    <xf numFmtId="171" fontId="33" fillId="5" borderId="14" xfId="0" applyNumberFormat="1" applyFont="1" applyFill="1" applyBorder="1"/>
    <xf numFmtId="171" fontId="38" fillId="6" borderId="0" xfId="0" applyNumberFormat="1" applyFont="1" applyFill="1"/>
    <xf numFmtId="171" fontId="33" fillId="5" borderId="0" xfId="0" applyNumberFormat="1" applyFont="1" applyFill="1"/>
    <xf numFmtId="0" fontId="34" fillId="4" borderId="14" xfId="0" applyFont="1" applyFill="1" applyBorder="1" applyAlignment="1">
      <alignment horizontal="center" vertical="center"/>
    </xf>
    <xf numFmtId="9" fontId="33" fillId="5" borderId="14" xfId="3" applyFont="1" applyFill="1" applyBorder="1" applyAlignment="1">
      <alignment horizontal="center"/>
    </xf>
    <xf numFmtId="9" fontId="33" fillId="5" borderId="19" xfId="3" applyFont="1" applyFill="1" applyBorder="1" applyAlignment="1">
      <alignment horizontal="center"/>
    </xf>
    <xf numFmtId="9" fontId="38" fillId="6" borderId="7" xfId="3" applyFont="1" applyFill="1" applyBorder="1" applyAlignment="1">
      <alignment horizontal="center"/>
    </xf>
    <xf numFmtId="9" fontId="33" fillId="5" borderId="7" xfId="3" applyFont="1" applyFill="1" applyBorder="1" applyAlignment="1">
      <alignment horizontal="center"/>
    </xf>
    <xf numFmtId="171" fontId="33" fillId="5" borderId="19" xfId="0" applyNumberFormat="1" applyFont="1" applyFill="1" applyBorder="1"/>
    <xf numFmtId="171" fontId="38" fillId="6" borderId="7" xfId="0" applyNumberFormat="1" applyFont="1" applyFill="1" applyBorder="1"/>
    <xf numFmtId="171" fontId="33" fillId="5" borderId="7" xfId="0" applyNumberFormat="1" applyFont="1" applyFill="1" applyBorder="1"/>
    <xf numFmtId="0" fontId="34" fillId="4" borderId="1" xfId="0" applyFont="1" applyFill="1" applyBorder="1" applyAlignment="1">
      <alignment horizontal="center" vertical="center"/>
    </xf>
    <xf numFmtId="9" fontId="33" fillId="5" borderId="1" xfId="3" applyFont="1" applyFill="1" applyBorder="1" applyAlignment="1">
      <alignment horizontal="center"/>
    </xf>
    <xf numFmtId="9" fontId="33" fillId="5" borderId="8" xfId="3" applyFont="1" applyFill="1" applyBorder="1" applyAlignment="1">
      <alignment horizontal="center"/>
    </xf>
    <xf numFmtId="171" fontId="33" fillId="5" borderId="1" xfId="0" applyNumberFormat="1" applyFont="1" applyFill="1" applyBorder="1"/>
    <xf numFmtId="171" fontId="33" fillId="5" borderId="8" xfId="0" applyNumberFormat="1" applyFont="1" applyFill="1" applyBorder="1"/>
    <xf numFmtId="171" fontId="37" fillId="5" borderId="14" xfId="2" applyNumberFormat="1" applyFont="1" applyFill="1" applyBorder="1" applyAlignment="1">
      <alignment vertical="center"/>
    </xf>
    <xf numFmtId="171" fontId="37" fillId="5" borderId="0" xfId="2" applyNumberFormat="1" applyFont="1" applyFill="1" applyAlignment="1">
      <alignment vertical="center"/>
    </xf>
    <xf numFmtId="171" fontId="38" fillId="6" borderId="16" xfId="0" applyNumberFormat="1" applyFont="1" applyFill="1" applyBorder="1" applyAlignment="1">
      <alignment vertical="center"/>
    </xf>
    <xf numFmtId="171" fontId="38" fillId="6" borderId="17" xfId="0" applyNumberFormat="1" applyFont="1" applyFill="1" applyBorder="1" applyAlignment="1">
      <alignment vertical="center"/>
    </xf>
    <xf numFmtId="171" fontId="37" fillId="5" borderId="19" xfId="2" applyNumberFormat="1" applyFont="1" applyFill="1" applyBorder="1" applyAlignment="1">
      <alignment vertical="center"/>
    </xf>
    <xf numFmtId="171" fontId="37" fillId="5" borderId="7" xfId="2" applyNumberFormat="1" applyFont="1" applyFill="1" applyBorder="1" applyAlignment="1">
      <alignment vertical="center"/>
    </xf>
    <xf numFmtId="171" fontId="37" fillId="5" borderId="18" xfId="2" applyNumberFormat="1" applyFont="1" applyFill="1" applyBorder="1" applyAlignment="1">
      <alignment vertical="center"/>
    </xf>
    <xf numFmtId="171" fontId="38" fillId="6" borderId="20" xfId="0" applyNumberFormat="1" applyFont="1" applyFill="1" applyBorder="1" applyAlignment="1">
      <alignment vertical="center"/>
    </xf>
    <xf numFmtId="171" fontId="38" fillId="6" borderId="15" xfId="0" applyNumberFormat="1" applyFont="1" applyFill="1" applyBorder="1" applyAlignment="1">
      <alignment vertical="center"/>
    </xf>
    <xf numFmtId="171" fontId="38" fillId="6" borderId="21" xfId="0" applyNumberFormat="1" applyFont="1" applyFill="1" applyBorder="1" applyAlignment="1">
      <alignment vertical="center"/>
    </xf>
    <xf numFmtId="4" fontId="12" fillId="0" borderId="24" xfId="0" applyNumberFormat="1" applyFont="1" applyBorder="1"/>
    <xf numFmtId="4" fontId="0" fillId="0" borderId="14" xfId="0" applyNumberFormat="1" applyBorder="1"/>
    <xf numFmtId="4" fontId="0" fillId="0" borderId="1" xfId="0" applyNumberFormat="1" applyBorder="1"/>
    <xf numFmtId="3" fontId="0" fillId="0" borderId="14" xfId="0" applyNumberFormat="1" applyBorder="1"/>
    <xf numFmtId="0" fontId="0" fillId="0" borderId="19" xfId="0" applyBorder="1"/>
    <xf numFmtId="8" fontId="0" fillId="0" borderId="8" xfId="0" applyNumberFormat="1" applyBorder="1"/>
    <xf numFmtId="4" fontId="0" fillId="0" borderId="2" xfId="0" applyNumberFormat="1" applyBorder="1"/>
    <xf numFmtId="3" fontId="12" fillId="0" borderId="29" xfId="0" applyNumberFormat="1" applyFont="1" applyBorder="1"/>
    <xf numFmtId="4" fontId="0" fillId="0" borderId="25" xfId="0" applyNumberFormat="1" applyBorder="1"/>
    <xf numFmtId="0" fontId="26" fillId="0" borderId="0" xfId="0" applyFont="1"/>
    <xf numFmtId="37" fontId="41" fillId="0" borderId="0" xfId="0" applyNumberFormat="1" applyFont="1"/>
    <xf numFmtId="0" fontId="0" fillId="0" borderId="7" xfId="0" applyBorder="1" applyAlignment="1">
      <alignment horizontal="center"/>
    </xf>
    <xf numFmtId="0" fontId="44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45" fillId="0" borderId="0" xfId="0" applyFont="1"/>
    <xf numFmtId="0" fontId="0" fillId="0" borderId="33" xfId="0" applyBorder="1"/>
    <xf numFmtId="10" fontId="0" fillId="0" borderId="0" xfId="1" applyNumberFormat="1" applyFont="1"/>
    <xf numFmtId="14" fontId="0" fillId="0" borderId="0" xfId="0" applyNumberFormat="1"/>
    <xf numFmtId="3" fontId="41" fillId="0" borderId="0" xfId="0" applyNumberFormat="1" applyFont="1"/>
    <xf numFmtId="0" fontId="0" fillId="0" borderId="0" xfId="1" applyNumberFormat="1" applyFont="1"/>
    <xf numFmtId="165" fontId="25" fillId="0" borderId="0" xfId="0" applyNumberFormat="1" applyFont="1" applyAlignment="1">
      <alignment horizontal="center" vertical="center"/>
    </xf>
    <xf numFmtId="9" fontId="0" fillId="0" borderId="0" xfId="0" quotePrefix="1" applyNumberFormat="1" applyAlignment="1">
      <alignment horizontal="center" vertical="center"/>
    </xf>
    <xf numFmtId="172" fontId="0" fillId="0" borderId="0" xfId="0" applyNumberFormat="1" applyAlignment="1">
      <alignment horizontal="center"/>
    </xf>
    <xf numFmtId="0" fontId="2" fillId="0" borderId="0" xfId="0" applyFont="1"/>
    <xf numFmtId="173" fontId="0" fillId="0" borderId="0" xfId="0" applyNumberFormat="1"/>
    <xf numFmtId="0" fontId="0" fillId="0" borderId="39" xfId="0" applyBorder="1"/>
    <xf numFmtId="0" fontId="51" fillId="0" borderId="0" xfId="0" applyFont="1"/>
    <xf numFmtId="0" fontId="52" fillId="0" borderId="0" xfId="0" applyFont="1"/>
    <xf numFmtId="0" fontId="52" fillId="3" borderId="0" xfId="0" applyFont="1" applyFill="1"/>
    <xf numFmtId="0" fontId="52" fillId="9" borderId="0" xfId="0" applyFont="1" applyFill="1"/>
    <xf numFmtId="0" fontId="14" fillId="0" borderId="0" xfId="0" applyFont="1"/>
    <xf numFmtId="0" fontId="14" fillId="0" borderId="32" xfId="0" applyFont="1" applyBorder="1"/>
    <xf numFmtId="0" fontId="53" fillId="0" borderId="0" xfId="0" applyFont="1"/>
    <xf numFmtId="0" fontId="14" fillId="0" borderId="34" xfId="0" applyFont="1" applyBorder="1"/>
    <xf numFmtId="0" fontId="14" fillId="0" borderId="33" xfId="0" applyFont="1" applyBorder="1"/>
    <xf numFmtId="1" fontId="0" fillId="0" borderId="33" xfId="1" applyNumberFormat="1" applyFont="1" applyBorder="1"/>
    <xf numFmtId="170" fontId="0" fillId="0" borderId="30" xfId="1" applyNumberFormat="1" applyFont="1" applyBorder="1"/>
    <xf numFmtId="170" fontId="0" fillId="0" borderId="31" xfId="1" applyNumberFormat="1" applyFont="1" applyBorder="1"/>
    <xf numFmtId="170" fontId="0" fillId="0" borderId="32" xfId="1" applyNumberFormat="1" applyFont="1" applyBorder="1"/>
    <xf numFmtId="10" fontId="0" fillId="0" borderId="1" xfId="0" applyNumberFormat="1" applyBorder="1"/>
    <xf numFmtId="37" fontId="12" fillId="0" borderId="42" xfId="0" applyNumberFormat="1" applyFont="1" applyBorder="1"/>
    <xf numFmtId="9" fontId="38" fillId="6" borderId="0" xfId="3" applyFont="1" applyFill="1" applyAlignment="1">
      <alignment horizontal="center"/>
    </xf>
    <xf numFmtId="9" fontId="33" fillId="5" borderId="0" xfId="3" applyFont="1" applyFill="1" applyAlignment="1">
      <alignment horizontal="center"/>
    </xf>
    <xf numFmtId="0" fontId="35" fillId="4" borderId="0" xfId="0" applyFont="1" applyFill="1" applyAlignment="1">
      <alignment horizontal="center" vertical="center"/>
    </xf>
    <xf numFmtId="2" fontId="0" fillId="0" borderId="32" xfId="1" applyNumberFormat="1" applyFont="1" applyBorder="1"/>
    <xf numFmtId="170" fontId="0" fillId="0" borderId="34" xfId="1" applyNumberFormat="1" applyFont="1" applyBorder="1"/>
    <xf numFmtId="171" fontId="24" fillId="5" borderId="0" xfId="2" applyNumberFormat="1" applyFont="1" applyFill="1" applyAlignment="1">
      <alignment vertical="center"/>
    </xf>
    <xf numFmtId="171" fontId="24" fillId="5" borderId="0" xfId="0" applyNumberFormat="1" applyFont="1" applyFill="1" applyAlignment="1">
      <alignment vertical="center"/>
    </xf>
    <xf numFmtId="171" fontId="24" fillId="5" borderId="22" xfId="2" applyNumberFormat="1" applyFont="1" applyFill="1" applyBorder="1" applyAlignment="1">
      <alignment vertical="center"/>
    </xf>
    <xf numFmtId="171" fontId="24" fillId="5" borderId="7" xfId="2" applyNumberFormat="1" applyFont="1" applyFill="1" applyBorder="1" applyAlignment="1">
      <alignment vertical="center"/>
    </xf>
    <xf numFmtId="171" fontId="24" fillId="5" borderId="18" xfId="2" applyNumberFormat="1" applyFont="1" applyFill="1" applyBorder="1" applyAlignment="1">
      <alignment vertical="center"/>
    </xf>
    <xf numFmtId="171" fontId="24" fillId="5" borderId="7" xfId="0" applyNumberFormat="1" applyFont="1" applyFill="1" applyBorder="1" applyAlignment="1">
      <alignment vertical="center"/>
    </xf>
    <xf numFmtId="171" fontId="24" fillId="5" borderId="18" xfId="0" applyNumberFormat="1" applyFont="1" applyFill="1" applyBorder="1" applyAlignment="1">
      <alignment vertical="center"/>
    </xf>
    <xf numFmtId="174" fontId="33" fillId="0" borderId="0" xfId="0" applyNumberFormat="1" applyFont="1"/>
    <xf numFmtId="172" fontId="0" fillId="0" borderId="0" xfId="0" applyNumberFormat="1"/>
    <xf numFmtId="0" fontId="33" fillId="0" borderId="45" xfId="0" applyFont="1" applyBorder="1"/>
    <xf numFmtId="0" fontId="1" fillId="10" borderId="46" xfId="5" applyBorder="1"/>
    <xf numFmtId="0" fontId="38" fillId="0" borderId="0" xfId="0" applyFont="1"/>
    <xf numFmtId="0" fontId="33" fillId="0" borderId="46" xfId="0" applyFont="1" applyBorder="1" applyAlignment="1">
      <alignment horizontal="center"/>
    </xf>
    <xf numFmtId="0" fontId="34" fillId="3" borderId="0" xfId="0" applyFont="1" applyFill="1"/>
    <xf numFmtId="175" fontId="34" fillId="3" borderId="0" xfId="0" applyNumberFormat="1" applyFont="1" applyFill="1" applyAlignment="1">
      <alignment horizontal="center"/>
    </xf>
    <xf numFmtId="0" fontId="33" fillId="3" borderId="0" xfId="0" applyFont="1" applyFill="1"/>
    <xf numFmtId="0" fontId="55" fillId="3" borderId="0" xfId="0" applyFont="1" applyFill="1"/>
    <xf numFmtId="176" fontId="34" fillId="3" borderId="0" xfId="0" applyNumberFormat="1" applyFont="1" applyFill="1" applyAlignment="1">
      <alignment horizontal="center"/>
    </xf>
    <xf numFmtId="0" fontId="38" fillId="0" borderId="0" xfId="0" applyFont="1" applyAlignment="1">
      <alignment horizontal="left"/>
    </xf>
    <xf numFmtId="178" fontId="38" fillId="0" borderId="0" xfId="0" applyNumberFormat="1" applyFont="1"/>
    <xf numFmtId="178" fontId="56" fillId="0" borderId="0" xfId="0" applyNumberFormat="1" applyFont="1"/>
    <xf numFmtId="0" fontId="33" fillId="0" borderId="0" xfId="0" applyFont="1" applyAlignment="1">
      <alignment horizontal="left"/>
    </xf>
    <xf numFmtId="169" fontId="57" fillId="0" borderId="0" xfId="0" applyNumberFormat="1" applyFont="1" applyAlignment="1">
      <alignment horizontal="right"/>
    </xf>
    <xf numFmtId="177" fontId="33" fillId="0" borderId="0" xfId="0" applyNumberFormat="1" applyFont="1"/>
    <xf numFmtId="0" fontId="33" fillId="0" borderId="7" xfId="0" applyFont="1" applyBorder="1" applyAlignment="1">
      <alignment horizontal="left"/>
    </xf>
    <xf numFmtId="177" fontId="33" fillId="0" borderId="7" xfId="4" applyNumberFormat="1" applyFont="1" applyBorder="1"/>
    <xf numFmtId="177" fontId="57" fillId="0" borderId="7" xfId="4" applyNumberFormat="1" applyFont="1" applyBorder="1"/>
    <xf numFmtId="177" fontId="38" fillId="0" borderId="0" xfId="4" applyNumberFormat="1" applyFont="1"/>
    <xf numFmtId="177" fontId="56" fillId="0" borderId="0" xfId="4" applyNumberFormat="1" applyFont="1"/>
    <xf numFmtId="177" fontId="38" fillId="0" borderId="2" xfId="4" applyNumberFormat="1" applyFont="1" applyBorder="1"/>
    <xf numFmtId="177" fontId="33" fillId="0" borderId="0" xfId="4" applyNumberFormat="1" applyFont="1"/>
    <xf numFmtId="177" fontId="38" fillId="0" borderId="0" xfId="4" applyNumberFormat="1" applyFont="1" applyBorder="1"/>
    <xf numFmtId="177" fontId="56" fillId="0" borderId="0" xfId="4" applyNumberFormat="1" applyFont="1" applyBorder="1"/>
    <xf numFmtId="177" fontId="57" fillId="0" borderId="0" xfId="4" applyNumberFormat="1" applyFont="1"/>
    <xf numFmtId="177" fontId="33" fillId="0" borderId="0" xfId="4" applyNumberFormat="1" applyFont="1" applyBorder="1"/>
    <xf numFmtId="178" fontId="38" fillId="0" borderId="0" xfId="4" applyNumberFormat="1" applyFont="1" applyFill="1" applyBorder="1"/>
    <xf numFmtId="168" fontId="56" fillId="0" borderId="0" xfId="0" applyNumberFormat="1" applyFont="1"/>
    <xf numFmtId="177" fontId="38" fillId="0" borderId="0" xfId="0" applyNumberFormat="1" applyFont="1"/>
    <xf numFmtId="177" fontId="38" fillId="0" borderId="2" xfId="0" applyNumberFormat="1" applyFont="1" applyBorder="1"/>
    <xf numFmtId="9" fontId="33" fillId="0" borderId="0" xfId="0" applyNumberFormat="1" applyFont="1"/>
    <xf numFmtId="177" fontId="57" fillId="0" borderId="0" xfId="4" applyNumberFormat="1" applyFont="1" applyFill="1" applyBorder="1"/>
    <xf numFmtId="43" fontId="38" fillId="0" borderId="0" xfId="4" applyFont="1"/>
    <xf numFmtId="43" fontId="38" fillId="0" borderId="0" xfId="4" applyFont="1" applyBorder="1"/>
    <xf numFmtId="43" fontId="33" fillId="0" borderId="0" xfId="0" applyNumberFormat="1" applyFont="1"/>
    <xf numFmtId="0" fontId="33" fillId="0" borderId="7" xfId="0" applyFont="1" applyBorder="1"/>
    <xf numFmtId="43" fontId="33" fillId="0" borderId="7" xfId="4" applyFont="1" applyBorder="1"/>
    <xf numFmtId="43" fontId="33" fillId="0" borderId="0" xfId="4" applyFont="1"/>
    <xf numFmtId="0" fontId="54" fillId="0" borderId="0" xfId="0" applyFont="1"/>
    <xf numFmtId="43" fontId="33" fillId="0" borderId="0" xfId="4" applyFont="1" applyBorder="1"/>
    <xf numFmtId="10" fontId="33" fillId="0" borderId="0" xfId="3" applyNumberFormat="1" applyFont="1"/>
    <xf numFmtId="10" fontId="33" fillId="0" borderId="0" xfId="3" applyNumberFormat="1" applyFont="1" applyBorder="1"/>
    <xf numFmtId="10" fontId="33" fillId="0" borderId="0" xfId="0" applyNumberFormat="1" applyFont="1"/>
    <xf numFmtId="3" fontId="33" fillId="0" borderId="0" xfId="0" applyNumberFormat="1" applyFont="1"/>
    <xf numFmtId="4" fontId="33" fillId="0" borderId="0" xfId="0" applyNumberFormat="1" applyFont="1"/>
    <xf numFmtId="178" fontId="59" fillId="0" borderId="0" xfId="0" applyNumberFormat="1" applyFont="1"/>
    <xf numFmtId="177" fontId="59" fillId="0" borderId="0" xfId="4" applyNumberFormat="1" applyFont="1"/>
    <xf numFmtId="177" fontId="59" fillId="0" borderId="0" xfId="4" applyNumberFormat="1" applyFont="1" applyBorder="1"/>
    <xf numFmtId="177" fontId="59" fillId="0" borderId="0" xfId="0" applyNumberFormat="1" applyFont="1"/>
    <xf numFmtId="0" fontId="59" fillId="0" borderId="0" xfId="0" applyFont="1"/>
    <xf numFmtId="178" fontId="59" fillId="0" borderId="7" xfId="0" applyNumberFormat="1" applyFont="1" applyBorder="1"/>
    <xf numFmtId="177" fontId="59" fillId="0" borderId="7" xfId="4" applyNumberFormat="1" applyFont="1" applyBorder="1"/>
    <xf numFmtId="43" fontId="59" fillId="0" borderId="0" xfId="0" applyNumberFormat="1" applyFont="1"/>
    <xf numFmtId="177" fontId="59" fillId="0" borderId="7" xfId="0" applyNumberFormat="1" applyFont="1" applyBorder="1"/>
    <xf numFmtId="0" fontId="59" fillId="0" borderId="7" xfId="0" applyFont="1" applyBorder="1"/>
    <xf numFmtId="43" fontId="59" fillId="0" borderId="0" xfId="4" applyFont="1"/>
    <xf numFmtId="10" fontId="59" fillId="0" borderId="0" xfId="0" applyNumberFormat="1" applyFont="1"/>
    <xf numFmtId="0" fontId="58" fillId="0" borderId="0" xfId="0" applyFont="1"/>
    <xf numFmtId="0" fontId="34" fillId="3" borderId="14" xfId="0" applyFont="1" applyFill="1" applyBorder="1" applyAlignment="1">
      <alignment horizontal="center"/>
    </xf>
    <xf numFmtId="0" fontId="34" fillId="3" borderId="0" xfId="0" applyFont="1" applyFill="1" applyAlignment="1">
      <alignment horizontal="center"/>
    </xf>
    <xf numFmtId="0" fontId="34" fillId="3" borderId="1" xfId="0" applyFont="1" applyFill="1" applyBorder="1" applyAlignment="1">
      <alignment horizontal="center"/>
    </xf>
    <xf numFmtId="177" fontId="35" fillId="3" borderId="14" xfId="0" applyNumberFormat="1" applyFont="1" applyFill="1" applyBorder="1"/>
    <xf numFmtId="177" fontId="35" fillId="3" borderId="0" xfId="4" applyNumberFormat="1" applyFont="1" applyFill="1" applyBorder="1"/>
    <xf numFmtId="177" fontId="35" fillId="3" borderId="1" xfId="4" applyNumberFormat="1" applyFont="1" applyFill="1" applyBorder="1"/>
    <xf numFmtId="178" fontId="38" fillId="0" borderId="19" xfId="0" applyNumberFormat="1" applyFont="1" applyBorder="1"/>
    <xf numFmtId="178" fontId="38" fillId="0" borderId="7" xfId="0" applyNumberFormat="1" applyFont="1" applyBorder="1"/>
    <xf numFmtId="178" fontId="38" fillId="0" borderId="8" xfId="0" applyNumberFormat="1" applyFont="1" applyBorder="1"/>
    <xf numFmtId="0" fontId="33" fillId="0" borderId="48" xfId="0" applyFont="1" applyBorder="1"/>
    <xf numFmtId="175" fontId="34" fillId="3" borderId="48" xfId="0" applyNumberFormat="1" applyFont="1" applyFill="1" applyBorder="1" applyAlignment="1">
      <alignment horizontal="center"/>
    </xf>
    <xf numFmtId="176" fontId="34" fillId="3" borderId="48" xfId="0" applyNumberFormat="1" applyFont="1" applyFill="1" applyBorder="1" applyAlignment="1">
      <alignment horizontal="center"/>
    </xf>
    <xf numFmtId="178" fontId="59" fillId="0" borderId="48" xfId="0" applyNumberFormat="1" applyFont="1" applyBorder="1"/>
    <xf numFmtId="0" fontId="59" fillId="0" borderId="48" xfId="0" applyFont="1" applyBorder="1"/>
    <xf numFmtId="177" fontId="59" fillId="0" borderId="49" xfId="4" applyNumberFormat="1" applyFont="1" applyBorder="1"/>
    <xf numFmtId="177" fontId="59" fillId="0" borderId="48" xfId="4" applyNumberFormat="1" applyFont="1" applyBorder="1"/>
    <xf numFmtId="177" fontId="59" fillId="0" borderId="48" xfId="0" applyNumberFormat="1" applyFont="1" applyBorder="1"/>
    <xf numFmtId="43" fontId="59" fillId="0" borderId="48" xfId="0" applyNumberFormat="1" applyFont="1" applyBorder="1"/>
    <xf numFmtId="43" fontId="59" fillId="0" borderId="48" xfId="4" applyFont="1" applyBorder="1"/>
    <xf numFmtId="10" fontId="59" fillId="0" borderId="48" xfId="0" applyNumberFormat="1" applyFont="1" applyBorder="1"/>
    <xf numFmtId="0" fontId="33" fillId="11" borderId="46" xfId="0" applyFont="1" applyFill="1" applyBorder="1"/>
    <xf numFmtId="0" fontId="0" fillId="0" borderId="45" xfId="0" applyBorder="1"/>
    <xf numFmtId="6" fontId="15" fillId="0" borderId="0" xfId="0" applyNumberFormat="1" applyFont="1"/>
    <xf numFmtId="3" fontId="15" fillId="0" borderId="0" xfId="0" applyNumberFormat="1" applyFont="1"/>
    <xf numFmtId="0" fontId="15" fillId="0" borderId="0" xfId="0" applyFont="1"/>
    <xf numFmtId="44" fontId="15" fillId="0" borderId="0" xfId="1" applyFont="1" applyBorder="1"/>
    <xf numFmtId="10" fontId="15" fillId="0" borderId="0" xfId="0" applyNumberFormat="1" applyFont="1"/>
    <xf numFmtId="170" fontId="15" fillId="0" borderId="0" xfId="1" applyNumberFormat="1" applyFont="1" applyBorder="1"/>
    <xf numFmtId="170" fontId="15" fillId="0" borderId="0" xfId="0" applyNumberFormat="1" applyFont="1"/>
    <xf numFmtId="0" fontId="8" fillId="0" borderId="0" xfId="0" applyFont="1"/>
    <xf numFmtId="6" fontId="0" fillId="0" borderId="0" xfId="0" applyNumberFormat="1" applyAlignment="1">
      <alignment horizontal="center"/>
    </xf>
    <xf numFmtId="1" fontId="0" fillId="0" borderId="0" xfId="0" applyNumberFormat="1"/>
    <xf numFmtId="170" fontId="0" fillId="0" borderId="0" xfId="1" applyNumberFormat="1" applyFont="1" applyBorder="1"/>
    <xf numFmtId="44" fontId="15" fillId="0" borderId="0" xfId="0" applyNumberFormat="1" applyFont="1"/>
    <xf numFmtId="170" fontId="0" fillId="0" borderId="0" xfId="1" applyNumberFormat="1" applyFont="1" applyFill="1" applyBorder="1"/>
    <xf numFmtId="0" fontId="11" fillId="0" borderId="0" xfId="0" applyFont="1" applyAlignment="1">
      <alignment horizontal="left"/>
    </xf>
    <xf numFmtId="9" fontId="0" fillId="0" borderId="45" xfId="0" applyNumberFormat="1" applyBorder="1"/>
    <xf numFmtId="6" fontId="15" fillId="0" borderId="45" xfId="0" applyNumberFormat="1" applyFont="1" applyBorder="1"/>
    <xf numFmtId="3" fontId="15" fillId="0" borderId="45" xfId="0" applyNumberFormat="1" applyFont="1" applyBorder="1"/>
    <xf numFmtId="0" fontId="15" fillId="0" borderId="45" xfId="0" applyFont="1" applyBorder="1"/>
    <xf numFmtId="44" fontId="15" fillId="0" borderId="45" xfId="1" applyFont="1" applyBorder="1"/>
    <xf numFmtId="170" fontId="15" fillId="0" borderId="45" xfId="1" applyNumberFormat="1" applyFont="1" applyBorder="1"/>
    <xf numFmtId="10" fontId="15" fillId="0" borderId="45" xfId="0" applyNumberFormat="1" applyFont="1" applyBorder="1"/>
    <xf numFmtId="170" fontId="15" fillId="0" borderId="45" xfId="0" applyNumberFormat="1" applyFont="1" applyBorder="1"/>
    <xf numFmtId="44" fontId="15" fillId="0" borderId="45" xfId="0" applyNumberFormat="1" applyFont="1" applyBorder="1"/>
    <xf numFmtId="172" fontId="15" fillId="0" borderId="0" xfId="1" applyNumberFormat="1" applyFont="1" applyBorder="1"/>
    <xf numFmtId="3" fontId="0" fillId="0" borderId="45" xfId="0" applyNumberFormat="1" applyBorder="1"/>
    <xf numFmtId="1" fontId="12" fillId="0" borderId="0" xfId="0" applyNumberFormat="1" applyFont="1"/>
    <xf numFmtId="6" fontId="12" fillId="0" borderId="0" xfId="0" applyNumberFormat="1" applyFont="1"/>
    <xf numFmtId="6" fontId="0" fillId="0" borderId="45" xfId="3" applyNumberFormat="1" applyFont="1" applyBorder="1"/>
    <xf numFmtId="6" fontId="0" fillId="0" borderId="45" xfId="0" applyNumberFormat="1" applyBorder="1"/>
    <xf numFmtId="3" fontId="62" fillId="0" borderId="0" xfId="0" applyNumberFormat="1" applyFont="1"/>
    <xf numFmtId="4" fontId="0" fillId="0" borderId="45" xfId="0" applyNumberFormat="1" applyBorder="1"/>
    <xf numFmtId="44" fontId="0" fillId="0" borderId="45" xfId="1" applyFont="1" applyBorder="1"/>
    <xf numFmtId="170" fontId="0" fillId="0" borderId="45" xfId="1" applyNumberFormat="1" applyFont="1" applyBorder="1"/>
    <xf numFmtId="10" fontId="0" fillId="0" borderId="45" xfId="0" applyNumberFormat="1" applyBorder="1"/>
    <xf numFmtId="170" fontId="0" fillId="0" borderId="45" xfId="0" applyNumberFormat="1" applyBorder="1"/>
    <xf numFmtId="9" fontId="15" fillId="0" borderId="0" xfId="0" applyNumberFormat="1" applyFont="1"/>
    <xf numFmtId="3" fontId="0" fillId="0" borderId="0" xfId="0" applyNumberFormat="1" applyAlignment="1">
      <alignment horizontal="center"/>
    </xf>
    <xf numFmtId="3" fontId="14" fillId="0" borderId="0" xfId="0" applyNumberFormat="1" applyFont="1"/>
    <xf numFmtId="6" fontId="14" fillId="0" borderId="0" xfId="0" applyNumberFormat="1" applyFont="1"/>
    <xf numFmtId="6" fontId="1" fillId="10" borderId="0" xfId="5" applyNumberFormat="1"/>
    <xf numFmtId="6" fontId="1" fillId="10" borderId="45" xfId="5" applyNumberFormat="1" applyBorder="1"/>
    <xf numFmtId="0" fontId="0" fillId="0" borderId="50" xfId="0" applyBorder="1"/>
    <xf numFmtId="6" fontId="0" fillId="0" borderId="50" xfId="0" applyNumberFormat="1" applyBorder="1"/>
    <xf numFmtId="3" fontId="0" fillId="0" borderId="50" xfId="0" applyNumberFormat="1" applyBorder="1"/>
    <xf numFmtId="10" fontId="0" fillId="0" borderId="50" xfId="0" applyNumberFormat="1" applyBorder="1"/>
    <xf numFmtId="44" fontId="0" fillId="0" borderId="50" xfId="1" applyFont="1" applyBorder="1"/>
    <xf numFmtId="170" fontId="0" fillId="0" borderId="50" xfId="1" applyNumberFormat="1" applyFont="1" applyBorder="1"/>
    <xf numFmtId="9" fontId="0" fillId="0" borderId="50" xfId="0" applyNumberFormat="1" applyBorder="1"/>
    <xf numFmtId="170" fontId="0" fillId="0" borderId="50" xfId="0" applyNumberFormat="1" applyBorder="1"/>
    <xf numFmtId="6" fontId="19" fillId="0" borderId="50" xfId="0" applyNumberFormat="1" applyFont="1" applyBorder="1"/>
    <xf numFmtId="6" fontId="19" fillId="0" borderId="0" xfId="0" applyNumberFormat="1" applyFont="1"/>
    <xf numFmtId="6" fontId="1" fillId="10" borderId="50" xfId="5" applyNumberFormat="1" applyBorder="1"/>
    <xf numFmtId="6" fontId="1" fillId="10" borderId="0" xfId="5" applyNumberFormat="1" applyBorder="1"/>
    <xf numFmtId="44" fontId="0" fillId="0" borderId="1" xfId="1" applyFont="1" applyBorder="1"/>
    <xf numFmtId="1" fontId="0" fillId="0" borderId="1" xfId="0" applyNumberFormat="1" applyBorder="1"/>
    <xf numFmtId="0" fontId="0" fillId="0" borderId="0" xfId="0" applyAlignment="1">
      <alignment horizontal="left" indent="1"/>
    </xf>
    <xf numFmtId="1" fontId="0" fillId="0" borderId="45" xfId="0" applyNumberFormat="1" applyBorder="1"/>
    <xf numFmtId="1" fontId="0" fillId="0" borderId="50" xfId="0" applyNumberFormat="1" applyBorder="1"/>
    <xf numFmtId="44" fontId="0" fillId="0" borderId="45" xfId="0" applyNumberFormat="1" applyBorder="1"/>
    <xf numFmtId="44" fontId="0" fillId="0" borderId="50" xfId="0" applyNumberFormat="1" applyBorder="1"/>
    <xf numFmtId="0" fontId="68" fillId="12" borderId="55" xfId="6" applyFont="1" applyFill="1" applyBorder="1"/>
    <xf numFmtId="0" fontId="68" fillId="12" borderId="56" xfId="6" applyFont="1" applyFill="1" applyBorder="1"/>
    <xf numFmtId="0" fontId="68" fillId="12" borderId="57" xfId="6" applyFont="1" applyFill="1" applyBorder="1"/>
    <xf numFmtId="0" fontId="68" fillId="0" borderId="0" xfId="6" applyFont="1"/>
    <xf numFmtId="0" fontId="68" fillId="12" borderId="58" xfId="6" applyFont="1" applyFill="1" applyBorder="1"/>
    <xf numFmtId="0" fontId="52" fillId="12" borderId="0" xfId="6" applyFont="1" applyFill="1"/>
    <xf numFmtId="0" fontId="69" fillId="12" borderId="0" xfId="6" applyFont="1" applyFill="1" applyAlignment="1">
      <alignment horizontal="center"/>
    </xf>
    <xf numFmtId="0" fontId="52" fillId="12" borderId="59" xfId="6" applyFont="1" applyFill="1" applyBorder="1"/>
    <xf numFmtId="0" fontId="68" fillId="12" borderId="0" xfId="6" applyFont="1" applyFill="1"/>
    <xf numFmtId="0" fontId="68" fillId="12" borderId="59" xfId="6" applyFont="1" applyFill="1" applyBorder="1"/>
    <xf numFmtId="0" fontId="71" fillId="12" borderId="0" xfId="6" applyFont="1" applyFill="1" applyAlignment="1">
      <alignment horizontal="center"/>
    </xf>
    <xf numFmtId="0" fontId="72" fillId="12" borderId="0" xfId="6" applyFont="1" applyFill="1" applyAlignment="1">
      <alignment horizontal="center"/>
    </xf>
    <xf numFmtId="0" fontId="68" fillId="12" borderId="58" xfId="6" applyFont="1" applyFill="1" applyBorder="1" applyAlignment="1">
      <alignment vertical="top" wrapText="1"/>
    </xf>
    <xf numFmtId="0" fontId="68" fillId="12" borderId="0" xfId="6" applyFont="1" applyFill="1" applyAlignment="1">
      <alignment vertical="top" wrapText="1"/>
    </xf>
    <xf numFmtId="0" fontId="68" fillId="12" borderId="59" xfId="6" applyFont="1" applyFill="1" applyBorder="1" applyAlignment="1">
      <alignment vertical="top" wrapText="1"/>
    </xf>
    <xf numFmtId="0" fontId="71" fillId="12" borderId="0" xfId="6" quotePrefix="1" applyFont="1" applyFill="1" applyAlignment="1">
      <alignment horizontal="center" vertical="top"/>
    </xf>
    <xf numFmtId="0" fontId="68" fillId="12" borderId="60" xfId="6" applyFont="1" applyFill="1" applyBorder="1" applyAlignment="1">
      <alignment vertical="top" wrapText="1"/>
    </xf>
    <xf numFmtId="0" fontId="68" fillId="12" borderId="61" xfId="6" applyFont="1" applyFill="1" applyBorder="1" applyAlignment="1">
      <alignment vertical="top" wrapText="1"/>
    </xf>
    <xf numFmtId="0" fontId="68" fillId="12" borderId="62" xfId="6" applyFont="1" applyFill="1" applyBorder="1" applyAlignment="1">
      <alignment vertical="top" wrapText="1"/>
    </xf>
    <xf numFmtId="0" fontId="31" fillId="0" borderId="0" xfId="2"/>
    <xf numFmtId="0" fontId="68" fillId="0" borderId="0" xfId="6" applyFont="1" applyAlignment="1">
      <alignment vertical="top" wrapText="1"/>
    </xf>
    <xf numFmtId="0" fontId="71" fillId="12" borderId="0" xfId="6" applyFont="1" applyFill="1" applyAlignment="1">
      <alignment vertical="top" wrapText="1"/>
    </xf>
    <xf numFmtId="180" fontId="0" fillId="0" borderId="0" xfId="0" applyNumberFormat="1"/>
    <xf numFmtId="6" fontId="0" fillId="0" borderId="0" xfId="3" applyNumberFormat="1" applyFont="1" applyBorder="1"/>
    <xf numFmtId="6" fontId="65" fillId="0" borderId="0" xfId="0" applyNumberFormat="1" applyFont="1"/>
    <xf numFmtId="9" fontId="25" fillId="0" borderId="0" xfId="0" applyNumberFormat="1" applyFont="1" applyAlignment="1">
      <alignment horizontal="center" vertical="center"/>
    </xf>
    <xf numFmtId="6" fontId="12" fillId="0" borderId="0" xfId="0" applyNumberFormat="1" applyFont="1" applyAlignment="1">
      <alignment horizontal="center"/>
    </xf>
    <xf numFmtId="6" fontId="74" fillId="0" borderId="0" xfId="0" applyNumberFormat="1" applyFont="1"/>
    <xf numFmtId="6" fontId="74" fillId="0" borderId="45" xfId="0" applyNumberFormat="1" applyFont="1" applyBorder="1"/>
    <xf numFmtId="6" fontId="45" fillId="10" borderId="0" xfId="5" applyNumberFormat="1" applyFont="1"/>
    <xf numFmtId="6" fontId="45" fillId="10" borderId="45" xfId="5" applyNumberFormat="1" applyFont="1" applyBorder="1"/>
    <xf numFmtId="6" fontId="45" fillId="10" borderId="50" xfId="5" applyNumberFormat="1" applyFont="1" applyBorder="1"/>
    <xf numFmtId="6" fontId="45" fillId="10" borderId="0" xfId="5" applyNumberFormat="1" applyFont="1" applyBorder="1"/>
    <xf numFmtId="3" fontId="0" fillId="0" borderId="1" xfId="0" applyNumberFormat="1" applyBorder="1"/>
    <xf numFmtId="3" fontId="30" fillId="0" borderId="0" xfId="0" applyNumberFormat="1" applyFont="1" applyAlignment="1">
      <alignment horizontal="center"/>
    </xf>
    <xf numFmtId="3" fontId="12" fillId="0" borderId="0" xfId="0" applyNumberFormat="1" applyFont="1"/>
    <xf numFmtId="3" fontId="26" fillId="0" borderId="0" xfId="0" applyNumberFormat="1" applyFont="1"/>
    <xf numFmtId="9" fontId="0" fillId="0" borderId="45" xfId="3" applyFont="1" applyBorder="1"/>
    <xf numFmtId="9" fontId="14" fillId="0" borderId="0" xfId="3" applyFont="1" applyBorder="1"/>
    <xf numFmtId="9" fontId="14" fillId="0" borderId="0" xfId="3" applyFont="1"/>
    <xf numFmtId="0" fontId="68" fillId="12" borderId="0" xfId="6" applyFont="1" applyFill="1" applyAlignment="1">
      <alignment horizontal="center"/>
    </xf>
    <xf numFmtId="10" fontId="68" fillId="12" borderId="0" xfId="6" applyNumberFormat="1" applyFont="1" applyFill="1" applyAlignment="1">
      <alignment horizontal="center" vertical="top" wrapText="1"/>
    </xf>
    <xf numFmtId="0" fontId="68" fillId="12" borderId="0" xfId="6" applyFont="1" applyFill="1" applyAlignment="1">
      <alignment horizontal="center" vertical="top" wrapText="1"/>
    </xf>
    <xf numFmtId="172" fontId="0" fillId="0" borderId="45" xfId="0" applyNumberFormat="1" applyBorder="1"/>
    <xf numFmtId="44" fontId="12" fillId="0" borderId="0" xfId="1" applyFont="1" applyAlignment="1">
      <alignment horizontal="center"/>
    </xf>
    <xf numFmtId="172" fontId="0" fillId="0" borderId="0" xfId="1" applyNumberFormat="1" applyFont="1" applyAlignment="1">
      <alignment horizontal="center"/>
    </xf>
    <xf numFmtId="182" fontId="0" fillId="0" borderId="0" xfId="0" applyNumberFormat="1"/>
    <xf numFmtId="183" fontId="0" fillId="0" borderId="0" xfId="1" applyNumberFormat="1" applyFont="1"/>
    <xf numFmtId="8" fontId="0" fillId="0" borderId="0" xfId="1" applyNumberFormat="1" applyFont="1" applyAlignment="1">
      <alignment horizontal="center"/>
    </xf>
    <xf numFmtId="0" fontId="68" fillId="12" borderId="61" xfId="6" applyFont="1" applyFill="1" applyBorder="1" applyAlignment="1">
      <alignment horizontal="center" vertical="top" wrapText="1"/>
    </xf>
    <xf numFmtId="0" fontId="2" fillId="13" borderId="0" xfId="0" applyFont="1" applyFill="1"/>
    <xf numFmtId="0" fontId="25" fillId="13" borderId="0" xfId="0" applyFont="1" applyFill="1" applyAlignment="1">
      <alignment horizontal="center"/>
    </xf>
    <xf numFmtId="164" fontId="25" fillId="13" borderId="0" xfId="0" applyNumberFormat="1" applyFont="1" applyFill="1" applyAlignment="1">
      <alignment horizontal="center" vertical="center"/>
    </xf>
    <xf numFmtId="181" fontId="75" fillId="14" borderId="0" xfId="0" applyNumberFormat="1" applyFont="1" applyFill="1" applyAlignment="1">
      <alignment horizontal="center"/>
    </xf>
    <xf numFmtId="181" fontId="76" fillId="14" borderId="0" xfId="0" applyNumberFormat="1" applyFont="1" applyFill="1" applyAlignment="1">
      <alignment horizontal="center"/>
    </xf>
    <xf numFmtId="0" fontId="77" fillId="14" borderId="0" xfId="0" applyFont="1" applyFill="1" applyAlignment="1">
      <alignment horizontal="left"/>
    </xf>
    <xf numFmtId="0" fontId="78" fillId="14" borderId="0" xfId="0" applyFont="1" applyFill="1" applyAlignment="1">
      <alignment horizontal="left"/>
    </xf>
    <xf numFmtId="172" fontId="0" fillId="0" borderId="45" xfId="3" applyNumberFormat="1" applyFont="1" applyBorder="1"/>
    <xf numFmtId="172" fontId="0" fillId="0" borderId="0" xfId="3" applyNumberFormat="1" applyFont="1"/>
    <xf numFmtId="172" fontId="0" fillId="0" borderId="50" xfId="3" applyNumberFormat="1" applyFont="1" applyBorder="1"/>
    <xf numFmtId="172" fontId="66" fillId="0" borderId="0" xfId="3" applyNumberFormat="1" applyFont="1"/>
    <xf numFmtId="172" fontId="66" fillId="0" borderId="0" xfId="0" applyNumberFormat="1" applyFont="1"/>
    <xf numFmtId="172" fontId="0" fillId="0" borderId="0" xfId="3" applyNumberFormat="1" applyFont="1" applyBorder="1"/>
    <xf numFmtId="172" fontId="66" fillId="0" borderId="0" xfId="3" applyNumberFormat="1" applyFont="1" applyBorder="1"/>
    <xf numFmtId="10" fontId="0" fillId="0" borderId="45" xfId="3" applyNumberFormat="1" applyFont="1" applyBorder="1"/>
    <xf numFmtId="165" fontId="25" fillId="0" borderId="0" xfId="0" applyNumberFormat="1" applyFont="1" applyAlignment="1">
      <alignment horizontal="left" vertical="center"/>
    </xf>
    <xf numFmtId="172" fontId="12" fillId="0" borderId="0" xfId="0" applyNumberFormat="1" applyFont="1"/>
    <xf numFmtId="164" fontId="25" fillId="13" borderId="45" xfId="0" applyNumberFormat="1" applyFont="1" applyFill="1" applyBorder="1" applyAlignment="1">
      <alignment horizontal="center" vertical="center"/>
    </xf>
    <xf numFmtId="165" fontId="67" fillId="13" borderId="45" xfId="0" applyNumberFormat="1" applyFont="1" applyFill="1" applyBorder="1" applyAlignment="1">
      <alignment horizontal="center" vertical="center"/>
    </xf>
    <xf numFmtId="165" fontId="67" fillId="13" borderId="0" xfId="0" applyNumberFormat="1" applyFont="1" applyFill="1" applyAlignment="1">
      <alignment horizontal="center" vertical="center"/>
    </xf>
    <xf numFmtId="165" fontId="67" fillId="13" borderId="50" xfId="0" applyNumberFormat="1" applyFont="1" applyFill="1" applyBorder="1" applyAlignment="1">
      <alignment horizontal="center" vertical="center"/>
    </xf>
    <xf numFmtId="0" fontId="79" fillId="0" borderId="2" xfId="0" applyFont="1" applyBorder="1"/>
    <xf numFmtId="0" fontId="79" fillId="0" borderId="0" xfId="0" applyFont="1"/>
    <xf numFmtId="0" fontId="79" fillId="0" borderId="7" xfId="0" applyFont="1" applyBorder="1"/>
    <xf numFmtId="0" fontId="79" fillId="16" borderId="27" xfId="0" applyFont="1" applyFill="1" applyBorder="1"/>
    <xf numFmtId="0" fontId="80" fillId="15" borderId="0" xfId="0" applyFont="1" applyFill="1"/>
    <xf numFmtId="0" fontId="81" fillId="15" borderId="0" xfId="0" applyFont="1" applyFill="1"/>
    <xf numFmtId="0" fontId="79" fillId="15" borderId="0" xfId="0" applyFont="1" applyFill="1"/>
    <xf numFmtId="0" fontId="79" fillId="0" borderId="24" xfId="0" applyFont="1" applyBorder="1"/>
    <xf numFmtId="0" fontId="79" fillId="0" borderId="14" xfId="0" applyFont="1" applyBorder="1"/>
    <xf numFmtId="0" fontId="79" fillId="0" borderId="19" xfId="0" applyFont="1" applyBorder="1"/>
    <xf numFmtId="0" fontId="82" fillId="0" borderId="0" xfId="0" applyFont="1"/>
    <xf numFmtId="0" fontId="79" fillId="16" borderId="26" xfId="0" applyFont="1" applyFill="1" applyBorder="1"/>
    <xf numFmtId="2" fontId="79" fillId="0" borderId="0" xfId="0" applyNumberFormat="1" applyFont="1"/>
    <xf numFmtId="6" fontId="79" fillId="0" borderId="0" xfId="0" applyNumberFormat="1" applyFont="1"/>
    <xf numFmtId="0" fontId="12" fillId="0" borderId="0" xfId="0" applyFont="1" applyAlignment="1">
      <alignment horizontal="left" indent="1"/>
    </xf>
    <xf numFmtId="6" fontId="79" fillId="16" borderId="27" xfId="0" applyNumberFormat="1" applyFont="1" applyFill="1" applyBorder="1"/>
    <xf numFmtId="10" fontId="0" fillId="0" borderId="0" xfId="3" applyNumberFormat="1" applyFont="1"/>
    <xf numFmtId="10" fontId="83" fillId="0" borderId="0" xfId="0" applyNumberFormat="1" applyFont="1"/>
    <xf numFmtId="10" fontId="83" fillId="0" borderId="1" xfId="0" applyNumberFormat="1" applyFont="1" applyBorder="1"/>
    <xf numFmtId="0" fontId="83" fillId="0" borderId="0" xfId="0" applyFont="1"/>
    <xf numFmtId="0" fontId="83" fillId="0" borderId="1" xfId="0" applyFont="1" applyBorder="1"/>
    <xf numFmtId="2" fontId="83" fillId="0" borderId="0" xfId="0" applyNumberFormat="1" applyFont="1"/>
    <xf numFmtId="2" fontId="83" fillId="0" borderId="1" xfId="0" applyNumberFormat="1" applyFont="1" applyBorder="1"/>
    <xf numFmtId="6" fontId="12" fillId="0" borderId="45" xfId="0" applyNumberFormat="1" applyFont="1" applyBorder="1"/>
    <xf numFmtId="0" fontId="60" fillId="0" borderId="0" xfId="0" applyFont="1" applyAlignment="1">
      <alignment horizontal="left" indent="1"/>
    </xf>
    <xf numFmtId="43" fontId="56" fillId="0" borderId="49" xfId="4" applyFont="1" applyBorder="1"/>
    <xf numFmtId="178" fontId="15" fillId="0" borderId="0" xfId="4" applyNumberFormat="1" applyFont="1" applyBorder="1"/>
    <xf numFmtId="178" fontId="15" fillId="0" borderId="0" xfId="4" applyNumberFormat="1" applyFont="1"/>
    <xf numFmtId="178" fontId="15" fillId="0" borderId="45" xfId="1" applyNumberFormat="1" applyFont="1" applyBorder="1"/>
    <xf numFmtId="178" fontId="15" fillId="0" borderId="0" xfId="1" applyNumberFormat="1" applyFont="1" applyBorder="1"/>
    <xf numFmtId="10" fontId="15" fillId="0" borderId="0" xfId="3" applyNumberFormat="1" applyFont="1"/>
    <xf numFmtId="170" fontId="15" fillId="0" borderId="0" xfId="1" applyNumberFormat="1" applyFont="1"/>
    <xf numFmtId="170" fontId="14" fillId="0" borderId="45" xfId="1" applyNumberFormat="1" applyFont="1" applyBorder="1"/>
    <xf numFmtId="10" fontId="15" fillId="0" borderId="45" xfId="3" applyNumberFormat="1" applyFont="1" applyBorder="1"/>
    <xf numFmtId="177" fontId="15" fillId="0" borderId="0" xfId="4" applyNumberFormat="1" applyFont="1"/>
    <xf numFmtId="0" fontId="12" fillId="0" borderId="2" xfId="0" applyFont="1" applyBorder="1" applyAlignment="1">
      <alignment horizontal="left"/>
    </xf>
    <xf numFmtId="6" fontId="0" fillId="0" borderId="1" xfId="0" applyNumberFormat="1" applyBorder="1"/>
    <xf numFmtId="6" fontId="1" fillId="10" borderId="1" xfId="5" applyNumberFormat="1" applyBorder="1"/>
    <xf numFmtId="172" fontId="0" fillId="0" borderId="1" xfId="3" applyNumberFormat="1" applyFont="1" applyBorder="1"/>
    <xf numFmtId="6" fontId="45" fillId="10" borderId="1" xfId="5" applyNumberFormat="1" applyFont="1" applyBorder="1"/>
    <xf numFmtId="170" fontId="0" fillId="0" borderId="1" xfId="1" applyNumberFormat="1" applyFont="1" applyBorder="1"/>
    <xf numFmtId="170" fontId="14" fillId="0" borderId="1" xfId="1" applyNumberFormat="1" applyFont="1" applyBorder="1"/>
    <xf numFmtId="9" fontId="0" fillId="0" borderId="1" xfId="0" applyNumberFormat="1" applyBorder="1"/>
    <xf numFmtId="170" fontId="0" fillId="0" borderId="1" xfId="0" applyNumberFormat="1" applyBorder="1"/>
    <xf numFmtId="10" fontId="67" fillId="13" borderId="1" xfId="0" applyNumberFormat="1" applyFont="1" applyFill="1" applyBorder="1" applyAlignment="1">
      <alignment horizontal="center" vertical="center"/>
    </xf>
    <xf numFmtId="165" fontId="67" fillId="13" borderId="1" xfId="0" applyNumberFormat="1" applyFont="1" applyFill="1" applyBorder="1" applyAlignment="1">
      <alignment horizontal="center" vertical="center"/>
    </xf>
    <xf numFmtId="44" fontId="0" fillId="0" borderId="1" xfId="0" applyNumberFormat="1" applyBorder="1"/>
    <xf numFmtId="6" fontId="14" fillId="0" borderId="45" xfId="0" applyNumberFormat="1" applyFont="1" applyBorder="1"/>
    <xf numFmtId="9" fontId="14" fillId="0" borderId="45" xfId="3" applyFont="1" applyBorder="1"/>
    <xf numFmtId="3" fontId="14" fillId="0" borderId="45" xfId="0" applyNumberFormat="1" applyFont="1" applyBorder="1"/>
    <xf numFmtId="177" fontId="14" fillId="0" borderId="45" xfId="4" applyNumberFormat="1" applyFont="1" applyBorder="1"/>
    <xf numFmtId="44" fontId="14" fillId="0" borderId="45" xfId="1" applyFont="1" applyBorder="1"/>
    <xf numFmtId="10" fontId="14" fillId="0" borderId="45" xfId="0" applyNumberFormat="1" applyFont="1" applyBorder="1"/>
    <xf numFmtId="10" fontId="14" fillId="0" borderId="45" xfId="3" applyNumberFormat="1" applyFont="1" applyBorder="1"/>
    <xf numFmtId="0" fontId="14" fillId="0" borderId="45" xfId="0" applyFont="1" applyBorder="1"/>
    <xf numFmtId="170" fontId="14" fillId="0" borderId="45" xfId="0" applyNumberFormat="1" applyFont="1" applyBorder="1"/>
    <xf numFmtId="164" fontId="67" fillId="13" borderId="45" xfId="0" applyNumberFormat="1" applyFont="1" applyFill="1" applyBorder="1" applyAlignment="1">
      <alignment horizontal="center" vertical="center"/>
    </xf>
    <xf numFmtId="9" fontId="15" fillId="0" borderId="45" xfId="1" applyNumberFormat="1" applyFont="1" applyBorder="1"/>
    <xf numFmtId="0" fontId="12" fillId="0" borderId="2" xfId="0" applyFont="1" applyBorder="1"/>
    <xf numFmtId="37" fontId="0" fillId="0" borderId="1" xfId="1" applyNumberFormat="1" applyFont="1" applyBorder="1"/>
    <xf numFmtId="10" fontId="0" fillId="0" borderId="1" xfId="3" applyNumberFormat="1" applyFont="1" applyBorder="1"/>
    <xf numFmtId="43" fontId="0" fillId="0" borderId="0" xfId="4" applyFont="1"/>
    <xf numFmtId="0" fontId="43" fillId="0" borderId="0" xfId="0" applyFont="1"/>
    <xf numFmtId="0" fontId="43" fillId="0" borderId="12" xfId="0" applyFont="1" applyBorder="1"/>
    <xf numFmtId="0" fontId="42" fillId="3" borderId="26" xfId="0" applyFont="1" applyFill="1" applyBorder="1"/>
    <xf numFmtId="0" fontId="43" fillId="3" borderId="27" xfId="0" applyFont="1" applyFill="1" applyBorder="1"/>
    <xf numFmtId="0" fontId="43" fillId="3" borderId="36" xfId="0" applyFont="1" applyFill="1" applyBorder="1"/>
    <xf numFmtId="0" fontId="46" fillId="3" borderId="26" xfId="0" applyFont="1" applyFill="1" applyBorder="1"/>
    <xf numFmtId="0" fontId="47" fillId="3" borderId="28" xfId="0" applyFont="1" applyFill="1" applyBorder="1"/>
    <xf numFmtId="0" fontId="0" fillId="3" borderId="28" xfId="0" applyFill="1" applyBorder="1"/>
    <xf numFmtId="0" fontId="84" fillId="0" borderId="0" xfId="0" applyFont="1"/>
    <xf numFmtId="0" fontId="84" fillId="0" borderId="0" xfId="0" applyFont="1" applyAlignment="1">
      <alignment horizontal="center"/>
    </xf>
    <xf numFmtId="0" fontId="86" fillId="0" borderId="0" xfId="0" applyFont="1"/>
    <xf numFmtId="0" fontId="87" fillId="0" borderId="0" xfId="0" applyFont="1" applyAlignment="1">
      <alignment horizontal="left" vertical="center"/>
    </xf>
    <xf numFmtId="0" fontId="86" fillId="0" borderId="0" xfId="0" applyFont="1" applyAlignment="1">
      <alignment horizontal="center" vertical="center"/>
    </xf>
    <xf numFmtId="0" fontId="88" fillId="0" borderId="0" xfId="0" applyFont="1" applyAlignment="1">
      <alignment vertical="center"/>
    </xf>
    <xf numFmtId="0" fontId="84" fillId="0" borderId="68" xfId="0" applyFont="1" applyBorder="1"/>
    <xf numFmtId="8" fontId="91" fillId="0" borderId="68" xfId="0" applyNumberFormat="1" applyFont="1" applyBorder="1" applyAlignment="1">
      <alignment horizontal="center"/>
    </xf>
    <xf numFmtId="0" fontId="92" fillId="0" borderId="68" xfId="0" applyFont="1" applyBorder="1" applyAlignment="1">
      <alignment horizontal="center"/>
    </xf>
    <xf numFmtId="0" fontId="93" fillId="0" borderId="68" xfId="0" applyFont="1" applyBorder="1" applyAlignment="1">
      <alignment horizontal="center"/>
    </xf>
    <xf numFmtId="37" fontId="84" fillId="0" borderId="0" xfId="0" applyNumberFormat="1" applyFont="1"/>
    <xf numFmtId="37" fontId="93" fillId="0" borderId="0" xfId="0" applyNumberFormat="1" applyFont="1" applyAlignment="1">
      <alignment horizontal="center"/>
    </xf>
    <xf numFmtId="37" fontId="92" fillId="0" borderId="0" xfId="0" applyNumberFormat="1" applyFont="1"/>
    <xf numFmtId="37" fontId="94" fillId="0" borderId="0" xfId="0" applyNumberFormat="1" applyFont="1"/>
    <xf numFmtId="37" fontId="94" fillId="0" borderId="68" xfId="0" applyNumberFormat="1" applyFont="1" applyBorder="1"/>
    <xf numFmtId="37" fontId="84" fillId="0" borderId="68" xfId="0" applyNumberFormat="1" applyFont="1" applyBorder="1"/>
    <xf numFmtId="37" fontId="86" fillId="0" borderId="0" xfId="0" applyNumberFormat="1" applyFont="1"/>
    <xf numFmtId="37" fontId="92" fillId="0" borderId="68" xfId="0" applyNumberFormat="1" applyFont="1" applyBorder="1"/>
    <xf numFmtId="44" fontId="86" fillId="0" borderId="0" xfId="1" applyFont="1"/>
    <xf numFmtId="44" fontId="95" fillId="0" borderId="0" xfId="1" applyFont="1" applyAlignment="1">
      <alignment horizontal="center"/>
    </xf>
    <xf numFmtId="9" fontId="84" fillId="0" borderId="0" xfId="0" applyNumberFormat="1" applyFont="1"/>
    <xf numFmtId="0" fontId="84" fillId="0" borderId="69" xfId="0" applyFont="1" applyBorder="1"/>
    <xf numFmtId="37" fontId="84" fillId="0" borderId="69" xfId="0" applyNumberFormat="1" applyFont="1" applyBorder="1"/>
    <xf numFmtId="37" fontId="86" fillId="0" borderId="0" xfId="0" applyNumberFormat="1" applyFont="1" applyAlignment="1">
      <alignment horizontal="center" vertical="center"/>
    </xf>
    <xf numFmtId="37" fontId="88" fillId="0" borderId="0" xfId="0" applyNumberFormat="1" applyFont="1" applyAlignment="1">
      <alignment vertical="center"/>
    </xf>
    <xf numFmtId="8" fontId="86" fillId="0" borderId="0" xfId="0" applyNumberFormat="1" applyFont="1"/>
    <xf numFmtId="8" fontId="95" fillId="0" borderId="0" xfId="0" applyNumberFormat="1" applyFont="1" applyAlignment="1">
      <alignment horizontal="center"/>
    </xf>
    <xf numFmtId="37" fontId="26" fillId="0" borderId="0" xfId="0" applyNumberFormat="1" applyFont="1"/>
    <xf numFmtId="0" fontId="90" fillId="2" borderId="2" xfId="0" applyFont="1" applyFill="1" applyBorder="1"/>
    <xf numFmtId="0" fontId="90" fillId="2" borderId="2" xfId="0" applyFont="1" applyFill="1" applyBorder="1" applyAlignment="1">
      <alignment vertical="center"/>
    </xf>
    <xf numFmtId="0" fontId="90" fillId="2" borderId="7" xfId="0" applyFont="1" applyFill="1" applyBorder="1" applyAlignment="1">
      <alignment vertical="center"/>
    </xf>
    <xf numFmtId="0" fontId="90" fillId="2" borderId="7" xfId="0" applyFont="1" applyFill="1" applyBorder="1" applyAlignment="1">
      <alignment horizontal="center" vertical="center"/>
    </xf>
    <xf numFmtId="37" fontId="90" fillId="2" borderId="7" xfId="0" applyNumberFormat="1" applyFont="1" applyFill="1" applyBorder="1" applyAlignment="1">
      <alignment horizontal="center" vertical="center"/>
    </xf>
    <xf numFmtId="44" fontId="85" fillId="0" borderId="66" xfId="0" applyNumberFormat="1" applyFont="1" applyBorder="1" applyAlignment="1">
      <alignment horizontal="center"/>
    </xf>
    <xf numFmtId="185" fontId="91" fillId="0" borderId="68" xfId="0" applyNumberFormat="1" applyFont="1" applyBorder="1"/>
    <xf numFmtId="185" fontId="84" fillId="0" borderId="68" xfId="0" applyNumberFormat="1" applyFont="1" applyBorder="1"/>
    <xf numFmtId="185" fontId="92" fillId="0" borderId="68" xfId="0" applyNumberFormat="1" applyFont="1" applyBorder="1"/>
    <xf numFmtId="0" fontId="89" fillId="2" borderId="24" xfId="0" applyFont="1" applyFill="1" applyBorder="1"/>
    <xf numFmtId="0" fontId="90" fillId="2" borderId="2" xfId="0" applyFont="1" applyFill="1" applyBorder="1" applyAlignment="1">
      <alignment horizontal="centerContinuous" vertical="center"/>
    </xf>
    <xf numFmtId="0" fontId="89" fillId="2" borderId="2" xfId="0" applyFont="1" applyFill="1" applyBorder="1" applyAlignment="1">
      <alignment horizontal="centerContinuous"/>
    </xf>
    <xf numFmtId="0" fontId="89" fillId="2" borderId="19" xfId="0" applyFont="1" applyFill="1" applyBorder="1"/>
    <xf numFmtId="37" fontId="90" fillId="2" borderId="8" xfId="0" applyNumberFormat="1" applyFont="1" applyFill="1" applyBorder="1" applyAlignment="1">
      <alignment horizontal="center" vertical="center"/>
    </xf>
    <xf numFmtId="39" fontId="12" fillId="0" borderId="1" xfId="0" applyNumberFormat="1" applyFont="1" applyBorder="1"/>
    <xf numFmtId="39" fontId="12" fillId="0" borderId="0" xfId="0" applyNumberFormat="1" applyFont="1"/>
    <xf numFmtId="178" fontId="14" fillId="0" borderId="45" xfId="3" applyNumberFormat="1" applyFont="1" applyBorder="1"/>
    <xf numFmtId="0" fontId="11" fillId="0" borderId="1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170" fontId="14" fillId="8" borderId="32" xfId="1" applyNumberFormat="1" applyFont="1" applyFill="1" applyBorder="1"/>
    <xf numFmtId="0" fontId="47" fillId="3" borderId="0" xfId="0" applyFont="1" applyFill="1"/>
    <xf numFmtId="182" fontId="79" fillId="0" borderId="2" xfId="0" applyNumberFormat="1" applyFont="1" applyBorder="1"/>
    <xf numFmtId="182" fontId="79" fillId="0" borderId="3" xfId="0" applyNumberFormat="1" applyFont="1" applyBorder="1"/>
    <xf numFmtId="182" fontId="79" fillId="0" borderId="0" xfId="0" applyNumberFormat="1" applyFont="1"/>
    <xf numFmtId="182" fontId="79" fillId="0" borderId="1" xfId="0" applyNumberFormat="1" applyFont="1" applyBorder="1"/>
    <xf numFmtId="182" fontId="79" fillId="0" borderId="7" xfId="0" applyNumberFormat="1" applyFont="1" applyBorder="1"/>
    <xf numFmtId="182" fontId="82" fillId="0" borderId="0" xfId="0" applyNumberFormat="1" applyFont="1"/>
    <xf numFmtId="182" fontId="79" fillId="16" borderId="27" xfId="0" applyNumberFormat="1" applyFont="1" applyFill="1" applyBorder="1"/>
    <xf numFmtId="182" fontId="79" fillId="17" borderId="35" xfId="0" applyNumberFormat="1" applyFont="1" applyFill="1" applyBorder="1"/>
    <xf numFmtId="0" fontId="48" fillId="9" borderId="0" xfId="0" applyFont="1" applyFill="1"/>
    <xf numFmtId="0" fontId="48" fillId="9" borderId="0" xfId="0" applyFont="1" applyFill="1" applyAlignment="1">
      <alignment horizontal="center"/>
    </xf>
    <xf numFmtId="2" fontId="48" fillId="9" borderId="0" xfId="0" applyNumberFormat="1" applyFont="1" applyFill="1" applyAlignment="1">
      <alignment horizontal="centerContinuous"/>
    </xf>
    <xf numFmtId="0" fontId="48" fillId="9" borderId="45" xfId="0" applyFont="1" applyFill="1" applyBorder="1" applyAlignment="1">
      <alignment horizontal="center"/>
    </xf>
    <xf numFmtId="0" fontId="48" fillId="9" borderId="0" xfId="0" applyFont="1" applyFill="1" applyAlignment="1">
      <alignment horizontal="centerContinuous"/>
    </xf>
    <xf numFmtId="0" fontId="48" fillId="9" borderId="45" xfId="0" applyFont="1" applyFill="1" applyBorder="1" applyAlignment="1">
      <alignment horizontal="centerContinuous"/>
    </xf>
    <xf numFmtId="0" fontId="48" fillId="9" borderId="1" xfId="0" applyFont="1" applyFill="1" applyBorder="1" applyAlignment="1">
      <alignment horizontal="center"/>
    </xf>
    <xf numFmtId="0" fontId="49" fillId="9" borderId="0" xfId="0" applyFont="1" applyFill="1"/>
    <xf numFmtId="164" fontId="9" fillId="9" borderId="0" xfId="0" applyNumberFormat="1" applyFont="1" applyFill="1" applyAlignment="1">
      <alignment horizontal="center"/>
    </xf>
    <xf numFmtId="0" fontId="48" fillId="9" borderId="50" xfId="0" applyFont="1" applyFill="1" applyBorder="1" applyAlignment="1">
      <alignment horizontal="center"/>
    </xf>
    <xf numFmtId="0" fontId="9" fillId="9" borderId="0" xfId="0" applyFont="1" applyFill="1"/>
    <xf numFmtId="164" fontId="10" fillId="9" borderId="0" xfId="0" applyNumberFormat="1" applyFont="1" applyFill="1"/>
    <xf numFmtId="164" fontId="10" fillId="9" borderId="45" xfId="0" applyNumberFormat="1" applyFont="1" applyFill="1" applyBorder="1"/>
    <xf numFmtId="165" fontId="10" fillId="9" borderId="1" xfId="0" applyNumberFormat="1" applyFont="1" applyFill="1" applyBorder="1"/>
    <xf numFmtId="165" fontId="10" fillId="9" borderId="0" xfId="0" applyNumberFormat="1" applyFont="1" applyFill="1"/>
    <xf numFmtId="165" fontId="10" fillId="9" borderId="50" xfId="0" applyNumberFormat="1" applyFont="1" applyFill="1" applyBorder="1"/>
    <xf numFmtId="165" fontId="10" fillId="9" borderId="45" xfId="0" applyNumberFormat="1" applyFont="1" applyFill="1" applyBorder="1"/>
    <xf numFmtId="0" fontId="25" fillId="9" borderId="0" xfId="0" applyFont="1" applyFill="1" applyAlignment="1">
      <alignment horizontal="center"/>
    </xf>
    <xf numFmtId="172" fontId="25" fillId="9" borderId="0" xfId="0" applyNumberFormat="1" applyFont="1" applyFill="1" applyAlignment="1">
      <alignment horizontal="center"/>
    </xf>
    <xf numFmtId="164" fontId="25" fillId="9" borderId="45" xfId="0" applyNumberFormat="1" applyFont="1" applyFill="1" applyBorder="1" applyAlignment="1">
      <alignment horizontal="center" vertical="center"/>
    </xf>
    <xf numFmtId="164" fontId="25" fillId="9" borderId="0" xfId="0" applyNumberFormat="1" applyFont="1" applyFill="1" applyAlignment="1">
      <alignment horizontal="center" vertical="center"/>
    </xf>
    <xf numFmtId="10" fontId="25" fillId="9" borderId="0" xfId="0" applyNumberFormat="1" applyFont="1" applyFill="1" applyAlignment="1">
      <alignment horizontal="center" vertical="center"/>
    </xf>
    <xf numFmtId="172" fontId="25" fillId="9" borderId="0" xfId="0" applyNumberFormat="1" applyFont="1" applyFill="1" applyAlignment="1">
      <alignment horizontal="center" vertical="center"/>
    </xf>
    <xf numFmtId="165" fontId="25" fillId="9" borderId="1" xfId="0" applyNumberFormat="1" applyFont="1" applyFill="1" applyBorder="1" applyAlignment="1">
      <alignment horizontal="center" vertical="center"/>
    </xf>
    <xf numFmtId="165" fontId="25" fillId="9" borderId="0" xfId="0" applyNumberFormat="1" applyFont="1" applyFill="1" applyAlignment="1">
      <alignment horizontal="center" vertical="center"/>
    </xf>
    <xf numFmtId="6" fontId="25" fillId="9" borderId="50" xfId="0" applyNumberFormat="1" applyFont="1" applyFill="1" applyBorder="1" applyAlignment="1">
      <alignment horizontal="center" vertical="center"/>
    </xf>
    <xf numFmtId="6" fontId="25" fillId="9" borderId="45" xfId="0" applyNumberFormat="1" applyFont="1" applyFill="1" applyBorder="1" applyAlignment="1">
      <alignment horizontal="center" vertical="center"/>
    </xf>
    <xf numFmtId="165" fontId="25" fillId="9" borderId="45" xfId="0" applyNumberFormat="1" applyFont="1" applyFill="1" applyBorder="1" applyAlignment="1">
      <alignment horizontal="center" vertical="center"/>
    </xf>
    <xf numFmtId="173" fontId="25" fillId="9" borderId="0" xfId="0" applyNumberFormat="1" applyFont="1" applyFill="1" applyAlignment="1">
      <alignment horizontal="center" vertical="center"/>
    </xf>
    <xf numFmtId="9" fontId="25" fillId="9" borderId="50" xfId="0" applyNumberFormat="1" applyFont="1" applyFill="1" applyBorder="1" applyAlignment="1">
      <alignment horizontal="center" vertical="center"/>
    </xf>
    <xf numFmtId="9" fontId="25" fillId="9" borderId="45" xfId="0" applyNumberFormat="1" applyFont="1" applyFill="1" applyBorder="1" applyAlignment="1">
      <alignment horizontal="center" vertical="center"/>
    </xf>
    <xf numFmtId="0" fontId="2" fillId="9" borderId="0" xfId="0" applyFont="1" applyFill="1"/>
    <xf numFmtId="165" fontId="25" fillId="9" borderId="50" xfId="0" applyNumberFormat="1" applyFont="1" applyFill="1" applyBorder="1" applyAlignment="1">
      <alignment horizontal="center" vertical="center"/>
    </xf>
    <xf numFmtId="0" fontId="50" fillId="9" borderId="0" xfId="0" applyFont="1" applyFill="1"/>
    <xf numFmtId="0" fontId="0" fillId="9" borderId="0" xfId="0" applyFill="1"/>
    <xf numFmtId="184" fontId="79" fillId="0" borderId="0" xfId="0" applyNumberFormat="1" applyFont="1"/>
    <xf numFmtId="7" fontId="12" fillId="0" borderId="0" xfId="2" applyNumberFormat="1" applyFont="1" applyAlignment="1">
      <alignment horizontal="left"/>
    </xf>
    <xf numFmtId="7" fontId="11" fillId="0" borderId="0" xfId="0" applyNumberFormat="1" applyFont="1"/>
    <xf numFmtId="0" fontId="96" fillId="2" borderId="0" xfId="0" applyFont="1" applyFill="1"/>
    <xf numFmtId="164" fontId="97" fillId="2" borderId="0" xfId="0" applyNumberFormat="1" applyFont="1" applyFill="1"/>
    <xf numFmtId="164" fontId="97" fillId="2" borderId="0" xfId="0" applyNumberFormat="1" applyFont="1" applyFill="1" applyAlignment="1">
      <alignment horizontal="center" vertical="center"/>
    </xf>
    <xf numFmtId="165" fontId="97" fillId="2" borderId="0" xfId="0" applyNumberFormat="1" applyFont="1" applyFill="1" applyAlignment="1">
      <alignment horizontal="center" vertical="center"/>
    </xf>
    <xf numFmtId="0" fontId="98" fillId="2" borderId="0" xfId="0" applyFont="1" applyFill="1"/>
    <xf numFmtId="0" fontId="97" fillId="2" borderId="0" xfId="0" applyFont="1" applyFill="1"/>
    <xf numFmtId="37" fontId="99" fillId="0" borderId="1" xfId="0" applyNumberFormat="1" applyFont="1" applyBorder="1"/>
    <xf numFmtId="37" fontId="99" fillId="0" borderId="0" xfId="0" applyNumberFormat="1" applyFont="1"/>
    <xf numFmtId="37" fontId="100" fillId="0" borderId="1" xfId="0" applyNumberFormat="1" applyFont="1" applyBorder="1"/>
    <xf numFmtId="0" fontId="101" fillId="0" borderId="0" xfId="0" applyFont="1"/>
    <xf numFmtId="37" fontId="26" fillId="0" borderId="1" xfId="0" applyNumberFormat="1" applyFont="1" applyBorder="1"/>
    <xf numFmtId="0" fontId="30" fillId="0" borderId="0" xfId="0" applyFont="1"/>
    <xf numFmtId="0" fontId="30" fillId="0" borderId="2" xfId="0" applyFont="1" applyBorder="1"/>
    <xf numFmtId="37" fontId="30" fillId="0" borderId="3" xfId="0" applyNumberFormat="1" applyFont="1" applyBorder="1"/>
    <xf numFmtId="37" fontId="30" fillId="0" borderId="2" xfId="0" applyNumberFormat="1" applyFont="1" applyBorder="1"/>
    <xf numFmtId="0" fontId="30" fillId="0" borderId="2" xfId="0" applyFont="1" applyBorder="1" applyAlignment="1">
      <alignment horizontal="left"/>
    </xf>
    <xf numFmtId="37" fontId="102" fillId="0" borderId="3" xfId="0" applyNumberFormat="1" applyFont="1" applyBorder="1"/>
    <xf numFmtId="9" fontId="26" fillId="0" borderId="0" xfId="0" applyNumberFormat="1" applyFont="1"/>
    <xf numFmtId="41" fontId="99" fillId="0" borderId="0" xfId="0" applyNumberFormat="1" applyFont="1" applyAlignment="1">
      <alignment horizontal="center"/>
    </xf>
    <xf numFmtId="37" fontId="99" fillId="0" borderId="0" xfId="0" applyNumberFormat="1" applyFont="1" applyAlignment="1">
      <alignment horizontal="center"/>
    </xf>
    <xf numFmtId="37" fontId="99" fillId="0" borderId="1" xfId="0" applyNumberFormat="1" applyFont="1" applyBorder="1" applyAlignment="1">
      <alignment horizontal="center"/>
    </xf>
    <xf numFmtId="0" fontId="26" fillId="0" borderId="40" xfId="0" applyFont="1" applyBorder="1"/>
    <xf numFmtId="10" fontId="26" fillId="0" borderId="40" xfId="0" applyNumberFormat="1" applyFont="1" applyBorder="1"/>
    <xf numFmtId="10" fontId="26" fillId="0" borderId="40" xfId="3" applyNumberFormat="1" applyFont="1" applyBorder="1"/>
    <xf numFmtId="10" fontId="26" fillId="0" borderId="41" xfId="3" applyNumberFormat="1" applyFont="1" applyBorder="1"/>
    <xf numFmtId="41" fontId="97" fillId="2" borderId="0" xfId="0" applyNumberFormat="1" applyFont="1" applyFill="1"/>
    <xf numFmtId="0" fontId="0" fillId="0" borderId="53" xfId="0" applyBorder="1"/>
    <xf numFmtId="37" fontId="0" fillId="0" borderId="54" xfId="0" applyNumberFormat="1" applyBorder="1"/>
    <xf numFmtId="37" fontId="0" fillId="0" borderId="53" xfId="0" applyNumberFormat="1" applyBorder="1"/>
    <xf numFmtId="37" fontId="0" fillId="0" borderId="1" xfId="0" applyNumberFormat="1" applyBorder="1"/>
    <xf numFmtId="37" fontId="0" fillId="0" borderId="14" xfId="0" applyNumberFormat="1" applyBorder="1"/>
    <xf numFmtId="0" fontId="0" fillId="0" borderId="2" xfId="0" applyBorder="1"/>
    <xf numFmtId="37" fontId="0" fillId="0" borderId="24" xfId="0" applyNumberFormat="1" applyBorder="1"/>
    <xf numFmtId="37" fontId="0" fillId="0" borderId="2" xfId="0" applyNumberFormat="1" applyBorder="1"/>
    <xf numFmtId="37" fontId="0" fillId="0" borderId="3" xfId="0" applyNumberFormat="1" applyBorder="1"/>
    <xf numFmtId="0" fontId="0" fillId="0" borderId="33" xfId="0" applyBorder="1" applyAlignment="1">
      <alignment horizontal="left" indent="1"/>
    </xf>
    <xf numFmtId="37" fontId="0" fillId="0" borderId="33" xfId="0" applyNumberFormat="1" applyBorder="1"/>
    <xf numFmtId="37" fontId="0" fillId="0" borderId="64" xfId="0" applyNumberFormat="1" applyBorder="1"/>
    <xf numFmtId="37" fontId="0" fillId="0" borderId="65" xfId="0" applyNumberFormat="1" applyBorder="1"/>
    <xf numFmtId="37" fontId="0" fillId="0" borderId="30" xfId="0" applyNumberFormat="1" applyBorder="1"/>
    <xf numFmtId="0" fontId="103" fillId="0" borderId="0" xfId="0" applyFont="1" applyAlignment="1">
      <alignment horizontal="left"/>
    </xf>
    <xf numFmtId="164" fontId="97" fillId="2" borderId="0" xfId="0" applyNumberFormat="1" applyFont="1" applyFill="1" applyAlignment="1">
      <alignment horizontal="center"/>
    </xf>
    <xf numFmtId="0" fontId="104" fillId="2" borderId="0" xfId="0" applyFont="1" applyFill="1"/>
    <xf numFmtId="0" fontId="97" fillId="2" borderId="0" xfId="0" applyFont="1" applyFill="1" applyAlignment="1">
      <alignment horizontal="center"/>
    </xf>
    <xf numFmtId="37" fontId="0" fillId="0" borderId="0" xfId="0" quotePrefix="1" applyNumberFormat="1" applyAlignment="1">
      <alignment horizontal="center"/>
    </xf>
    <xf numFmtId="179" fontId="0" fillId="0" borderId="0" xfId="0" applyNumberFormat="1"/>
    <xf numFmtId="37" fontId="0" fillId="0" borderId="0" xfId="0" applyNumberFormat="1" applyAlignment="1">
      <alignment horizontal="center"/>
    </xf>
    <xf numFmtId="0" fontId="0" fillId="0" borderId="0" xfId="2" applyFont="1" applyAlignment="1">
      <alignment horizontal="left"/>
    </xf>
    <xf numFmtId="7" fontId="0" fillId="0" borderId="0" xfId="0" applyNumberFormat="1"/>
    <xf numFmtId="164" fontId="97" fillId="2" borderId="1" xfId="0" applyNumberFormat="1" applyFont="1" applyFill="1" applyBorder="1" applyAlignment="1">
      <alignment horizontal="center" vertical="center"/>
    </xf>
    <xf numFmtId="166" fontId="0" fillId="0" borderId="0" xfId="0" applyNumberFormat="1"/>
    <xf numFmtId="165" fontId="96" fillId="2" borderId="0" xfId="0" applyNumberFormat="1" applyFont="1" applyFill="1" applyAlignment="1">
      <alignment horizontal="center" vertical="center"/>
    </xf>
    <xf numFmtId="0" fontId="97" fillId="2" borderId="1" xfId="0" applyFont="1" applyFill="1" applyBorder="1"/>
    <xf numFmtId="168" fontId="0" fillId="0" borderId="0" xfId="0" applyNumberFormat="1"/>
    <xf numFmtId="168" fontId="105" fillId="0" borderId="0" xfId="0" applyNumberFormat="1" applyFont="1"/>
    <xf numFmtId="168" fontId="105" fillId="0" borderId="1" xfId="0" applyNumberFormat="1" applyFont="1" applyBorder="1"/>
    <xf numFmtId="166" fontId="105" fillId="0" borderId="0" xfId="0" applyNumberFormat="1" applyFont="1"/>
    <xf numFmtId="166" fontId="105" fillId="0" borderId="1" xfId="0" applyNumberFormat="1" applyFont="1" applyBorder="1"/>
    <xf numFmtId="0" fontId="0" fillId="0" borderId="9" xfId="0" applyBorder="1" applyAlignment="1">
      <alignment horizontal="left"/>
    </xf>
    <xf numFmtId="166" fontId="105" fillId="0" borderId="42" xfId="0" applyNumberFormat="1" applyFont="1" applyBorder="1"/>
    <xf numFmtId="166" fontId="105" fillId="0" borderId="4" xfId="0" applyNumberFormat="1" applyFont="1" applyBorder="1"/>
    <xf numFmtId="3" fontId="0" fillId="0" borderId="24" xfId="0" applyNumberFormat="1" applyBorder="1"/>
    <xf numFmtId="3" fontId="0" fillId="0" borderId="2" xfId="0" applyNumberFormat="1" applyBorder="1"/>
    <xf numFmtId="41" fontId="0" fillId="0" borderId="0" xfId="0" applyNumberFormat="1"/>
    <xf numFmtId="177" fontId="0" fillId="0" borderId="0" xfId="0" applyNumberFormat="1"/>
    <xf numFmtId="0" fontId="97" fillId="0" borderId="0" xfId="0" applyFont="1"/>
    <xf numFmtId="0" fontId="0" fillId="0" borderId="38" xfId="0" applyBorder="1" applyAlignment="1">
      <alignment horizontal="left"/>
    </xf>
    <xf numFmtId="166" fontId="105" fillId="0" borderId="38" xfId="0" applyNumberFormat="1" applyFont="1" applyBorder="1"/>
    <xf numFmtId="166" fontId="105" fillId="0" borderId="43" xfId="0" applyNumberFormat="1" applyFont="1" applyBorder="1"/>
    <xf numFmtId="166" fontId="0" fillId="0" borderId="51" xfId="0" applyNumberFormat="1" applyBorder="1"/>
    <xf numFmtId="166" fontId="0" fillId="0" borderId="33" xfId="0" applyNumberFormat="1" applyBorder="1"/>
    <xf numFmtId="168" fontId="106" fillId="0" borderId="0" xfId="0" applyNumberFormat="1" applyFont="1"/>
    <xf numFmtId="168" fontId="106" fillId="0" borderId="1" xfId="0" applyNumberFormat="1" applyFont="1" applyBorder="1"/>
    <xf numFmtId="0" fontId="107" fillId="0" borderId="0" xfId="0" applyFont="1"/>
    <xf numFmtId="169" fontId="105" fillId="0" borderId="0" xfId="0" applyNumberFormat="1" applyFont="1" applyAlignment="1">
      <alignment horizontal="right"/>
    </xf>
    <xf numFmtId="169" fontId="105" fillId="0" borderId="1" xfId="0" applyNumberFormat="1" applyFont="1" applyBorder="1" applyAlignment="1">
      <alignment horizontal="right"/>
    </xf>
    <xf numFmtId="1" fontId="0" fillId="0" borderId="19" xfId="0" applyNumberFormat="1" applyBorder="1"/>
    <xf numFmtId="1" fontId="0" fillId="0" borderId="7" xfId="0" applyNumberFormat="1" applyBorder="1"/>
    <xf numFmtId="166" fontId="106" fillId="0" borderId="4" xfId="0" applyNumberFormat="1" applyFont="1" applyBorder="1"/>
    <xf numFmtId="166" fontId="106" fillId="0" borderId="1" xfId="0" applyNumberFormat="1" applyFont="1" applyBorder="1"/>
    <xf numFmtId="166" fontId="0" fillId="0" borderId="19" xfId="0" applyNumberFormat="1" applyBorder="1"/>
    <xf numFmtId="166" fontId="0" fillId="0" borderId="7" xfId="0" applyNumberFormat="1" applyBorder="1"/>
    <xf numFmtId="0" fontId="0" fillId="0" borderId="37" xfId="0" applyBorder="1" applyAlignment="1">
      <alignment horizontal="left"/>
    </xf>
    <xf numFmtId="166" fontId="105" fillId="0" borderId="37" xfId="0" applyNumberFormat="1" applyFont="1" applyBorder="1"/>
    <xf numFmtId="166" fontId="105" fillId="0" borderId="44" xfId="0" applyNumberFormat="1" applyFont="1" applyBorder="1"/>
    <xf numFmtId="166" fontId="0" fillId="0" borderId="52" xfId="0" applyNumberFormat="1" applyBorder="1"/>
    <xf numFmtId="166" fontId="0" fillId="0" borderId="53" xfId="0" applyNumberFormat="1" applyBorder="1"/>
    <xf numFmtId="0" fontId="96" fillId="2" borderId="0" xfId="0" applyFont="1" applyFill="1" applyAlignment="1">
      <alignment horizontal="center" vertical="center"/>
    </xf>
    <xf numFmtId="164" fontId="96" fillId="2" borderId="0" xfId="0" applyNumberFormat="1" applyFont="1" applyFill="1" applyAlignment="1">
      <alignment horizontal="center" vertical="center"/>
    </xf>
    <xf numFmtId="164" fontId="96" fillId="2" borderId="1" xfId="0" applyNumberFormat="1" applyFont="1" applyFill="1" applyBorder="1" applyAlignment="1">
      <alignment horizontal="center" vertical="center"/>
    </xf>
    <xf numFmtId="168" fontId="108" fillId="0" borderId="0" xfId="0" applyNumberFormat="1" applyFont="1"/>
    <xf numFmtId="168" fontId="108" fillId="0" borderId="1" xfId="0" applyNumberFormat="1" applyFont="1" applyBorder="1"/>
    <xf numFmtId="169" fontId="108" fillId="0" borderId="0" xfId="0" applyNumberFormat="1" applyFont="1" applyAlignment="1">
      <alignment horizontal="right"/>
    </xf>
    <xf numFmtId="169" fontId="108" fillId="0" borderId="1" xfId="0" applyNumberFormat="1" applyFont="1" applyBorder="1" applyAlignment="1">
      <alignment horizontal="right"/>
    </xf>
    <xf numFmtId="166" fontId="108" fillId="0" borderId="0" xfId="0" applyNumberFormat="1" applyFont="1"/>
    <xf numFmtId="166" fontId="108" fillId="0" borderId="1" xfId="0" applyNumberFormat="1" applyFont="1" applyBorder="1"/>
    <xf numFmtId="166" fontId="108" fillId="0" borderId="2" xfId="0" applyNumberFormat="1" applyFont="1" applyBorder="1"/>
    <xf numFmtId="166" fontId="108" fillId="0" borderId="3" xfId="0" applyNumberFormat="1" applyFont="1" applyBorder="1"/>
    <xf numFmtId="41" fontId="0" fillId="0" borderId="2" xfId="0" applyNumberFormat="1" applyBorder="1"/>
    <xf numFmtId="166" fontId="27" fillId="0" borderId="0" xfId="0" applyNumberFormat="1" applyFont="1"/>
    <xf numFmtId="184" fontId="0" fillId="0" borderId="0" xfId="0" applyNumberFormat="1"/>
    <xf numFmtId="184" fontId="0" fillId="0" borderId="2" xfId="0" applyNumberFormat="1" applyBorder="1"/>
    <xf numFmtId="0" fontId="0" fillId="0" borderId="53" xfId="0" applyBorder="1" applyAlignment="1">
      <alignment horizontal="left"/>
    </xf>
    <xf numFmtId="166" fontId="108" fillId="0" borderId="53" xfId="0" applyNumberFormat="1" applyFont="1" applyBorder="1"/>
    <xf numFmtId="166" fontId="108" fillId="0" borderId="54" xfId="0" applyNumberFormat="1" applyFont="1" applyBorder="1"/>
    <xf numFmtId="184" fontId="0" fillId="0" borderId="53" xfId="0" applyNumberFormat="1" applyBorder="1"/>
    <xf numFmtId="10" fontId="26" fillId="0" borderId="1" xfId="3" applyNumberFormat="1" applyFont="1" applyBorder="1"/>
    <xf numFmtId="10" fontId="26" fillId="0" borderId="0" xfId="3" applyNumberFormat="1" applyFont="1"/>
    <xf numFmtId="10" fontId="101" fillId="0" borderId="1" xfId="3" applyNumberFormat="1" applyFont="1" applyBorder="1"/>
    <xf numFmtId="10" fontId="101" fillId="0" borderId="0" xfId="3" applyNumberFormat="1" applyFont="1"/>
    <xf numFmtId="0" fontId="109" fillId="0" borderId="0" xfId="0" applyFont="1"/>
    <xf numFmtId="0" fontId="73" fillId="12" borderId="58" xfId="2" applyFont="1" applyFill="1" applyBorder="1" applyAlignment="1">
      <alignment horizontal="center" vertical="center" wrapText="1"/>
    </xf>
    <xf numFmtId="0" fontId="73" fillId="12" borderId="0" xfId="2" applyFont="1" applyFill="1" applyAlignment="1">
      <alignment horizontal="center" vertical="center" wrapText="1"/>
    </xf>
    <xf numFmtId="0" fontId="73" fillId="12" borderId="59" xfId="2" applyFont="1" applyFill="1" applyBorder="1" applyAlignment="1">
      <alignment horizontal="center" vertical="center" wrapText="1"/>
    </xf>
    <xf numFmtId="0" fontId="42" fillId="3" borderId="0" xfId="0" applyFont="1" applyFill="1" applyAlignment="1">
      <alignment horizontal="center"/>
    </xf>
    <xf numFmtId="37" fontId="90" fillId="2" borderId="67" xfId="0" applyNumberFormat="1" applyFont="1" applyFill="1" applyBorder="1" applyAlignment="1">
      <alignment horizontal="center" vertical="center"/>
    </xf>
    <xf numFmtId="37" fontId="90" fillId="2" borderId="70" xfId="0" applyNumberFormat="1" applyFont="1" applyFill="1" applyBorder="1" applyAlignment="1">
      <alignment horizontal="center" vertical="center"/>
    </xf>
    <xf numFmtId="0" fontId="54" fillId="0" borderId="0" xfId="0" applyFont="1" applyAlignment="1">
      <alignment horizontal="center"/>
    </xf>
    <xf numFmtId="0" fontId="34" fillId="3" borderId="24" xfId="0" applyFont="1" applyFill="1" applyBorder="1" applyAlignment="1">
      <alignment horizontal="center"/>
    </xf>
    <xf numFmtId="0" fontId="34" fillId="3" borderId="2" xfId="0" applyFont="1" applyFill="1" applyBorder="1" applyAlignment="1">
      <alignment horizontal="center"/>
    </xf>
    <xf numFmtId="0" fontId="34" fillId="3" borderId="3" xfId="0" applyFont="1" applyFill="1" applyBorder="1" applyAlignment="1">
      <alignment horizontal="center"/>
    </xf>
    <xf numFmtId="175" fontId="34" fillId="3" borderId="0" xfId="0" applyNumberFormat="1" applyFont="1" applyFill="1" applyAlignment="1">
      <alignment horizontal="center"/>
    </xf>
    <xf numFmtId="175" fontId="34" fillId="3" borderId="47" xfId="0" applyNumberFormat="1" applyFont="1" applyFill="1" applyBorder="1" applyAlignment="1">
      <alignment horizontal="center"/>
    </xf>
    <xf numFmtId="0" fontId="81" fillId="15" borderId="63" xfId="0" applyFont="1" applyFill="1" applyBorder="1" applyAlignment="1">
      <alignment horizontal="center"/>
    </xf>
    <xf numFmtId="0" fontId="38" fillId="7" borderId="26" xfId="0" applyFont="1" applyFill="1" applyBorder="1" applyAlignment="1">
      <alignment horizontal="center"/>
    </xf>
    <xf numFmtId="0" fontId="38" fillId="7" borderId="27" xfId="0" applyFont="1" applyFill="1" applyBorder="1" applyAlignment="1">
      <alignment horizontal="center"/>
    </xf>
    <xf numFmtId="0" fontId="38" fillId="7" borderId="28" xfId="0" applyFont="1" applyFill="1" applyBorder="1" applyAlignment="1">
      <alignment horizontal="center"/>
    </xf>
  </cellXfs>
  <cellStyles count="7">
    <cellStyle name="20% - Accent6" xfId="5" builtinId="50"/>
    <cellStyle name="Comma" xfId="4" builtinId="3"/>
    <cellStyle name="Currency" xfId="1" builtinId="4"/>
    <cellStyle name="Normal" xfId="0" builtinId="0"/>
    <cellStyle name="Normal 2" xfId="2" xr:uid="{6BC359BA-CDCA-4F2D-A149-281AE3DA4283}"/>
    <cellStyle name="Normal 3 2" xfId="6" xr:uid="{BAF23B14-58CD-814E-BE15-22FB56859A59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79377</xdr:rowOff>
    </xdr:to>
    <xdr:sp macro="" textlink="">
      <xdr:nvSpPr>
        <xdr:cNvPr id="2" name="AutoShape 7" descr="data:image/png;base64,iVBORw0KGgoAAAANSUhEUgAAAYgAAAEyCAYAAADgEkc1AAAgAElEQVR4Xu2dB7QURdbH/zPzEkGC6KIkAQVFQAQUkAwmzEQBMSACioJ5Dauf7rprdoMKiFmCoKKAGBAlKSBIUJQkOUiQoGR4ceY7t+dNem+m+1a9hqbp2+fs2SOvp6vqd8O/q7qCLxQKhaB57d27V/OXQIUKFbR/K+Xy0QlnPivxKz4r8Ss+Kzf7lU8EwhuG5rcydqebHVvaa01A7GvNKHKHVwVRBILvI5CA4sPyakDxCYkQ67ASv+JTsyNfiUDweYtAKLCSQObDsiOQ+aWJMOmw8qo/i0AoeIsEMh+WVwOKT0gStQ4r8Ss+NTvylQgEn7f0IBRYSSDzYdkRyPzSRJh0WHnVn0UgFLxFApkPy6sBxSckiVqHlfgVn5od+UoEgs9behAKrCSQ+bDsCGR+aSJMOqy86s8iEAreIoHMh+XVgOITkkStw0r8ik/NjnwlAsHnLT0IBVYSyHxYdgQyvzQRJh1WXvVnEQgFb5FA5sPyakDxCUmi1mElfsWnZke+EoHg85YehAIrCWQ+LDsCmV+aCJMOK6/6swiEgrdIIPNheTWg+IQkUeuwEr/iU7MjX4lA8HlLD0KBlQQyH5YdgcwvTYRJh5VX/VkEQsFbJJD5sLwaUHxCkqh1WIlf8anZka98e/bs0d7uW4x1bI3FL02Sjw4r8Wc+NTuSD7808WcdVnb4swiEAnk7gCsUF71VyuVTk8TFZyV+xWflVb8SgeD7iBxypMDKqwGlgEheADRgiV/xodnxAiACwectAqHASgKZD8uOQOaXFrtTyuVT86o/i0DwfUQEQoGVVwNKAZH0IDRgiV/xodnxAiACwectAqHASgKZD8uOQOaXJj0IHVZe9WcRCAVvkUDmw/JqQPEJSaLWYSV+xadmR74SgeDzlh6EAisJZD4sOwKZX5oIkw4rr/qzCISCt0gg82F5NaD4hCRR67ASv+JTsyNfiUDweUsPQoGVBDIflh2BzC9NhEmHlVf9WQRCwVskkPmwvBpQfEKSqHVYiV/xqdmRr0Qg+LylB6HASgKZD8uOQOaXJsKkw8qr/iwCoeAtEsh8WF4NKD4hSdQ6rMSv+NTsyFciEHze0oNQYCWBzIdlRyDzSxNh0mHlVX8WgVDwFglkPiyvBhSfkCRqHVbiV3xqduQrOQ+Cz1sODFJgZYdzKhQXvVXK5VOTZMtn5VW/EoHg+4gIhAIrrwaUAqLorZKo+dTEr/is7PArEQg+bxEIBVYSyHxYdgQyv7TYnVIun5pX/VkEgu8jIhAKrLwaUAqIpAehAUv8ig/NjhcAEQg+bxEIBVYSyHxYdgQyvzTpQeiw8qo/i0AoeIsEMh+WVwOKT0gStQ4r8Ss+NTvylQgEn7f0IBRYSSDzYdkRyPzSRJh0WHnVn0UgFLxFApkPy6sBxSckiVqHlfgVn5od+UoEgs9behAKrCSQ+bDsCGR+aSJMOqy86s8iEAreIoHMh+XVgOITkkStw0r8ik/NjnwlAsHnLT0IBVYSyHxYdgQyvzQRJh1WXvVnEQgFb5FA5sPyakDxCUmi1mElfsWnZke+EoHg85YehAIrCWQ+LDsCmV+aCJMOK6/6swiEgrdIIPNheTWg+IQkUeuwEr/iU7MjX4lA8HlLD0KBlQQyH5YdgcwvTYRJh5VX/VnOg1DwFq86iQKi6K2S9PjUxK/4rMSv+Kzs8CsRCD5vOVFOgZUEMh+WHYHMLy12p5TLp+ZVfxaB4PuICIQCK68GlAKi6K2SqPnUxK/4rOzwKxEIPm8RCAVWEsh8WHYEMr806UHosPKqP4tAKHiLBDIfllcDik9IErUOK/ErPjU78pUIBJ+39CAUWEkg82HZEcj80kSYdFh51Z9FIBS8RQKZD8urAcUnJIlah5X4FZ+aHflKBILPW3oQCqwkkPmw7AhkfmkiTDqsvOrPIhAK3iKBzIfl1YDiE5JErcNK/IpPzY58JQLB5y09CAVWEsh8WHYEMr80ESYdVl71ZxEIBW+RQObD8mpA8QlJotZhJX7Fp2ZHvhKB4POWHoQCKwlkPiw7AplfmgiTDiuv+rMIhIK3SCDzYXk1oPiEJFHrsBK/4lOzI1+JQPB5Sw9CgZUEMh+WHYHML02ESYeVV/1ZBELBWySQ+bC8GlB8QpKodViJX/Gp2ZGv5DwIPm85D0KBlR3OqVBc9FYpl09Nki2flVf9SgSC7yMiEAqsvBpQCoiit0qi5lMTv+KzssOvRCD4vEUgFFhJIPNh2RHI/NJid0q5fGpe9WcRCL6PiEAosPJqQCkgkh6EBizxKz40O14ARCD4vEUgFFhJIPNh2RHI/NKkB6HDyqv+LAKh4C0SyHxYXg0oPiFJ1DqsxK/41OzIVyIQfN7Sg1BgJYHMh2VHIPNLE2HSYeVVfxaBUPAWCWQ+LK8GFJ+QJGodVuJXfGp25CsRCD5v6UEosJJA5sOyI5D5pYkw6bDyqj+LQCh4iwQyH5ZXA4pPSBK1DivxKz41O/KVCASft/QgFFhJIPNh2RHI/NJEmHRYedWfRSAUvEUCmQ/LqwHFJySJWoeV+BWfmh35SgSCz1t6EAqsJJD5sOwIZH5pIkw6rLzqzyIQCt4igcyH5dWA4hOSRK3DSvyKT82OfCUCwectPQgFVhLIfFh2BDK/NBEmHVZe9Wc5D0LBW7zqJAqIordK0uNTE7/isxK/4rOyw69EIPi85UQ5BVYSyHxYdgQyv7TYnVIun5pX/VkEgu8jIhAKrLwaUAqIordKouZTE7/is7LDr0Qg+LxFIBRYSSDzYdkRyPzSpAehw8qr/iwCoeAtEsh8WF4NKD4hSdQ6rMSv+NTsyFciEHze0oNQYCWBzIdlRyDzSxNh0mHlVX8WgVDwFglkPiyvBhSfkCRqHVbiV3xqduQrEQg+b+lBKLCSQObDsiOQ+aWJMOmw8qo/i0AoeIsEMh+WVwOKT0gStQ4r8Ss+NTvylQgEn7f0IBRYSSDzYdkRyPzSRJh0WHnVn0UgFLxFApkPy6sBxSckiVqHlfgVn5od+UoEgs9behAKrCSQ+bDsCGR+aSJMOqy86s8iEAreIoHMh+XVgOITkkStw0r8ik/NjnwlAsHnLT0IBVYSyHxYdgQyvzQRJh1WXvVnEQgFb5FA5sPyakDxCUmi1mElfsWnZke+kvMg+LzlPAgFVnY4p0Jx0VulXD41SbZ8Vl71KxEIvo+IQCiw8mpAKSCK3iqJmk9N/IrPyg6/EoHg8xaBUGAlgcyHZUcg80uL3Snl8ql51Z9FIPg+IgKhwMqrAaWASHoQGrDEr/jQ7HgBEIHg8xaBUGAlgcyHZUcg80uTHoQOK6/6swiEgrdIIPNheTWg+IQkUeuwEr/iU7MjX4lA8HlLD0KBlQQyH5YdgcwvTYRJh5VX/VkEQsFbJJD5sLwaUHxCkqh1WIlf8anZka9EIPi8pQehwEoCmQ/LjkDmlybCpMPKq/4sAqHgLRLIfFheDSg+IUnUOqzEr/jU7MhXIhB83tKDUGAlgcyHZUcg80sTYdJh5VV/FoFQ8BYJZD4srwYUn5Akah1W4ld8anbkKxEIPm/pQSiwkkDmw7IjkPmliTDpsPKqP4tAKHiLBDIfllcDik9IErUOK/ErPjU78pUIBJ+39CAUWEkg82HZEcj80kSYdFh51Z/lPAgFb/Gqkyggit4qSY9PTfyKz0r8is/KDr8SgeDzlhPlFFhJIPNh2RHI/NJid0q5fGpe9WcRCL6PiEAosPJqQCkgit4qiZpPTfyKz8oOvxKB4PMWgVBgJYHMh2VHIPNLkx6EDiuv+rMIhIK3SCDzYXk1oPiEJFHrsBK/4lOzI1+JQPB5Sw9CgZUEMh+WHYHML02ESYeVV/1ZBELBWySQ+bC8GlB8QpKodViJX/Gp2ZGvRCD4vKUHocBKApkPy45A5pcmwqTDyqv+LAKh4C0SyHxYXg0oPiFJ1DqsxK/41OzIVyIQfN7Sg1BgJYHMh2VHIPNLE2HSYeVVfxaBUPAWCWQ+LK8GFJ+QJGodVuJXfGp25CsRCD5v6UEosJJA5sOyI5D5pYkw6bDyqj+LQCh4iwQyH5ZXA4pPSBK1DivxKz41O/KVCASft/QgFFhJIPNh2RHI/NJEmHRYedWfRSAUvEUCmQ/LqwHFJySJWoeV+BWfmh35Ss6D4POW8yAUWNnhnArFRW+VcvnUJNnyWXnVr0Qg+D4iAqHAyqsBpYAoeqskaj418Ss+Kzv8SgSCz1sEQoGVBDIflh2BzC8tdqeUy6fmVX8WgeD7iAiEAiuvBpQCIulBaMASv+JDs+MFwLfgvZGhtGAIPn650TuPHDmi8avwT0qVKqX926LlUu0rnXMOKjdpZPlMcTBLRJK4+Ijk24cGKzsSl0ax8oKnAC2SJ33P1KgVKptdgHwdhVAo8GjeWhDIR5Nb+qPJQ/dZFmO3QIRCIRw8eBAFBUHk5+dj7br12LRpMw4cOGDUJRQCqlQ5HdWrV0OD+vWMf0tPT8dJJ51kWdfIDUcjoHJzc416p7pOPvlkCSi2heCJKdDZ2dnIzs4xqGzZug0HDx7AypWrUFBQAJ/Ph7p166BcuZPQsEF9456srCyULl26GMWj4c8cU0m5HErhe6IC8Wz1WqGs3HzAF+L/+ji7k3oQDW7riwsfvN+yZnYKxMxZ3xlicPDgIQSDQcuyIzeQQJQpUxoZGQH07dsXWZmZpr89Go79v5dfwf79JBDJ3gxC6NatC6pWOZ3dpqI3WnH+7LMvsHHTbyShxcoIFvBZxv+YnkRsL2pxIZo0aaxc93jOW7duxbRp3yatHz04MysTvXp2j5YRae/XU6dh1Zo1SmXrtpcK8Qf8lmVlZWXi5pv6ILOIn3H9aunS5Vj84xLk5OQY/+NeVB6JRNWqldGta1dDROjilpusnHi/opecUaPHItVIBr2c3dC7B0455RRby+W0f8NPS/DJffcjLRQA2TeEEPwIodngQajf6bLoI/Zu/g1fDByEtKAPBf5YLIR8QTTu1w8tB/TnFJf0Hi7nT/rfhpwtOxKekebzo2KTRvA9V71WKFMEgmUEAr527TqsWr0W69etg97AXPGiatSohtq1a6Ftm9YlMrRVQEX+vnHTJowa9X4KcQjfVaZMGdza90b4/dYJiFtu/H3jPvgIa9asT5mAWQYxuYl6dhUrVkCds87ExRd3REZGuuUj4wOKGE2ePCVl/WiIdED/vsUEYuLEyVi6bLllWcfyhlKlsjBk8CAjWcdfZglkx86dWLLkF6xatYpkyIbqhnD22WejYYNzjR617hUvEDk5uRg6bAQOHTqU9HEkEHfcfhsqV/7LMReIdd/Pw6TuPYzETxe98hDFC596Aude3yOhvm80vRAZh7IR8vngK3xhCsKHM668At3efl0XFUuI8w8fxntNmyPNqCFdYVuHQgW4bPjwoyMQYR0kxfRFi001gkX3EhRKtrqjXMeiB7F582+YMXMWtvy2DQXBcJe65FfkjYGeFUJaegC33HQTqlatwg5kqzoke5P/ZMIkLF++slAgUvcc+9xwPSpVqmRVRNK/W/Ugjq5AxHMNV69FiwtxQdMmoKGzVJcIBIy38RkzvsW69euN4VG7/ZyEu1y5sujU6TKcftppyr7lGoGYOw+fdesZ7R+H/CH4gyFc+NTfUf/6WM+TACwfNx6L//5PFPiBuE4EcgN+/HXrRmVGkR9wehBz/vcyNox4EyRI4Sv8/3k+P26b/93REQjyrEDIj3x/ECGfH+n+AEL+oAGARrKMDleeH2nBAqNC9G+BUAHyGN3lpLRCPtTvf3SGmMihJ02it8IV2oZS+SHpTq3aNdGndy/bu+ThN4MQ/vmvZ017D5H6VqtWBV27XKdS/ei9zgpE6ioP6H8rTjutctLE53WBWLN6Db6Y8rV2r1HFUWhItk2blmh8fiOl8twiEOvnfo/J3a+PxpnxIhwKotlT/8C5RQRi58pfMbl7TwSCsTQdYdn86adxUb+bVdBG7+UIxFcD78T272bB5wvEyggBhytWwN9WLj06ApGdlY5md92J0xs1RigzHWUqVUJGqVIIpKUZ43F5uTnw5WSj4EgOcnbswIxXXsWhlSsR0Bt6Bo6iQAx/7XXs3v2nloF0fmT0SENA1cqnoVv364w3Xo6hU5VVNFF/9NF4rPx1DevNkIL4lpv7GEM1qtfxKhD0QtL4/Aa45pqrizXJywLxxZdTsHbtBpZfqPqC2f0Vy1fATTf3Zj/yRBSIgrx8fNi6HXL37S/2SbBK6za4fvxYNp/4Gzl5460GjREoyE8YvSExu3HWdJx6dl37BKIgLYDGt92Gym1aomrTppYNSpZA5r/1FtZ++jl2Lv4Rfvro66PxMMbH86MgEDTDZ/Sosdj1xx+WbUl+Q/wwR2HWV3yS3+fDDX164WSNBB0pKjGgcvDq0Ndw+DB/enLzZhegefMLFWtuPavn6A4xWVeX2nT5ZZck3OhFgaAhJRpy/PPPvdbQkt4R8fPIdwpGvCZ5Tt9b+qBcuXKWdXCTQHzWrRdChZN/zHoQ1Ogp9z+E7VOmFPvak3ZKJdy5ZDH8gbg3fEtK4RusBGLeq8OwethrCProY0DEbiGkV6iI/gvnI7NsmZILBLW/TNPz0fnN15GWZEob9802/r61M2fg64ceQd6WbbwPwTYLBInD0GGvg2ZJ6Fxly5ZBRno60tLTjGmBND0w/Cz17xZkuCFD7tSphvGb+ID6bfNveHfkGKVn+f0+DL7rDqXfFC032Y+dFggaarv5phtQq1bNaPW8JhDbt2/HO++MRL7mOqiyZcsiLc1vrGk6fDgbBQX5xow++m5BfFUuyiO39rsJ9Eyzyz0CMRefdevNFghq8zvnNoI/lDiMQt9XB/7yI8qcGp6JpXKZCUQoGMS4y65AztZt4QmskdQUAspf0AS3fv6pUZTWLCbjQ4oviFBaFq797BNUqFEDPsXZLlZDEHnZ2fjqH09i7XsfwG84G33ITjUr095vEM89/yJyaWaX5RXuGYSCBahVqxYuvfRi0DeEtLQ0Y1yV/kdzxOl/5Pg7duwEDfFk5+SxuvJkuKZNG6NlqxaWNeEI8dPPvGDURfVq1bI5mjZtovQzK/taCURWZjrS0zMsyywIBg0BpuEwtY+qPpQunYX777s7OgZuj0B8imXLlvFebApbZ0zSCPng89FEyOSJ1YgA+rZHyZfTq44jV7pUFgYPvrPYLKZhw1/HH3+oDJ+GjNlt9F2qcuXKSE9PM+qclhYw1gBR/fLy8o0313ffexcFBWovRBQ3dw4acEIIxIY5czG5u5pAfHTlNTiyfiOCvsQpO0dqVsWj8+ZbxkLRG8wEYv/Wbfjk8ivhK5IPChBCj6lfosZ55+kLBDnr6Rc1R7PH/4aTa9dOWvHcgwcx55VXENi7Dwe2b0Ont99GWkY44Pdt/g3L33oTyCqL1vfchXJVq6Zs/OL3x2D2I48jmJ9vzIpKetnYg3j7nfewdet2ljFKZWWgXbu2xhRVcm6zKz5hbtu23ZguO+vb2Sl/QsFGC46uuebKlNP4OJWMlLt69Rp88OHHnJ8Uu+fUUyuhdy/64Ma/SioQV1/VyeCqctFwyZ9/7sGq1auNSQXm8+LC4n7++Q1xbeH3CDsEQqW+kXsj5b76ynBjqmOq6+4hg4r9yYpzqmd9Ovkz/PzzMsvqkh9Sjdq3b4O6deuC1lTQxSl3z569WLp0mamfF61A+fLlcGOfXgikGFJxSw9CRyC+fuRRbPt0cuGMzkI/CNGMIh/uXrUcmeX4i2uJq5lArPrsC8x76JFi9k+vVh19vvkytlBOdR0EicPJ5zfClW+/gVOrJE7HpNLWfvctfn53JDZP/cZYRkwOX6Vda/QaNy6hMi/RB5D9R+DzBVG6Tl2cN7Af6nW6Er4kjrH/99/xxfW9kb1rd3KJCPnQZPDtaPv4Y5YObwZt0eIf8f33pNTmbz70tlqnzlnoc0NPy/KKJoH4Hxw6dBi0YGznzl3GO2FkSiEFZXpaADfddIOx4poTjKkqEmnvzJnfms7EooBM2bvwAQ/ef0/SVbFW5ab6+2RaKLcx+UI5+k2P7l1Qr945bL5FOa9Zsxbz5i80giS+B130gaFQELcPvM14u47nvGbtWowbR4Ka/I2eVgg/+MA90cdZjfeaNSRSLs0uMxuZeeL/Hi32GJ1yV61ag6lfT2OwDaFBg/q47NJLQMOm8ZdKubROYcbMb7FhwyZGmcDll1+M5s2aJb03vtzc3DxjPc/hFFv+EEuaqn3KKeGp2nbEEasBAH6b/wNm9B1QbIip3UsvoPGNfZI+ZuOChfjkuq7G6AzNAqXL8D6/D5e8/Qaqt1AbSTBr73NnnIVMmixUWBMaraDvJU3uvgdtH/1rVFyUh5j8ZTPR69vvkFG6dALw/JwcfDr4Pmz8fBICCH9Q8Qd9CPpD6PDaUDTqnDhd8s/duzHyvMbhYQHQNFcfUPUv6DVpIjKKbENRkJODSZ27Yt/GzcmX7NggEJQcXxvxprFlhtncbxo2uunG3jjjjBpcXzHuMwuon35agtlz5kYXqVCX/c5BA6PPL6ljU9uGv/ZGyuRzxhnVjQ/RH300IWmbyHHS/AE89reH2W22SiBHWyCookeOZOO9kaORQ71PkyHxq6++ArVr1TzOBSKEJ/7vbyUWCGLy+htvW04tpRioV68uunfrapmouU4xbfpMrFgRWX9j9qsQaDry6acXX1DnFoHYMv8HTOs7ILpDReQjtZlAEJEXatVBenZ2/CcBA9RF//cYzrmhFxe1qSBuX7YSH1x6edyH6bAQkUh0+XIyzmjSWE8gCjLS0fPrKShbuXJCBbL37cN7na5A3qYt4Q9ehbLkC/pRcGo53L9sabGG7dmzBxN7dMf+5WvCayN8BfCF/EgrXw5nDbgVLfqHl5gXZOdgYvfu2L9+PfzBQPItQWwQiDHvj2PN5Lihd0+cdVbyYTUz61klTNra4dPJXyIvLw80o6N8+fK2CcQ333xjTG1N3jMKomXLFjjn7HMwavT7yM8v/o2CBIJsNOiOgTiV+bHMqr3HQiAI4JYtW/HxxMmma4EbNjwXHdq384RAzJ0zD4t/WmKaaKgHe+klHQ2/SHVZ2TfV7+b/sAALFiy2THSnVqqEQXfGXpIiP3CTQEy/dSBChUuFuQKx6I03MefJp4rxKcgqhdt+WmDJLf6GVC+WP44chdkPPYbCTorRT6EVGAcz0vDEpg0JL7SsHkQoRKP/BWj82MNodNNNCYmLxGHMVVfj0LqNxTrjQb8PV7/7FupeFtt7JN7Qi959B8te/G+xXrzPH0DV7l3Q/m+P4Jv7H8SOmTONtQ4prxIKBG0r8KExPp+6DAqajh3bok3r5NthWFmOE1AkElROtWrVEh5X0h7E2++MMvmOEcLdhbOkPv5kArZt+z0lh0su7mCaNOIrbdXeYyUQVKe33noHh4+Y7SEUZnB8DzGVvAdBQ5k0OYA+LKe6yP9oajOtdC7JC4/Zbxcv/hFz5s4vrEfqrl33bp1x7rnhDS7dJxDzMb3v7aA9lejiCsSaaTPw2U03F//e6vPjqgnjceo5da1STUJ+TnbziHYdkbdyLQoCMfZB+HHZ/15Eg57hb42R+GUKhA+l6p2FXhMThyBKp6fj1WYtkP5HeJy3aA7P9flw//rVSCvcA2bByFGoUPMM1G3XLlqBUa3bIVhkJgWpWXooiMOBADJCtESdVmQfPYH49tvZ+PkX8w929KGW3qB1L6uEafbckgjEunXr8P7Yj1I+ntYCnH12nejfaZ1EynHwUAiPPfZwyg+Ix6tAbNy4EZM/o32VUqZFTwjE9OkzsXzFr6YuXL78SRh81yBLG5fEn2m9w/DX3jQmFJitczqzVk30uTFxEZ17ehB6AkHGeaFKDSPvxV80VH9O75vR8vGH2CkoWd44sGMH3jq/CUIIGJsHRq6Q34fe30zFaYWCrCYQtJfN80+j3rXXJlTu0wfux54vvylW4aAviPT8AFr+71k0vSH8QSZUUIB3WrVGtTatcfmLL0YFYvHbb2PpSy8hiPSECrMpGA8v2UfqV159zSR1+BDw+9Dz+m7Gh2ndqyQBVRKB+NfTzyEYTP6WRt9T6CNexYoVo82a8tXUwk30ki/ua9WyBS6+uIMlBqv2HsseBFXWzMaUpLzQg3h16AjT9QnUe/i/xx+x/D4R/4Zp6QhJbiB/poke9FHerDdDPy36Yd5NAjHtlgHRfQ65PQhq89vXXYeDPywJD08VvhcHfT5UqF8PXcd/yEaeLG98OHAgtid5WQpmZeL+DWujz1YSiCOlsjDox4UJFVs3axZmDRpS+Dk6sc7GwotKJ2HwT0sQKJzaunfbNoxs3grZ6QE8vH5tVCAO//knxrRqa8hDbDUfm0H4xhIIxIIFCzH/h0UmAgFUL9yTqCSJ2iphmrVYt9zfftuC90aOSZkUaObOwAG3JhS9fPkKTJtOe7MkX8VeterpuK1fbBfTVPW2au/xJhDdunZG/frnRptz/M1iKtkQE9l1+gzavjz1Va/e2ejRPflH6aK/srIvx58/mTARy5eb9WhCqHdOHfToEdv91AsCsX/LFrx1YXP44gaaKKfmBwK4bbn596N47snyxsiOl2LPykTmNAh2+evDUf/aa9QEgvI8zS5q/9Yw1GjdJsHmXw66Aztnfp/0ozEt5DmjUyd0ffetWIGbN+Pd5vSMEO7bvjlhVs+cZ5/Buvc+AO14qHWVQCC+mvoNVq+OKWex8n0h3D04vJJZN1HTb+0IKFU2EyZOwtKlK1LMygqhf/9bUTrJyX5vvPkOsrNp5Xcye4Rw56Dbo1MHRSDCBOywr/k015IJxOjRY7Fn7z4TFwrizkF3WNo18gA72rtlyxa88+5oU7fOzEzHww89WCxx0T8cz9Nct8yfj+m3DIzmNJUeRO6hQ3i7dVtk/76z2GymOrf3R+t7Y9OrOUIcf8+/q55oP9gAACAASURBVFRH3KcHI8R9J5XBPWsSRYPVgzDSQ1Ymenz1RXTmEv1TzsGDGNP8IuPhCYUV1iQ3EMJDW7Yk1H2PIRBtkesL4pFtiQKxd9MmfHzNtUjL09ytrwQCQVtqmB32Q2c1dL4urKxuEgg62OW5519K2YWvXPlU9Cyyq2TEYCtX/opvps1M6ns0DEHzyu+683bTwLZKIMe6B/HyK8NNpi+f2ENM5AvvjXzf9LAfOgnu3nsGs99BrOzLTVwvvvRfYzpyqovW59x11+2oUDirz009CJ2P1BEO7155Dfb+tCRu2kz4SIRStWuh5+efsnZiKJqvxt99H7Z+9En0pd5H69QA1LyiEzrHvczHv/CYfqSmCpWuUhk9p31Nq7iiNvx8yD3YNW2GMXUw2Ttm/VtuxKXP0ZbSsWufIRCtjcVz9/7+W+IbVyiEdy69DP6tNING4yqBQJiPTcP4gBvZ1M1NAjF9+gzMmTsvqUBQkm/R/MKUm/DRwiZ6s0u1n07A78eQIYNMN1ezSiDHUiCoLqNGJy7UTPSyE1sg9u8/YAw1ml20FqRJ4/PZwWdlX65A/PrrKnw0Pvn6m8gz+t16M6pVC++24BaB2DpvPqb1u115mmukzTtWrsS4jpdGZxTSLs+BYAjBjDR0//ornMQ4SyM+XwXz8vDqWXVBO8dGBmroWzEtLWj5wjNoHjc7lS0QlP2zLjwPvUbT6WPhi5LGpz17Ye/SxPMRIkJB3xGu+WgczmyTOCT1UvXqCOT7jH1GzmrfBu2GD0/wocM7dmJc+4uTftOw9FpNgdiwYSM++9xsdguMNQmRXSbdJBD//e+rOJDyzOnY1NZUbL/44kusW5965Wv7dm3Qtm3qKb9WCeRYCsS7743EgQOHTd2ItrE4Uae5cgSCFn/Gb1xoFXNW9uUKRHiYaZTpFHNXCsT8eZh66yD4EV5XpDLEFGH3nzPPhv9wcb+99K03ULXVRVYmStyoc9FijL+2C6jXENuXL4SCtAw8+Bud7Jh4MYeYaBX0MNRs3y76a9oTaVTzlkDRLaNpszEUIL1uHdz53ayE0oZ3vBTZK381PrqED9/zIa9BbQwcPynhvs/7D8DuOT+on4+tKRAffjAeO3bttkwckRvcIhC//LIUkz79LGnQkcDTAqgLLzDffO/w4cOg9ROpehH07488/ECxc44jrKwSyLESiD/37MGYMdR7SD1NummTxmjVqsUJKxDffz8Pixabf9xMto2HWWBY2ZcrELR/Fg0zmdmn2YVN0KnT5e7qQdggEFPuexCrPig+aym/0snoP8d8wgHBis9Xs1/6D3566b8oiN8IMAQ0GHAbLvnn3/UEgpJ535WJ5+sW5OXh3UaNkZZk4RqpZO+vv8RpDRtGCyzIz8f43jfg9znzEipRvUsXdPzX3xN2gV02+XMsfOhhy6lvxVqjKRC0j8ue/fvgM1mEF79BmlsEgrYM2ZVE+Gh9CZ1qRXtIRfanMQvkcePGY9duOg8j+eSBq67sZOw2m+yySiDHQiBIxOjbg9W52tdcfYXx9nyi9iBoa40jubmm2404JRDkO0/98xnz89FLlcIDD97rLoGYNx9f9xuQ8JGZYs9qq434WJo1/DX89M9njO+8NPISvyd3n4Xzka6wNfpzVWsgq8h0dzo6ucOwV9Gkezc9gaAjQm9bnrhNBo1ljWzU1OiqJF4hBMpVxKBfFiEtM7zj45E9f+LNVm0QpNkTRZIwbW9cpm4tXDdmNDLjDgp5t017+IykpHDpCgTN7Ni3N6VAZGRkGIeeu6kHQWdZ/O/loUnXPtA4ZumMDAwcGGuTGeUdO3YYO8CmmqtesUL5lGdVHA8CQePuNLxidpGI3HXnQGM33hNVIIYOG4F8WnCaYpIgMXjyieL7PB2LHgSVYbVJIY07PF64UaGbvkGUVCDyj2Tjf2fWhR9B+I19McIGpBfaZs8+hXpdOpv6dsSfl02ejK/vGFx4bELsJ9n+AP66YXV0KUL8w1hDTHQiQv+VSQSiYZPoN+uIrlHXpf1LL6LpDeGVj0f27cPQ85saG0+FV4skeifpC52YdkrHdrhq2KvRuq376mvMufcB44u9sQcQRyc0BWL0mHH4c++elAJBG7jRxzs3CcTIkWOwaTPtklr8ooU3/frebOwQy7nIwV5+eSj2mSTZvn1vRI3q1Ys9zimB2Lp1G5avWImFCxezzr6IPzHvRBUIWh1PI+HHq0D846mnLbb/COLJJ8I7NXtJIKi97/e5Gbumz0wcgQsBtXt2Q9t/FB8aig/EiD/PfOJJ/Pzmuwk5OAQ/Gtx+Gy79+xNJUwFLIMipHtiemGxoiOnlGrWjm5+R09G5IP5KJ+OWuHGxrT8uxjd9rBdUkbDct3kj/IXnKeRnZ+OV2nWN2U6pd4wp0ibN8yCGD38du/78I6VA1Kx5hnHqWOSySnpmSfdYDE/t27cPI0elPr+WpjLS9NT09HSOPhjBOPf7eVhsMn5ds2b16HkKyZwzVUFWBwa1bnURqlVPfU5I/HPpJWL//v34bvb3OHCAegys1wqUK1cWdw+5y9YDg1hgi9wU8SvTbU4KV3sXfT7Hr2gIh3qPfuZQKqcNnHJTPadoHL3yKk1YMbdZZKg3vtycnFxQ74hm3SV9IQrBGAGoXPkvxcSF00YVfy76vE2z52DC9b2LDTE1e+ofODfF9PJkddq3YiUmdqWjS2mAOHzR5NQcvw+PbE3+Ilg0X7194UXwHzyYQLjA70ePr79MeRZPhLPpNFf6nHx/EoH4X41aCBQWF/46H0LlblfjiqefM+qWs/8A5jz5JH77qvg2HMkg1L+rPzo+8hgChSKxePQYzHr4UaQZ83QZwa4pEMOGj8DuP/9MKRC05TFtPeAWgaCtlGkVdKqLvhfQdwPuRYFMJ4XRvjmpLmI0ZHDxI0mtEoiVQBgH1ZjtvxWtUGxsNjxOa54IIz+jcyAefuiBhFPW4hPXxk2bMHkyzXBLPi5Dx2wO6B97AbJqrxnzoy0QTz/zPPKCBcetQNCQqN+f+sxlYy1E4c6ubhGIjbPnYKINApGWm4vXL7gAgbywNNCVb4i9H5cM/y/O65J65Tv51Z8rVmFit+7hXFoYT8byherVcP1Xn6c8CZQlEPSR+tYf5qJ8jdi5vdSD+HetOsgoPKqOegB0TF3f+fORUXji0cwXX8D6d0cnXURXNFBIXIJlS6FW/1vR+ZHwOGjuocN4o0UL5O+mzbwYl6ZADB/2uiEQqa6iY7PHew+CPkbSW1Wyi86Wfvyx4idIcRLXtGkzsGLlqqS30jBgnTPPxJVXhGeZRC6rhGklEAyrl+iWq67qBJq9FH+dqALx4QcfY9Ua2u499ZXstDqz+63sy/GryD1WPYjatc7A1VdfadzuFoGgHgQJROSKTHNV7UFQe5+pVx+l9+xLWItGzz3j6qvQ5c0RKVGTP398c1/sX7AQfh8JcOHLTiiE2gMGoG3cgVdFH8ITiFAIF/zj/9D69tiq2WBBAd5s3QZHjNPAwjNS6/S9ES0fiR0mM6p9OwR30Idmxtu/8ZQQ8iuVw4PLYmsrJtw2EJu/NF+jEKOvdyb1hAmfYtnyxPUcRUHdf9+Q6EHqx7NA/PzzL/j2uzkpmdOBQJEFf9zMGmnv7zt24CNagZnEniQQtIvWwAH9Eqa8WiUQpwQiPZCGNm1boXXrlsUwnKgCsWTJL6BZY2ZX717dceqpp3Jdw7ZdBWhoMLyIL3Wu6NihHRo0CO+T5UWB2LxwET65jtYwJJqnbI3q6P/D9ylttmv7dky4/Cpk79xlDDFGCBf4/Lhtxc+mtmYJRBAhpNc9E0O+TZxzO65HT/w+J1yxYMiPqz4ei9Ma1I8WOObazvD9Yf72H50Z46NhJD9yKp2E+2cllvPvajUQKAgfuWH6PUKzB0HbDdMYptkVPyxzPAvEJxM+BX2gTXXRbrTVqyeeM2GVDeibRuR66+2RpjuBdul8TcLzj0eBSE9Pw6OP/NX0jSvyxxNpiGnv3n0Iv6Wnvi65pAPOVTji1cq+ZmXFx9GmTZvx6eTU4kW9+Ouv74rTC1cOu0UgaIhpUo/e0axckh4EsfxPzTMRyM5Bgd8Xm2wQAoZsXo9ARvJviltXrcZHHS4uJixV2rXBZSPM/YElENS6k6qfjn7zvk84K3rJ+AmYMWQI/DQBq1pl9JvGOd820WU4Djb1kUex8p1RgN9v3hnRFAiq0VP/TNwSpKhjx+9weTwLhNWWIVZiUNK/l8rKxIAB/aKPsbLvse5BdOzQFo0bn48yZRLPVo5v94nagyChp/UgZlf9+vVwccf2bDewsi9XIBYsXIT58xN3io7/La1h6dGjKyr/Jdy7cYtA2DnERO0e3+dmbJk+EwEEESw88IlerU9u1w63fBDb6SKe3ZvXdsGhhcV3qq5zxx1odc9dprZmCQR1aXIzfRgwZy4qFJnK+N+z6wGHDqHXd7NQ6uST2Y4VuZHjYOu+n41Pu/Y2PlaaDlaVQCDozYresFJdpUuXwoMPFF+ko9pgTntTPdNKmMaO/QC7LXpsqvXVuf+qKy/HmWeGj2O1aq+5QIStbWwlVrRfXbRihWeah/+58HdGVzyEihUrGN8ZGjZsAJrBZXWdqAJBZ5IPG/66qZ/T90aa0cW9rOzLFQjqwac6r4SekZ4WQP/+/UC9Py8LxJzhI7DoX88gGCowXszDHg6gVAbuXbM64QWe/jk/Jwev1jwrMW+GfMj3hXDjvNnIqlCh5AJBFaAuXtvnnsYFfW9JeODi19/ET2M/QLeJ46Nfwn9ftrxwCw7rbbvLJlkFSF/XK59/HjJKl46WNbxNGxxZt9H8g3cJBGLq1G/wwwKT8yCCQXTpfC3Oa9TQli2duQEYf5+ZQOzbvx+jR48z3ZFWp0zV35CI1z/3HHQsfAu1SiB29yDIn0qXzkLp0qWRnh7AtddcizJlYn7Eac+JKhDU9rffeQ9bt243xUD24xwGxXkB4AjEL0uXYdas2aZ1OqVSRdxwQ6/oPV7tQRCA/1SthbSCPNDhQZGL4q7H1C9RpWGDBI4rvpqKabf0By12jt4d8qFcswvQddQ7luHA7kFQqs8NFOChIuPboWAQi6ZMQZ1WraKFje3cHbmrfzWOs9O5qKybpn+FU+vFzqHdNP8HTOzS3fxxJRCItWvXY+w4s1OafMhMT8d999+Nw4eTz7fmtNUqYXICKtk9v/76K6Z+PYM5JZRT05LcE3sLtWqvuUAEceUVnZQ2jzN6mT5fwul4qi05kQWCtrT/19PPmyJJDwQwqHA6qRU7K/ty/HnM+x8UHjua+m6aQh0/3dnLAjFpwO3Y+PnncV9kQ8hHGnpP/BBVWzRPgPjjG29i5t//iUB0xwsfcgP5uOzV4ajZwXookSUQUZUC0O4/L+D83qnPh6V73+/aDbkrV7PnLhV1C/rSfteqFciMW+mbn5uLl+vVR+Bw6j3jaRuP+v374sIH77fy66RDH2bHctIDjYPcm1+AFs2bWT4/1Q12BFSyZ7/8yjD1vau0W2H9w7p166DT5ZeUcIgJuPqqTqhdu5Z1gUXusIvzifSROoLotRFvYNcu821szj77LFx+GW0zbX6VlPPc77/HokVLTF9sTql0Mm64oWdCRdwkEJ/26Bn3vYBGS4PQmeYaAbBo5CjMfvhvxZiVOrcebp/+dQKnF+ueg8CBA9HhKPpjvj+Em3/4ARllU3+HizxESSCMoaZyZTDkpx+RHjf8U3Too6QCQSuyH9hWfHXgz5MnY9oddyEQ3gi2+FVCgaCu7qRJtPtp6ovGSW/o3QN/KfxYZhVARf/ODahly5ahQYPE7mKqIaZwF51mfrHXnKtWW/l+Gta55eY+OOWUU0x/azXEJAJRFF/yLdq5fkVP+272HMshHRrZ7trlWlSrZj7jTaXcoi2hPb5oxX+2sQ1P6qtZs6bFXsq8LBD7tv+Ot5tcWCzag/4Ahvy6DOknlTVg7t+6DW9f0MxYZByfGbIaNUKvD8zPBdESiPBm5sApHVvjxvdjB68UF4geyFu5UmH9Q6JzFPh8eGDb5qQeM7RJYwS37kYwWS4soUDQ4rLw6Wvm6zbo7/3790WprCzlxGkVUDQE8MknE7Hy19Wgt/BePWPDaqkE4pMJk0zHlekDe/hTluaQX5INGYkBbW1gxurGPr0s3/5FIGIudLRXUsc767PPvYi8PNplzfy6fWDiuhbdF56iv6PT7Z5/4SXLl5qszEwMHBibFVc0cdF/H+9bbdA018juJiWd5hpp/0v1G8Fv7P4QWzfn8/tw0fPPotmNfYzbJtx9LzaPp3VL4TkexjYr8OGmXxbDz9xmR7kHYWz0FQjgmjHvoXbhGFYxgbi+J3J/WaY95JFsa48ImEn33Y8NH3xEG1YX9+wSCgQ9cNXqNfjww4+t4sZYNEf7M6WlqSVdK4F49dVh+HPvfqN1xgffevXQtdt1Rn2SCUR43yWa3pZc1AJ+n7Fra/nCoxotG5bkhvh1EJE/U91WrPgVM2Z+m3IbbZqa+PhjsYWTycoWgXBGIJYtW44JEydbukOqBJ0sUVs+LO6Gf//nfzh46HDyOC68j7ZBockODePWVolAhAls++knfHjFtUbYRyKftphpPvgetPpbeI3P+K7XY+u8wuMVCl/us2pUR88pqbfWSPUCYLoXUzQpFKqQUSF/EL2mTMFp551XLHHtWrkCM594CgeXLzP2ffEHfca4V3gvV/o1bTkc3qWVXk4p2ZDw5PmCCJXKRId/PoWmfcIqWPQa0aoVjqzfnDwd2iAQVN7w12iMdrdlTyItEDDmZp96qvkwSnwbUgkEHe4zf/4C/L5jZ6SjFv5ZCLioZXNceknHpALx8ccTsXX79iSBFuZMR4o2a3aB5bcAs+BO1XOhDfFGjR6L/ILYBmJFn9OnTy+cafINQQTCGYGgKa8vvvhf5OYZm/uYXrS2pXnzZjjvvMQhT/qR1QtP0QfTVPIx74/FHzQd22LaerJvD24TiKWjx2D6Q49GMdjVg9i3bRveadUGoezc6PAR9RJK1auLgTOnG+X9u0ZNBPLiTrILBlHx0otx3dBXrEwe/btSDyL2VFrV7EPQ78fN06Yi4/TTkha48bvZWDn6fWxZsgjp+3NQEKDNpQiRHyFfvrE5Ho2bIeDHaReej780vhCX/O3RpBtH7f/tN4xo2w7pR3JTO5ZNAkHL/mm+eF5uXrF9T5I1tFGjhrioRXNkpFjJaCYQND113vfzsWDhYlOjtWp1EZo2STwrOC8vD7TvUkGIzpQt3oOgN7C+t9xo9B5UAzm+MmbTa2l7hH0H9qfc6LBhw3PRpXO4B5TsEoFwRiCMd49QyDjFLTs7xzJh0L0NG5yLRo3OQ6VKsfVOXL+ilwnqtXwzbQZr6Jl2Gr61740JmyimiqPjeYhpyRtvYeaT/yjxbq7JOL/Zoi0ObdyQsEqbhucf3LYZf67fgPdatoa/cDEdvYDn+oDe33yFMoXnelsaPe4FgNWDiDyQUnxasAC5/nTAl48rx45BvfYdLMtbO2Uqvh83Dod370ClunVQr0N7VGvX0fJ3G777Ft/efi9txIF8X4A6Lyk/UjcZfDvaPh7eM97sslp09tOSnzFnzjzTbSVizw+/rbdq2Rzt27czhlxSjc1TuRRs9LH78y++wMaNm+AzNtCyvtq0bokOHWLHvtKHadraOv6MqXgRL1OmFB64/z7jn6zaa1a6WRLYvfsPDBvxuslpfCEMGTwoJY9jcaKcNdnEO+Lbu2btWowbR0OOydf00HqLB+M2O7ODs/nBOSE88X/FD/XRLZf27vpu9lyjJ8+9ypcrjTvuuMPYLp5eplJdET+fPXsOfv6FzpOhuLAuhWJn0B0DTE87jG9vbm4e6FTIw0eOJH04ta137+6odHIl4+8VKpS3rkSKO1ItpqVNMJPF/OoxYzH36WdLdKJcqvj99tVXsH74G7HRA1oA5y9Ah6HDMfM/LyFt3YZoovQFgcAZVTB4wQ9KbY9wVhKI+BKMfZqQhvItm6L3mDFIL0UfRPmXmWPTuddzHn8Saz//DP4ChgdrHhiUqrbLl68wts22+mgd+T3dR0FBM5zowzD9d1ZmFmib4uwjR4yDa/IK8rFv34HC8wr4nGhb6X59b0KlU8JOnpubi2efM/ug7jP2wI/MttJNIOGAMl9tOfy117F7d+rdcM0WXolAxHwgwvlYCgSVvmjRj5gzd57lkaxFvZW2K6lYMZxsM9LSjU0a8wvykUN7BQWDRsLes4f2YmOoQuHDKco7XXaxMaRldqkIBD/K9O+kvdpatWxR7AGrx4zBnKdfNE6DoysyxKRy5GgqgaB/f+Pc85ARUfcQHdgZQqkmjZG9cSPwx94oetoavPVDD6PFvYOVGlligaAmG5vo0RDHSaXQ8uG/oln/AexKJEtcwdxcLBk7FgtfHoq0nGwEaMqS1VYLBn0f7OpB0ONoRtHsOXOxZMlStkhEGh6Rs9jHdIbApaBGgUjbV5xzztnRO1auXInxH09KyZmmmd5375Ckh+CwjVN4o5VATPlqKhYu/DHlY8uWLYV+tyY/NEoEwnmBIPt+OeUrw4bcl6Hixo4dY6PqX9GYCYXQoUNbtG3T2vIRx51ANGmMVq2KC8TiYcPxy9DXaUD+qAjEFzfegl2LI7FnKAT8pUsjmHsEyI/tP0NfgG+aMxOnFG6BYwm48AYbBCKxKEqDBb4gGt8xCA17dEO56tWRZXKodqQCednZ2LNpE7Z8NxcLhr6MrJygyotHuBI2C0SkZQsWLMD8H8y/EXCBq9xHAkVbDHTt2tnYOiI+UT/z7AvIzw9/gCp6US+mY4c2aNOmTfRPR7MHQYWYHThPbzVXdeqEs84K788Uf4lAHB8CQbWYPn06Fiz8CfRt69hdYWGhPZbom8Nphbu1WpXvFoFYNHQ4lg4dAV/hC67dPYjZL7yE9e+MjE6jLZYLjGlBPviqVME9i9WGl+hZtgsEfSw1zgYI+pCXFkJpEofMUsivfArqXtIe1es3RHpmFnJzcrBr3TosnTgZBX/sQkZ+PnL2HoQvVICQz290xZSXfR0lgSBQ69dvwBdffqU0Vmvl5GZ/pyRfo3oVXHfdtdFeQEQgNm7caMweSqWgRU/Aize0Tp2sehD0zAkTP8WyuHM84sshfyiTVQr9+98qAmFiAKeGmOLtS4vWXnjh30Dhx00df1H5Dfk5fbP764P3pvwgnex5IhBhKkd27caY9u2RUUB5NxmpEIIFIfSc8hmqNm2iYhrjXtsFgh4aG14J1yd+cCXahsLx+vDE1/BATPjbc/iDr9Z1FAWC6nPo0GF88810bP6NVnnzx1Wt2xJ3ymxhwFx99RWoVfOMhJ9GApkW0i1f8WvKxyabOXS0exAbNmzE6DGpRYsq2+eG61GpUvgbSuSSHkSMxfEgEFSbgwcPYeHCRcbwqr1+nuiyJA50/kSTxueDvrGpXG4RiMVDh2Hp0NejQ+ThHkQI7V56Ho0LF7Rx2m0Wv2+1aYeMnX8g6E8yk5GWrZXORN85c1AuxWxTs/KPikBwGnxU7jnKAhGp8++/78C8eT/gty1bCv/JHrHIysrEWWfWRps2raPbGsdziiQQ87MrQrjj9gHFtgI52gJB9TT7uEq9murVqqJz52tEIFI4//EiEJHqbdu2HTNmzjJ6z+HLHj+nJ9WuXRPXXXcNTjIZfuYkLrrHahbTUck1RR5K28kn+wYx6+lnsXnUOASNFcaFr8PBENr9+znbBGLd5M/x3cOPJF10SMsRsmrUwJ0/0CmT6ldUIJ6tXiuUlZvP+xisXs6x+cUxEoj4LvmIEW9gz9792uO2lDgzM9LQrFkznH/+eaacqNwRI0Zg567Up/RVq1YF/W5N3JKdHnosBGLLlq14591RJm0IGesyypUrF73HvAcRQo/uXVFP4YSzyIPtau+JPs2VeFkNIdI3iTfeeAsHDx0BbZGhc5GfZ2RkoEb1arjiisuMR1iVyxeIXIwaNTblNFed+qr+JtUspln/ehabaRv+oygQW3/8EV/edDPSaS+NIhfJUpdJH6Nm88RdXrnti+tB1Axl5uUVDu5oDvFwSz1q9wXQ9C571kGYVbGoY1OXnBYC0TYdc+d+b0xnjV3FZ3dQ17pOnTq4oGljYwrsySdXZM0eoXJ37txZ5PmJNa1YsWLSsVy7EqYZF2rX77//nnDLgQMHE/67bNkyxgf3aCLftw+5OblJH3vSSWWNbbuzNPa8squ9lBDpSNpUw55+fwCVK/8l1p69e7W9O+JX27ebn9dw+umnFyvDrvaaVT7CglZfT5gwyfD58E4IyX9F/lC9enVccEETlDEmWZQ3/D1y2SUQVM4ff/xheuBQfA3Jr3Svov4ceU7pMqVRNskphSunfoOdPyxCnj+EzMyM6OB5w+uuRa1m/F2hzexLRy7MeOYFY5C+aOZOC6Sj8/NP6zY39g3iXzVqh7Ly8gtP79J+nrM/DPlxwZ0D0N6GhXIqApHqXnLaI0eyw1uJ+P04/fTTjsmbfLL6HIsEIuUem57a8caZPmzTgjla/Em+TlvPkL9bXXYJhFU5Rf8u5fKJRXsQe/bs0e42CHB14PxfxO4UznxqIoh8VuJXfFZe9SufCATfSSSg+Ky8GlB8QvICoMNK/IpPzY58JQLB523bxzWFIo1b7TC0aplSrhoxSVx8XuLPfFZO+5UIBN9WkqgVWDnt2ApVjd4qiYtPTezLZ+VmvxKB4NtZBEKBlSQQPiw3JxB+K2VITYeV03HkC9FcMc3L6crrVFuCkU9N7MtnJX7FZyV+xWfltF+JQPBtJVNVFVg57dgKVY3eKomLT03sy2flZr8SgeDbWQRCgZUkED4sNycQfitjd0p7+dScjiMRCL6tRCAUWDnt2ApVlR6EBiyxLx+amwVRBIJvZxEIBVaSQPiw3JxA+K2UHoQOK6fjSARCwWoSyHxYTjs2v6aSmxMLNgAAC+BJREFUuHRYiX351NycN0Qg+HaWHoQCK0kgfFhuTiD8VooQ67ByOo5EIBSsJoHMh+W0Y/NrKolLh5XYl0/NzXlDBIJvZ+lBKLCSBMKH5eYEwm+lCLEOK6fjSARCwWoSyHxYTjs2v6aSuHRYiX351NycN0Qg+HaWHoQCK0kgfFhuTiD8VooQ67ByOo5EIBSsJoHMh+W0Y/NrKolLh5XYl0/NzXlDBIJvZ+lBKLCSBMKH5eYEwm+lCLEOK6fjSARCwWoSyHxYTjs2v6aSuHRYiX351NycN0Qg+HaWHoQCK0kgfFhuTiD8VooQ67ByOo7kPAgFqzltLIWqRm+V5MOnJvblsxK/4rNys1+JQPDtLAcGKbCSBMKH5eYEwm9l7E5pL5+a03EkAsG3lQiEAiunHVuhqtFbJXHxqYl9+azc7FciEHw7i0AosJIEwofl5gTCb6X0IHRYOR1HIhAKVpNA5sNy2rH5NZXEpcNK7Mun5ua8IQLBt7P0IBRYSQLhw3JzAuG3UoRYh5XTcSQCoWA1CWQ+LKcdm19TSVw6rMS+fGpuzhsiEHw7Sw9CgZUkED4sNycQfitFiHVYOR1HIhAKVpNA5sNy2rH5NZXEpcNK7Mun5ua8IQLBt7P0IBRYSQLhw3JzAuG3UoRYh5XTcSQCoWA1CWQ+LKcdm19TSVw6rMS+fGpuzhsiEHw7Sw9CgZUkED4sNycQfitFiHVYOR1HIhAKVpNA5sNy2rH5NZXEpcNK7Mun5ua8IQLBt7P0IBRYSQLhw3JzAuG3UoRYh5XTcSQCoWA1CWQ+LKcdm19TSVw6rMS+fGpuzhtyHgTfznIehAIrNweFQjOjt0p7+dREXPisnPYrEQi+rUQgFFg57dgKVY3eKomLT03sy2flZr8SgeDbWQRCgZUkED4sNycQfitjd0p7+dScjiMRCL6tRCAUWDnt2ApVlR6EBiyxLx+amwVRBIJvZxEIBVaSQPiw3JxA+K2UHoQOK6fjSARCwWoSyHxYTjs2v6aSuHRYiX351NycN0Qg+HaWHoQCK0kgfFhuTiD8VooQ67ByOo5EIBSsJoHMh+W0Y/NrKolLh5XYl0/NzXlDBIJvZ+lBKLCSBMKH5eYEwm+lCLEOK6fjSARCwWoSyHxYTjs2v6aSuHRYiX351NycN0Qg+HaWHoQCK0kgfFhuTiD8VooQ67ByOo5EIBSsJoHMh+W0Y/NrKolLh5XYl0/NzXlDBIJvZ+lBKLCSBMKH5eYEwm+lCLEOK6fjSARCwWoSyHxYTjs2v6aSuHRYiX351NycN0Qg+HaWHoQCK0kgfFhuTiD8VooQ67ByOo7kPAgFqzltLIWqRm+V5MOnJvblsxK/4rNys1+JQPDtLCfKKbCSBMKH5eYEwm9l7E5pL5+a03EkAsG3lQiEAiunHVuhqtFbJXHxqYl9+azc7FciEHw7i0AosJIEwofl5gTCb6X0IHRYOR1HIhAKVpNA5sNy2rH5NZXEpcNK7Mun5ua8IQLBt7P0IBRYSQLhw3JzAuG3UoRYh5XTcSQCoWA1CWQ+LKcdm19TSVw6rMS+fGpuzhsiEHw7Sw9CgZUkED4sNycQfitFiHVYOR1HIhAKVpNA5sNy2rH5NZXEpcNK7Mun5ua8IQLBt7P0IBRYSQLhw3JzAuG3UoRYh5XTcSQCoWA1CWQ+LKcdm19TSVw6rMS+fGpuzhsiEHw7Sw9CgZUkED4sNycQfitFiHVYOR1HIhAKVpNA5sNy2rH5NZXEpcNK7Mun5ua8IQLBt7P0IBRYSQLhw3JzAuG3UoRYh5XTcSQCoWA1CWQ+LKcdm19TSVw6rMS+fGpuzhtyHgTfznIehAIrNweFQjOjt0p7+dREXPisnPYrEQi+rUQgFFg57dgKVY3eKomLT03sy2flZr8SgeDbWQRCgZUkED4sNycQfitjd0p7+dScjiMRCL6tRCAUWDnt2ApVlR6EBiyxLx+amwVRBIJvZxEIBVaSQPiw3JxA+K2UHoQOK6fjSARCwWoSyHxYTjs2v6aSuHRYiX351NycN0Qg+HaWHoQCK0kgfFhuTiD8VooQ67ByOo5EIBSsJoHMh+W0Y/NrKolLh5XYl0/NzXlDBIJvZ+lBKLCSBMKH5eYEwm+lCLEOK6fjSARCwWoSyHxYTjs2v6aSuHRYiX351NycN0Qg+HaWHoQCK0kgfFhuTiD8VooQ67ByOo5EIBSsJoHMh+W0Y/NrKolLh5XYl0/NzXlDBIJvZ+lBKLCSBMKH5eYEwm+lCLEOK6fjSARCwWoSyHxYTjs2v6aSuHRYiX351NycN0Qg+HaWHoQCK0kgfFhuTiD8VooQ67ByOo7kPAgFqzltLIWqRm+V5MOnJvblsxK/4rNys1+JQPDtLCfKKbCSBMKH5eYEwm9l7E5pL5+a03EkAsG3lQiEAiunHVuhqtFbJXHxqYl9+azc7FciEHw7i0AosJIEwofl5gTCb6X0IHRYOR1HIhAKVpNA5sNy2rH5NZXEpcNK7Mun5ua8IQLBt7P0IBRYSQLhw3JzAuG3UoRYh5XTcSQCoWA1CWQ+LKcdm19TSVw6rMS+fGpuzhsiEHw7Sw9CgZUkED4sNycQfitFiHVYOR1HIhAKVpNA5sNy2rH5NZXEpcNK7Mun5ua8IQLBt7P0IBRYSQLhw3JzAuG3UoRYh5XTcSQCoWA1CWQ+LKcdm19TSVw6rMS+fGpuzhsiEHw7Sw9CgZUkED4sNycQfitFiHVYOR1HIhAKVpNA5sNy2rH5NZXEpcNK7Mun5ua8IQLBt7P0IBRYSQLhw3JzAuG3UoRYh5XTcSQCoWA1CWQ+LKcdm19TSVw6rMS+fGpuzhtyHgTfznIehAIrNweFQjOjt0p7+dREXPisnPYrEQi+rUQgFFg57dgKVY3eKomLT03sy2flZr8SgeDbWQRCgZUkED4sNycQfitjd0p7+dScjiMRCL6tRCAUWDnt2ApVlR6EBiyxLx+amwVRBIJvZxEIBVaSQPiw3JxA+K2UHoQOK6fjSARCwWoSyHxYTjs2v6aSuHRYiX351NycN0Qg+HaWHoQCK0kgfFhuTiD8VooQ67ByOo5EIBSsJoHMh+W0Y/NrKolLh5XYl0/NzXlDBIJvZ+lBKLCSBMKH5eYEwm+lCLEOK6fjSARCwWoSyHxYTjs2v6aSuHRYiX351NycN0Qg+HaWHoQCK0kgfFhuTiD8VooQ67ByOo5EIBSsJoHMh+W0Y/NrKolLh5XYl0/NzXlDBIJvZ+lBKLCSBMKH5eYEwm+lCLEOK6fjSARCwWoSyHxYTjs2v6aSuHRYiX351NycN0Qg+HaWHoQCK0kgfFhuTiD8VooQ67ByOo7kPAgFqzltLIWqRm+V5MOnJvblsxK/4rNys1+JQPDtLCfKKbCSBMKH5eYEwm9l7E5pL5+a03EkAsG3lQiEAiunHVuhqtFbJXHxqYl9+azc7FciEHw7i0AosJIEwofl5gTCb6X0IHRYOR1HIhAKVpNA5sNy2rH5NZXEpcNK7Mun5ua8IQLBt7P0IBRYSQLhw3JzAuG3UoRYh5XTcSQCoWA1CWQ+LKcdm19TSVw6rMS+fGpuzhsiEHw7Sw9CgZUkED4sNycQfitFiHVYOR1HIhAKVpNA5sNy2rH5NZXEpcNK7Mun5ua8IQLBt7P0IBRYSQLhw3JzAuG3UoRYh5XTcSQCoWA1CWQ+LKcdm19TSVw6rMS+fGpuzhsiEHw7Sw9CgZUkED4sNycQfitFiHVYOR1HIhAKVpNA5sNy2rH5NZXEpcNK7Mun5ua8IQLBt7P0IBRYSQLhw3JzAuG3UoRYh5XTcSQCoWA1CWQ+LKcdm19TSVw6rMS+fGpuzhtyHgTfznIehAIrNweFQjOjt0p7+dREXPisnPYrEQi+rUQgFFg57dgKVY3eKomLT03sy2flZr8SgeDbWQRCgZUkED4sNycQfitjd0p7+dScjiMRCL6tRCAUWDnt2ApVlR6EBiyxLx+amwVRBIJvZxEIBVaSQPiw3JxA+K2UHoQOK6fjSARCwWoSyHxYTjs2v6aSuHRYiX351NycN/4fgY8Z3POHXo8AAAAASUVORK5CYII=">
          <a:extLst>
            <a:ext uri="{FF2B5EF4-FFF2-40B4-BE49-F238E27FC236}">
              <a16:creationId xmlns:a16="http://schemas.microsoft.com/office/drawing/2014/main" id="{DC862C52-B875-1641-ADED-9A563F8A4ABF}"/>
            </a:ext>
          </a:extLst>
        </xdr:cNvPr>
        <xdr:cNvSpPr>
          <a:spLocks noChangeAspect="1" noChangeArrowheads="1"/>
        </xdr:cNvSpPr>
      </xdr:nvSpPr>
      <xdr:spPr bwMode="auto">
        <a:xfrm>
          <a:off x="5346700" y="6438900"/>
          <a:ext cx="304800" cy="307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79377</xdr:rowOff>
    </xdr:to>
    <xdr:sp macro="" textlink="">
      <xdr:nvSpPr>
        <xdr:cNvPr id="3" name="AutoShape 8" descr="data:image/png;base64,iVBORw0KGgoAAAANSUhEUgAAAYgAAAEyCAYAAADgEkc1AAAgAElEQVR4Xu2dB7QURdbH/zPzEkGC6KIkAQVFQAQUkAwmzEQBMSACioJ5Dauf7rprdoMKiFmCoKKAGBAlKSBIUJQkOUiQoGR4ceY7t+dNem+m+1a9hqbp2+fs2SOvp6vqd8O/q7qCLxQKhaB57d27V/OXQIUKFbR/K+Xy0QlnPivxKz4r8Ss+Kzf7lU8EwhuG5rcydqebHVvaa01A7GvNKHKHVwVRBILvI5CA4sPyakDxCYkQ67ASv+JTsyNfiUDweYtAKLCSQObDsiOQ+aWJMOmw8qo/i0AoeIsEMh+WVwOKT0gStQ4r8Ss+NTvylQgEn7f0IBRYSSDzYdkRyPzSRJh0WHnVn0UgFLxFApkPy6sBxSckiVqHlfgVn5od+UoEgs9behAKrCSQ+bDsCGR+aSJMOqy86s8iEAreIoHMh+XVgOITkkStw0r8ik/NjnwlAsHnLT0IBVYSyHxYdgQyvzQRJh1WXvVnEQgFb5FA5sPyakDxCUmi1mElfsWnZke+EoHg85YehAIrCWQ+LDsCmV+aCJMOK6/6swiEgrdIIPNheTWg+IQkUeuwEr/iU7MjX4lA8HlLD0KBlQQyH5YdgcwvTYRJh5VX/VkEQsFbJJD5sLwaUHxCkqh1WIlf8anZka98e/bs0d7uW4x1bI3FL02Sjw4r8Wc+NTuSD7808WcdVnb4swiEAnk7gCsUF71VyuVTk8TFZyV+xWflVb8SgeD7iBxypMDKqwGlgEheADRgiV/xodnxAiACwectAqHASgKZD8uOQOaXFrtTyuVT86o/i0DwfUQEQoGVVwNKAZH0IDRgiV/xodnxAiACwectAqHASgKZD8uOQOaXJj0IHVZe9WcRCAVvkUDmw/JqQPEJSaLWYSV+xadmR74SgeDzlh6EAisJZD4sOwKZX5oIkw4rr/qzCISCt0gg82F5NaD4hCRR67ASv+JTsyNfiUDweUsPQoGVBDIflh2BzC9NhEmHlVf9WQRCwVskkPmwvBpQfEKSqHVYiV/xqdmRr0Qg+LylB6HASgKZD8uOQOaXJsKkw8qr/iwCoeAtEsh8WF4NKD4hSdQ6rMSv+NTsyFciEHze0oNQYCWBzIdlRyDzSxNh0mHlVX8WgVDwFglkPiyvBhSfkCRqHVbiV3xqduQrOQ+Cz1sODFJgZYdzKhQXvVXK5VOTZMtn5VW/EoHg+4gIhAIrrwaUAqLorZKo+dTEr/is7PArEQg+bxEIBVYSyHxYdgQyv7TYnVIun5pX/VkEgu8jIhAKrLwaUAqIpAehAUv8ig/NjhcAEQg+bxEIBVYSyHxYdgQyvzTpQeiw8qo/i0AoeIsEMh+WVwOKT0gStQ4r8Ss+NTvylQgEn7f0IBRYSSDzYdkRyPzSRJh0WHnVn0UgFLxFApkPy6sBxSckiVqHlfgVn5od+UoEgs9behAKrCSQ+bDsCGR+aSJMOqy86s8iEAreIoHMh+XVgOITkkStw0r8ik/NjnwlAsHnLT0IBVYSyHxYdgQyvzQRJh1WXvVnEQgFb5FA5sPyakDxCUmi1mElfsWnZke+EoHg85YehAIrCWQ+LDsCmV+aCJMOK6/6swiEgrdIIPNheTWg+IQkUeuwEr/iU7MjX4lA8HlLD0KBlQQyH5YdgcwvTYRJh5VX/VnOg1DwFq86iQKi6K2S9PjUxK/4rMSv+Kzs8CsRCD5vOVFOgZUEMh+WHYHMLy12p5TLp+ZVfxaB4PuICIQCK68GlAKi6K2SqPnUxK/4rOzwKxEIPm8RCAVWEsh8WHYEMr806UHosPKqP4tAKHiLBDIfllcDik9IErUOK/ErPjU78pUIBJ+39CAUWEkg82HZEcj80kSYdFh51Z9FIBS8RQKZD8urAcUnJIlah5X4FZ+aHflKBILPW3oQCqwkkPmw7AhkfmkiTDqsvOrPIhAK3iKBzIfl1YDiE5JErcNK/IpPzY58JQLB5y09CAVWEsh8WHYEMr80ESYdVl71ZxEIBW+RQObD8mpA8QlJotZhJX7Fp2ZHvhKB4POWHoQCKwlkPiw7AplfmgiTDiuv+rMIhIK3SCDzYXk1oPiEJFHrsBK/4lOzI1+JQPB5Sw9CgZUEMh+WHYHML02ESYeVV/1ZBELBWySQ+bC8GlB8QpKodViJX/Gp2ZGv5DwIPm85D0KBlR3OqVBc9FYpl09Nki2flVf9SgSC7yMiEAqsvBpQCoiit0qi5lMTv+KzssOvRCD4vEUgFFhJIPNh2RHI/NJid0q5fGpe9WcRCL6PiEAosPJqQCkgkh6EBizxKz40O14ARCD4vEUgFFhJIPNh2RHI/NKkB6HDyqv+LAKh4C0SyHxYXg0oPiFJ1DqsxK/41OzIVyIQfN7Sg1BgJYHMh2VHIPNLE2HSYeVVfxaBUPAWCWQ+LK8GFJ+QJGodVuJXfGp25CsRCD5v6UEosJJA5sOyI5D5pYkw6bDyqj+LQCh4iwQyH5ZXA4pPSBK1DivxKz41O/KVCASft/QgFFhJIPNh2RHI/NJEmHRYedWfRSAUvEUCmQ/LqwHFJySJWoeV+BWfmh35SgSCz1t6EAqsJJD5sOwIZH5pIkw6rLzqzyIQCt4igcyH5dWA4hOSRK3DSvyKT82OfCUCwectPQgFVhLIfFh2BDK/NBEmHVZe9Wc5D0LBW7zqJAqIordK0uNTE7/isxK/4rOyw69EIPi85UQ5BVYSyHxYdgQyv7TYnVIun5pX/VkEgu8jIhAKrLwaUAqIordKouZTE7/is7LDr0Qg+LxFIBRYSSDzYdkRyPzSpAehw8qr/iwCoeAtEsh8WF4NKD4hSdQ6rMSv+NTsyFciEHze0oNQYCWBzIdlRyDzSxNh0mHlVX8WgVDwFglkPiyvBhSfkCRqHVbiV3xqduQrEQg+b+lBKLCSQObDsiOQ+aWJMOmw8qo/i0AoeIsEMh+WVwOKT0gStQ4r8Ss+NTvylQgEn7f0IBRYSSDzYdkRyPzSRJh0WHnVn0UgFLxFApkPy6sBxSckiVqHlfgVn5od+UoEgs9behAKrCSQ+bDsCGR+aSJMOqy86s8iEAreIoHMh+XVgOITkkStw0r8ik/NjnwlAsHnLT0IBVYSyHxYdgQyvzQRJh1WXvVnEQgFb5FA5sPyakDxCUmi1mElfsWnZke+kvMg+LzlPAgFVnY4p0Jx0VulXD41SbZ8Vl71KxEIvo+IQCiw8mpAKSCK3iqJmk9N/IrPyg6/EoHg8xaBUGAlgcyHZUcg80uL3Snl8ql51Z9FIPg+IgKhwMqrAaWASHoQGrDEr/jQ7HgBEIHg8xaBUGAlgcyHZUcg80uTHoQOK6/6swiEgrdIIPNheTWg+IQkUeuwEr/iU7MjX4lA8HlLD0KBlQQyH5YdgcwvTYRJh5VX/VkEQsFbJJD5sLwaUHxCkqh1WIlf8anZka9EIPi8pQehwEoCmQ/LjkDmlybCpMPKq/4sAqHgLRLIfFheDSg+IUnUOqzEr/jU7MhXIhB83tKDUGAlgcyHZUcg80sTYdJh5VV/FoFQ8BYJZD4srwYUn5Akah1W4ld8anbkKxEIPm/pQSiwkkDmw7IjkPmliTDpsPKqP4tAKHiLBDIfllcDik9IErUOK/ErPjU78pUIBJ+39CAUWEkg82HZEcj80kSYdFh51Z/lPAgFb/Gqkyggit4qSY9PTfyKz0r8is/KDr8SgeDzlhPlFFhJIPNh2RHI/NJid0q5fGpe9WcRCL6PiEAosPJqQCkgit4qiZpPTfyKz8oOvxKB4PMWgVBgJYHMh2VHIPNLkx6EDiuv+rMIhIK3SCDzYXk1oPiEJFHrsBK/4lOzI1+JQPB5Sw9CgZUEMh+WHYHML02ESYeVV/1ZBELBWySQ+bC8GlB8QpKodViJX/Gp2ZGvRCD4vKUHocBKApkPy45A5pcmwqTDyqv+LAKh4C0SyHxYXg0oPiFJ1DqsxK/41OzIVyIQfN7Sg1BgJYHMh2VHIPNLE2HSYeVVfxaBUPAWCWQ+LK8GFJ+QJGodVuJXfGp25CsRCD5v6UEosJJA5sOyI5D5pYkw6bDyqj+LQCh4iwQyH5ZXA4pPSBK1DivxKz41O/KVCASft/QgFFhJIPNh2RHI/NJEmHRYedWfRSAUvEUCmQ/LqwHFJySJWoeV+BWfmh35Ss6D4POW8yAUWNnhnArFRW+VcvnUJNnyWXnVr0Qg+D4iAqHAyqsBpYAoeqskaj418Ss+Kzv8SgSCz1sEQoGVBDIflh2BzC8tdqeUy6fmVX8WgeD7iAiEAiuvBpQCIulBaMASv+JDs+MFwLfgvZGhtGAIPn650TuPHDmi8avwT0qVKqX926LlUu0rnXMOKjdpZPlMcTBLRJK4+Ijk24cGKzsSl0ax8oKnAC2SJ33P1KgVKptdgHwdhVAo8GjeWhDIR5Nb+qPJQ/dZFmO3QIRCIRw8eBAFBUHk5+dj7br12LRpMw4cOGDUJRQCqlQ5HdWrV0OD+vWMf0tPT8dJJ51kWdfIDUcjoHJzc416p7pOPvlkCSi2heCJKdDZ2dnIzs4xqGzZug0HDx7AypWrUFBQAJ/Ph7p166BcuZPQsEF9456srCyULl26GMWj4c8cU0m5HErhe6IC8Wz1WqGs3HzAF+L/+ji7k3oQDW7riwsfvN+yZnYKxMxZ3xlicPDgIQSDQcuyIzeQQJQpUxoZGQH07dsXWZmZpr89Go79v5dfwf79JBDJ3gxC6NatC6pWOZ3dpqI3WnH+7LMvsHHTbyShxcoIFvBZxv+YnkRsL2pxIZo0aaxc93jOW7duxbRp3yatHz04MysTvXp2j5YRae/XU6dh1Zo1SmXrtpcK8Qf8lmVlZWXi5pv6ILOIn3H9aunS5Vj84xLk5OQY/+NeVB6JRNWqldGta1dDROjilpusnHi/opecUaPHItVIBr2c3dC7B0455RRby+W0f8NPS/DJffcjLRQA2TeEEPwIodngQajf6bLoI/Zu/g1fDByEtKAPBf5YLIR8QTTu1w8tB/TnFJf0Hi7nT/rfhpwtOxKekebzo2KTRvA9V71WKFMEgmUEAr527TqsWr0W69etg97AXPGiatSohtq1a6Ftm9YlMrRVQEX+vnHTJowa9X4KcQjfVaZMGdza90b4/dYJiFtu/H3jPvgIa9asT5mAWQYxuYl6dhUrVkCds87ExRd3REZGuuUj4wOKGE2ePCVl/WiIdED/vsUEYuLEyVi6bLllWcfyhlKlsjBk8CAjWcdfZglkx86dWLLkF6xatYpkyIbqhnD22WejYYNzjR617hUvEDk5uRg6bAQOHTqU9HEkEHfcfhsqV/7LMReIdd/Pw6TuPYzETxe98hDFC596Aude3yOhvm80vRAZh7IR8vngK3xhCsKHM668At3efl0XFUuI8w8fxntNmyPNqCFdYVuHQgW4bPjwoyMQYR0kxfRFi001gkX3EhRKtrqjXMeiB7F582+YMXMWtvy2DQXBcJe65FfkjYGeFUJaegC33HQTqlatwg5kqzoke5P/ZMIkLF++slAgUvcc+9xwPSpVqmRVRNK/W/Ugjq5AxHMNV69FiwtxQdMmoKGzVJcIBIy38RkzvsW69euN4VG7/ZyEu1y5sujU6TKcftppyr7lGoGYOw+fdesZ7R+H/CH4gyFc+NTfUf/6WM+TACwfNx6L//5PFPiBuE4EcgN+/HXrRmVGkR9wehBz/vcyNox4EyRI4Sv8/3k+P26b/93REQjyrEDIj3x/ECGfH+n+AEL+oAGARrKMDleeH2nBAqNC9G+BUAHyGN3lpLRCPtTvf3SGmMihJ02it8IV2oZS+SHpTq3aNdGndy/bu+ThN4MQ/vmvZ017D5H6VqtWBV27XKdS/ei9zgpE6ioP6H8rTjutctLE53WBWLN6Db6Y8rV2r1HFUWhItk2blmh8fiOl8twiEOvnfo/J3a+PxpnxIhwKotlT/8C5RQRi58pfMbl7TwSCsTQdYdn86adxUb+bVdBG7+UIxFcD78T272bB5wvEyggBhytWwN9WLj06ApGdlY5md92J0xs1RigzHWUqVUJGqVIIpKUZ43F5uTnw5WSj4EgOcnbswIxXXsWhlSsR0Bt6Bo6iQAx/7XXs3v2nloF0fmT0SENA1cqnoVv364w3Xo6hU5VVNFF/9NF4rPx1DevNkIL4lpv7GEM1qtfxKhD0QtL4/Aa45pqrizXJywLxxZdTsHbtBpZfqPqC2f0Vy1fATTf3Zj/yRBSIgrx8fNi6HXL37S/2SbBK6za4fvxYNp/4Gzl5460GjREoyE8YvSExu3HWdJx6dl37BKIgLYDGt92Gym1aomrTppYNSpZA5r/1FtZ++jl2Lv4Rfvro66PxMMbH86MgEDTDZ/Sosdj1xx+WbUl+Q/wwR2HWV3yS3+fDDX164WSNBB0pKjGgcvDq0Ndw+DB/enLzZhegefMLFWtuPavn6A4xWVeX2nT5ZZck3OhFgaAhJRpy/PPPvdbQkt4R8fPIdwpGvCZ5Tt9b+qBcuXKWdXCTQHzWrRdChZN/zHoQ1Ogp9z+E7VOmFPvak3ZKJdy5ZDH8gbg3fEtK4RusBGLeq8OwethrCProY0DEbiGkV6iI/gvnI7NsmZILBLW/TNPz0fnN15GWZEob9802/r61M2fg64ceQd6WbbwPwTYLBInD0GGvg2ZJ6Fxly5ZBRno60tLTjGmBND0w/Cz17xZkuCFD7tSphvGb+ID6bfNveHfkGKVn+f0+DL7rDqXfFC032Y+dFggaarv5phtQq1bNaPW8JhDbt2/HO++MRL7mOqiyZcsiLc1vrGk6fDgbBQX5xow++m5BfFUuyiO39rsJ9Eyzyz0CMRefdevNFghq8zvnNoI/lDiMQt9XB/7yI8qcGp6JpXKZCUQoGMS4y65AztZt4QmskdQUAspf0AS3fv6pUZTWLCbjQ4oviFBaFq797BNUqFEDPsXZLlZDEHnZ2fjqH09i7XsfwG84G33ITjUr095vEM89/yJyaWaX5RXuGYSCBahVqxYuvfRi0DeEtLQ0Y1yV/kdzxOl/5Pg7duwEDfFk5+SxuvJkuKZNG6NlqxaWNeEI8dPPvGDURfVq1bI5mjZtovQzK/taCURWZjrS0zMsyywIBg0BpuEwtY+qPpQunYX777s7OgZuj0B8imXLlvFebApbZ0zSCPng89FEyOSJ1YgA+rZHyZfTq44jV7pUFgYPvrPYLKZhw1/HH3+oDJ+GjNlt9F2qcuXKSE9PM+qclhYw1gBR/fLy8o0313ffexcFBWovRBQ3dw4acEIIxIY5czG5u5pAfHTlNTiyfiOCvsQpO0dqVsWj8+ZbxkLRG8wEYv/Wbfjk8ivhK5IPChBCj6lfosZ55+kLBDnr6Rc1R7PH/4aTa9dOWvHcgwcx55VXENi7Dwe2b0Ont99GWkY44Pdt/g3L33oTyCqL1vfchXJVq6Zs/OL3x2D2I48jmJ9vzIpKetnYg3j7nfewdet2ljFKZWWgXbu2xhRVcm6zKz5hbtu23ZguO+vb2Sl/QsFGC46uuebKlNP4OJWMlLt69Rp88OHHnJ8Uu+fUUyuhdy/64Ma/SioQV1/VyeCqctFwyZ9/7sGq1auNSQXm8+LC4n7++Q1xbeH3CDsEQqW+kXsj5b76ynBjqmOq6+4hg4r9yYpzqmd9Ovkz/PzzMsvqkh9Sjdq3b4O6deuC1lTQxSl3z569WLp0mamfF61A+fLlcGOfXgikGFJxSw9CRyC+fuRRbPt0cuGMzkI/CNGMIh/uXrUcmeX4i2uJq5lArPrsC8x76JFi9k+vVh19vvkytlBOdR0EicPJ5zfClW+/gVOrJE7HpNLWfvctfn53JDZP/cZYRkwOX6Vda/QaNy6hMi/RB5D9R+DzBVG6Tl2cN7Af6nW6Er4kjrH/99/xxfW9kb1rd3KJCPnQZPDtaPv4Y5YObwZt0eIf8f33pNTmbz70tlqnzlnoc0NPy/KKJoH4Hxw6dBi0YGznzl3GO2FkSiEFZXpaADfddIOx4poTjKkqEmnvzJnfms7EooBM2bvwAQ/ef0/SVbFW5ab6+2RaKLcx+UI5+k2P7l1Qr945bL5FOa9Zsxbz5i80giS+B130gaFQELcPvM14u47nvGbtWowbR4Ka/I2eVgg/+MA90cdZjfeaNSRSLs0uMxuZeeL/Hi32GJ1yV61ag6lfT2OwDaFBg/q47NJLQMOm8ZdKubROYcbMb7FhwyZGmcDll1+M5s2aJb03vtzc3DxjPc/hFFv+EEuaqn3KKeGp2nbEEasBAH6b/wNm9B1QbIip3UsvoPGNfZI+ZuOChfjkuq7G6AzNAqXL8D6/D5e8/Qaqt1AbSTBr73NnnIVMmixUWBMaraDvJU3uvgdtH/1rVFyUh5j8ZTPR69vvkFG6dALw/JwcfDr4Pmz8fBICCH9Q8Qd9CPpD6PDaUDTqnDhd8s/duzHyvMbhYQHQNFcfUPUv6DVpIjKKbENRkJODSZ27Yt/GzcmX7NggEJQcXxvxprFlhtncbxo2uunG3jjjjBpcXzHuMwuon35agtlz5kYXqVCX/c5BA6PPL6ljU9uGv/ZGyuRzxhnVjQ/RH300IWmbyHHS/AE89reH2W22SiBHWyCookeOZOO9kaORQ71PkyHxq6++ArVr1TzOBSKEJ/7vbyUWCGLy+htvW04tpRioV68uunfrapmouU4xbfpMrFgRWX9j9qsQaDry6acXX1DnFoHYMv8HTOs7ILpDReQjtZlAEJEXatVBenZ2/CcBA9RF//cYzrmhFxe1qSBuX7YSH1x6edyH6bAQkUh0+XIyzmjSWE8gCjLS0fPrKShbuXJCBbL37cN7na5A3qYt4Q9ehbLkC/pRcGo53L9sabGG7dmzBxN7dMf+5WvCayN8BfCF/EgrXw5nDbgVLfqHl5gXZOdgYvfu2L9+PfzBQPItQWwQiDHvj2PN5Lihd0+cdVbyYTUz61klTNra4dPJXyIvLw80o6N8+fK2CcQ333xjTG1N3jMKomXLFjjn7HMwavT7yM8v/o2CBIJsNOiOgTiV+bHMqr3HQiAI4JYtW/HxxMmma4EbNjwXHdq384RAzJ0zD4t/WmKaaKgHe+klHQ2/SHVZ2TfV7+b/sAALFiy2THSnVqqEQXfGXpIiP3CTQEy/dSBChUuFuQKx6I03MefJp4rxKcgqhdt+WmDJLf6GVC+WP44chdkPPYbCTorRT6EVGAcz0vDEpg0JL7SsHkQoRKP/BWj82MNodNNNCYmLxGHMVVfj0LqNxTrjQb8PV7/7FupeFtt7JN7Qi959B8te/G+xXrzPH0DV7l3Q/m+P4Jv7H8SOmTONtQ4prxIKBG0r8KExPp+6DAqajh3bok3r5NthWFmOE1AkElROtWrVEh5X0h7E2++MMvmOEcLdhbOkPv5kArZt+z0lh0su7mCaNOIrbdXeYyUQVKe33noHh4+Y7SEUZnB8DzGVvAdBQ5k0OYA+LKe6yP9oajOtdC7JC4/Zbxcv/hFz5s4vrEfqrl33bp1x7rnhDS7dJxDzMb3v7aA9lejiCsSaaTPw2U03F//e6vPjqgnjceo5da1STUJ+TnbziHYdkbdyLQoCMfZB+HHZ/15Eg57hb42R+GUKhA+l6p2FXhMThyBKp6fj1WYtkP5HeJy3aA7P9flw//rVSCvcA2bByFGoUPMM1G3XLlqBUa3bIVhkJgWpWXooiMOBADJCtESdVmQfPYH49tvZ+PkX8w929KGW3qB1L6uEafbckgjEunXr8P7Yj1I+ntYCnH12nejfaZ1EynHwUAiPPfZwyg+Ix6tAbNy4EZM/o32VUqZFTwjE9OkzsXzFr6YuXL78SRh81yBLG5fEn2m9w/DX3jQmFJitczqzVk30uTFxEZ17ehB6AkHGeaFKDSPvxV80VH9O75vR8vGH2CkoWd44sGMH3jq/CUIIGJsHRq6Q34fe30zFaYWCrCYQtJfN80+j3rXXJlTu0wfux54vvylW4aAviPT8AFr+71k0vSH8QSZUUIB3WrVGtTatcfmLL0YFYvHbb2PpSy8hiPSECrMpGA8v2UfqV159zSR1+BDw+9Dz+m7Gh2ndqyQBVRKB+NfTzyEYTP6WRt9T6CNexYoVo82a8tXUwk30ki/ua9WyBS6+uIMlBqv2HsseBFXWzMaUpLzQg3h16AjT9QnUe/i/xx+x/D4R/4Zp6QhJbiB/poke9FHerDdDPy36Yd5NAjHtlgHRfQ65PQhq89vXXYeDPywJD08VvhcHfT5UqF8PXcd/yEaeLG98OHAgtid5WQpmZeL+DWujz1YSiCOlsjDox4UJFVs3axZmDRpS+Dk6sc7GwotKJ2HwT0sQKJzaunfbNoxs3grZ6QE8vH5tVCAO//knxrRqa8hDbDUfm0H4xhIIxIIFCzH/h0UmAgFUL9yTqCSJ2iphmrVYt9zfftuC90aOSZkUaObOwAG3JhS9fPkKTJtOe7MkX8VeterpuK1fbBfTVPW2au/xJhDdunZG/frnRptz/M1iKtkQE9l1+gzavjz1Va/e2ejRPflH6aK/srIvx58/mTARy5eb9WhCqHdOHfToEdv91AsCsX/LFrx1YXP44gaaKKfmBwK4bbn596N47snyxsiOl2LPykTmNAh2+evDUf/aa9QEgvI8zS5q/9Yw1GjdJsHmXw66Aztnfp/0ozEt5DmjUyd0ffetWIGbN+Pd5vSMEO7bvjlhVs+cZ5/Buvc+AO14qHWVQCC+mvoNVq+OKWex8n0h3D04vJJZN1HTb+0IKFU2EyZOwtKlK1LMygqhf/9bUTrJyX5vvPkOsrNp5Xcye4Rw56Dbo1MHRSDCBOywr/k015IJxOjRY7Fn7z4TFwrizkF3WNo18gA72rtlyxa88+5oU7fOzEzHww89WCxx0T8cz9Nct8yfj+m3DIzmNJUeRO6hQ3i7dVtk/76z2GymOrf3R+t7Y9OrOUIcf8+/q55oP9gAACAASURBVFRH3KcHI8R9J5XBPWsSRYPVgzDSQ1Ymenz1RXTmEv1TzsGDGNP8IuPhCYUV1iQ3EMJDW7Yk1H2PIRBtkesL4pFtiQKxd9MmfHzNtUjL09ytrwQCQVtqmB32Q2c1dL4urKxuEgg62OW5519K2YWvXPlU9Cyyq2TEYCtX/opvps1M6ns0DEHzyu+683bTwLZKIMe6B/HyK8NNpi+f2ENM5AvvjXzf9LAfOgnu3nsGs99BrOzLTVwvvvRfYzpyqovW59x11+2oUDirz009CJ2P1BEO7155Dfb+tCRu2kz4SIRStWuh5+efsnZiKJqvxt99H7Z+9En0pd5H69QA1LyiEzrHvczHv/CYfqSmCpWuUhk9p31Nq7iiNvx8yD3YNW2GMXUw2Ttm/VtuxKXP0ZbSsWufIRCtjcVz9/7+W+IbVyiEdy69DP6tNING4yqBQJiPTcP4gBvZ1M1NAjF9+gzMmTsvqUBQkm/R/MKUm/DRwiZ6s0u1n07A78eQIYNMN1ezSiDHUiCoLqNGJy7UTPSyE1sg9u8/YAw1ml20FqRJ4/PZwWdlX65A/PrrKnw0Pvn6m8gz+t16M6pVC++24BaB2DpvPqb1u115mmukzTtWrsS4jpdGZxTSLs+BYAjBjDR0//ornMQ4SyM+XwXz8vDqWXVBO8dGBmroWzEtLWj5wjNoHjc7lS0QlP2zLjwPvUbT6WPhi5LGpz17Ye/SxPMRIkJB3xGu+WgczmyTOCT1UvXqCOT7jH1GzmrfBu2GD0/wocM7dmJc+4uTftOw9FpNgdiwYSM++9xsdguMNQmRXSbdJBD//e+rOJDyzOnY1NZUbL/44kusW5965Wv7dm3Qtm3qKb9WCeRYCsS7743EgQOHTd2ItrE4Uae5cgSCFn/Gb1xoFXNW9uUKRHiYaZTpFHNXCsT8eZh66yD4EV5XpDLEFGH3nzPPhv9wcb+99K03ULXVRVYmStyoc9FijL+2C6jXENuXL4SCtAw8+Bud7Jh4MYeYaBX0MNRs3y76a9oTaVTzlkDRLaNpszEUIL1uHdz53ayE0oZ3vBTZK381PrqED9/zIa9BbQwcPynhvs/7D8DuOT+on4+tKRAffjAeO3bttkwckRvcIhC//LIUkz79LGnQkcDTAqgLLzDffO/w4cOg9ROpehH07488/ECxc44jrKwSyLESiD/37MGYMdR7SD1NummTxmjVqsUJKxDffz8Pixabf9xMto2HWWBY2ZcrELR/Fg0zmdmn2YVN0KnT5e7qQdggEFPuexCrPig+aym/0snoP8d8wgHBis9Xs1/6D3566b8oiN8IMAQ0GHAbLvnn3/UEgpJ535WJ5+sW5OXh3UaNkZZk4RqpZO+vv8RpDRtGCyzIz8f43jfg9znzEipRvUsXdPzX3xN2gV02+XMsfOhhy6lvxVqjKRC0j8ue/fvgM1mEF79BmlsEgrYM2ZVE+Gh9CZ1qRXtIRfanMQvkcePGY9duOg8j+eSBq67sZOw2m+yySiDHQiBIxOjbg9W52tdcfYXx9nyi9iBoa40jubmm2404JRDkO0/98xnz89FLlcIDD97rLoGYNx9f9xuQ8JGZYs9qq434WJo1/DX89M9njO+8NPISvyd3n4Xzka6wNfpzVWsgq8h0dzo6ucOwV9Gkezc9gaAjQm9bnrhNBo1ljWzU1OiqJF4hBMpVxKBfFiEtM7zj45E9f+LNVm0QpNkTRZIwbW9cpm4tXDdmNDLjDgp5t017+IykpHDpCgTN7Ni3N6VAZGRkGIeeu6kHQWdZ/O/loUnXPtA4ZumMDAwcGGuTGeUdO3YYO8CmmqtesUL5lGdVHA8CQePuNLxidpGI3HXnQGM33hNVIIYOG4F8WnCaYpIgMXjyieL7PB2LHgSVYbVJIY07PF64UaGbvkGUVCDyj2Tjf2fWhR9B+I19McIGpBfaZs8+hXpdOpv6dsSfl02ejK/vGFx4bELsJ9n+AP66YXV0KUL8w1hDTHQiQv+VSQSiYZPoN+uIrlHXpf1LL6LpDeGVj0f27cPQ85saG0+FV4skeifpC52YdkrHdrhq2KvRuq376mvMufcB44u9sQcQRyc0BWL0mHH4c++elAJBG7jRxzs3CcTIkWOwaTPtklr8ooU3/frebOwQy7nIwV5+eSj2mSTZvn1vRI3q1Ys9zimB2Lp1G5avWImFCxezzr6IPzHvRBUIWh1PI+HHq0D846mnLbb/COLJJ8I7NXtJIKi97/e5Gbumz0wcgQsBtXt2Q9t/FB8aig/EiD/PfOJJ/Pzmuwk5OAQ/Gtx+Gy79+xNJUwFLIMipHtiemGxoiOnlGrWjm5+R09G5IP5KJ+OWuHGxrT8uxjd9rBdUkbDct3kj/IXnKeRnZ+OV2nWN2U6pd4wp0ibN8yCGD38du/78I6VA1Kx5hnHqWOSySnpmSfdYDE/t27cPI0elPr+WpjLS9NT09HSOPhjBOPf7eVhsMn5ds2b16HkKyZwzVUFWBwa1bnURqlVPfU5I/HPpJWL//v34bvb3OHCAegys1wqUK1cWdw+5y9YDg1hgi9wU8SvTbU4KV3sXfT7Hr2gIh3qPfuZQKqcNnHJTPadoHL3yKk1YMbdZZKg3vtycnFxQ74hm3SV9IQrBGAGoXPkvxcSF00YVfy76vE2z52DC9b2LDTE1e+ofODfF9PJkddq3YiUmdqWjS2mAOHzR5NQcvw+PbE3+Ilg0X7194UXwHzyYQLjA70ePr79MeRZPhLPpNFf6nHx/EoH4X41aCBQWF/46H0LlblfjiqefM+qWs/8A5jz5JH77qvg2HMkg1L+rPzo+8hgChSKxePQYzHr4UaQZ83QZwa4pEMOGj8DuP/9MKRC05TFtPeAWgaCtlGkVdKqLvhfQdwPuRYFMJ4XRvjmpLmI0ZHDxI0mtEoiVQBgH1ZjtvxWtUGxsNjxOa54IIz+jcyAefuiBhFPW4hPXxk2bMHkyzXBLPi5Dx2wO6B97AbJqrxnzoy0QTz/zPPKCBcetQNCQqN+f+sxlYy1E4c6ubhGIjbPnYKINApGWm4vXL7gAgbywNNCVb4i9H5cM/y/O65J65Tv51Z8rVmFit+7hXFoYT8byherVcP1Xn6c8CZQlEPSR+tYf5qJ8jdi5vdSD+HetOsgoPKqOegB0TF3f+fORUXji0cwXX8D6d0cnXURXNFBIXIJlS6FW/1vR+ZHwOGjuocN4o0UL5O+mzbwYl6ZADB/2uiEQqa6iY7PHew+CPkbSW1Wyi86Wfvyx4idIcRLXtGkzsGLlqqS30jBgnTPPxJVXhGeZRC6rhGklEAyrl+iWq67qBJq9FH+dqALx4QcfY9Ua2u499ZXstDqz+63sy/GryD1WPYjatc7A1VdfadzuFoGgHgQJROSKTHNV7UFQe5+pVx+l9+xLWItGzz3j6qvQ5c0RKVGTP398c1/sX7AQfh8JcOHLTiiE2gMGoG3cgVdFH8ITiFAIF/zj/9D69tiq2WBBAd5s3QZHjNPAwjNS6/S9ES0fiR0mM6p9OwR30Idmxtu/8ZQQ8iuVw4PLYmsrJtw2EJu/NF+jEKOvdyb1hAmfYtnyxPUcRUHdf9+Q6EHqx7NA/PzzL/j2uzkpmdOBQJEFf9zMGmnv7zt24CNagZnEniQQtIvWwAH9Eqa8WiUQpwQiPZCGNm1boXXrlsUwnKgCsWTJL6BZY2ZX717dceqpp3Jdw7ZdBWhoMLyIL3Wu6NihHRo0CO+T5UWB2LxwET65jtYwJJqnbI3q6P/D9ylttmv7dky4/Cpk79xlDDFGCBf4/Lhtxc+mtmYJRBAhpNc9E0O+TZxzO65HT/w+J1yxYMiPqz4ei9Ma1I8WOObazvD9Yf72H50Z46NhJD9yKp2E+2cllvPvajUQKAgfuWH6PUKzB0HbDdMYptkVPyxzPAvEJxM+BX2gTXXRbrTVqyeeM2GVDeibRuR66+2RpjuBdul8TcLzj0eBSE9Pw6OP/NX0jSvyxxNpiGnv3n0Iv6Wnvi65pAPOVTji1cq+ZmXFx9GmTZvx6eTU4kW9+Ouv74rTC1cOu0UgaIhpUo/e0axckh4EsfxPzTMRyM5Bgd8Xm2wQAoZsXo9ARvJviltXrcZHHS4uJixV2rXBZSPM/YElENS6k6qfjn7zvk84K3rJ+AmYMWQI/DQBq1pl9JvGOd820WU4Djb1kUex8p1RgN9v3hnRFAiq0VP/TNwSpKhjx+9weTwLhNWWIVZiUNK/l8rKxIAB/aKPsbLvse5BdOzQFo0bn48yZRLPVo5v94nagyChp/UgZlf9+vVwccf2bDewsi9XIBYsXIT58xN3io7/La1h6dGjKyr/Jdy7cYtA2DnERO0e3+dmbJk+EwEEESw88IlerU9u1w63fBDb6SKe3ZvXdsGhhcV3qq5zxx1odc9dprZmCQR1aXIzfRgwZy4qFJnK+N+z6wGHDqHXd7NQ6uST2Y4VuZHjYOu+n41Pu/Y2PlaaDlaVQCDozYresFJdpUuXwoMPFF+ko9pgTntTPdNKmMaO/QC7LXpsqvXVuf+qKy/HmWeGj2O1aq+5QIStbWwlVrRfXbRihWeah/+58HdGVzyEihUrGN8ZGjZsAJrBZXWdqAJBZ5IPG/66qZ/T90aa0cW9rOzLFQjqwac6r4SekZ4WQP/+/UC9Py8LxJzhI7DoX88gGCowXszDHg6gVAbuXbM64QWe/jk/Jwev1jwrMW+GfMj3hXDjvNnIqlCh5AJBFaAuXtvnnsYFfW9JeODi19/ET2M/QLeJ46Nfwn9ftrxwCw7rbbvLJlkFSF/XK59/HjJKl46WNbxNGxxZt9H8g3cJBGLq1G/wwwKT8yCCQXTpfC3Oa9TQli2duQEYf5+ZQOzbvx+jR48z3ZFWp0zV35CI1z/3HHQsfAu1SiB29yDIn0qXzkLp0qWRnh7AtddcizJlYn7Eac+JKhDU9rffeQ9bt243xUD24xwGxXkB4AjEL0uXYdas2aZ1OqVSRdxwQ6/oPV7tQRCA/1SthbSCPNDhQZGL4q7H1C9RpWGDBI4rvpqKabf0By12jt4d8qFcswvQddQ7luHA7kFQqs8NFOChIuPboWAQi6ZMQZ1WraKFje3cHbmrfzWOs9O5qKybpn+FU+vFzqHdNP8HTOzS3fxxJRCItWvXY+w4s1OafMhMT8d999+Nw4eTz7fmtNUqYXICKtk9v/76K6Z+PYM5JZRT05LcE3sLtWqvuUAEceUVnZQ2jzN6mT5fwul4qi05kQWCtrT/19PPmyJJDwQwqHA6qRU7K/ty/HnM+x8UHjua+m6aQh0/3dnLAjFpwO3Y+PnncV9kQ8hHGnpP/BBVWzRPgPjjG29i5t//iUB0xwsfcgP5uOzV4ajZwXookSUQUZUC0O4/L+D83qnPh6V73+/aDbkrV7PnLhV1C/rSfteqFciMW+mbn5uLl+vVR+Bw6j3jaRuP+v374sIH77fy66RDH2bHctIDjYPcm1+AFs2bWT4/1Q12BFSyZ7/8yjD1vau0W2H9w7p166DT5ZeUcIgJuPqqTqhdu5Z1gUXusIvzifSROoLotRFvYNcu821szj77LFx+GW0zbX6VlPPc77/HokVLTF9sTql0Mm64oWdCRdwkEJ/26Bn3vYBGS4PQmeYaAbBo5CjMfvhvxZiVOrcebp/+dQKnF+ueg8CBA9HhKPpjvj+Em3/4ARllU3+HizxESSCMoaZyZTDkpx+RHjf8U3Too6QCQSuyH9hWfHXgz5MnY9oddyEQ3gi2+FVCgaCu7qRJtPtp6ovGSW/o3QN/KfxYZhVARf/ODahly5ahQYPE7mKqIaZwF51mfrHXnKtWW/l+Gta55eY+OOWUU0x/azXEJAJRFF/yLdq5fkVP+272HMshHRrZ7trlWlSrZj7jTaXcoi2hPb5oxX+2sQ1P6qtZs6bFXsq8LBD7tv+Ot5tcWCzag/4Ahvy6DOknlTVg7t+6DW9f0MxYZByfGbIaNUKvD8zPBdESiPBm5sApHVvjxvdjB68UF4geyFu5UmH9Q6JzFPh8eGDb5qQeM7RJYwS37kYwWS4soUDQ4rLw6Wvm6zbo7/3790WprCzlxGkVUDQE8MknE7Hy19Wgt/BePWPDaqkE4pMJk0zHlekDe/hTluaQX5INGYkBbW1gxurGPr0s3/5FIGIudLRXUsc767PPvYi8PNplzfy6fWDiuhbdF56iv6PT7Z5/4SXLl5qszEwMHBibFVc0cdF/H+9bbdA018juJiWd5hpp/0v1G8Fv7P4QWzfn8/tw0fPPotmNfYzbJtx9LzaPp3VL4TkexjYr8OGmXxbDz9xmR7kHYWz0FQjgmjHvoXbhGFYxgbi+J3J/WaY95JFsa48ImEn33Y8NH3xEG1YX9+wSCgQ9cNXqNfjww4+t4sZYNEf7M6WlqSVdK4F49dVh+HPvfqN1xgffevXQtdt1Rn2SCUR43yWa3pZc1AJ+n7Fra/nCoxotG5bkhvh1EJE/U91WrPgVM2Z+m3IbbZqa+PhjsYWTycoWgXBGIJYtW44JEydbukOqBJ0sUVs+LO6Gf//nfzh46HDyOC68j7ZBockODePWVolAhAls++knfHjFtUbYRyKftphpPvgetPpbeI3P+K7XY+u8wuMVCl/us2pUR88pqbfWSPUCYLoXUzQpFKqQUSF/EL2mTMFp551XLHHtWrkCM594CgeXLzP2ffEHfca4V3gvV/o1bTkc3qWVXk4p2ZDw5PmCCJXKRId/PoWmfcIqWPQa0aoVjqzfnDwd2iAQVN7w12iMdrdlTyItEDDmZp96qvkwSnwbUgkEHe4zf/4C/L5jZ6SjFv5ZCLioZXNceknHpALx8ccTsXX79iSBFuZMR4o2a3aB5bcAs+BO1XOhDfFGjR6L/ILYBmJFn9OnTy+cafINQQTCGYGgKa8vvvhf5OYZm/uYXrS2pXnzZjjvvMQhT/qR1QtP0QfTVPIx74/FHzQd22LaerJvD24TiKWjx2D6Q49GMdjVg9i3bRveadUGoezc6PAR9RJK1auLgTOnG+X9u0ZNBPLiTrILBlHx0otx3dBXrEwe/btSDyL2VFrV7EPQ78fN06Yi4/TTkha48bvZWDn6fWxZsgjp+3NQEKDNpQiRHyFfvrE5Ho2bIeDHaReej780vhCX/O3RpBtH7f/tN4xo2w7pR3JTO5ZNAkHL/mm+eF5uXrF9T5I1tFGjhrioRXNkpFjJaCYQND113vfzsWDhYlOjtWp1EZo2STwrOC8vD7TvUkGIzpQt3oOgN7C+t9xo9B5UAzm+MmbTa2l7hH0H9qfc6LBhw3PRpXO4B5TsEoFwRiCMd49QyDjFLTs7xzJh0L0NG5yLRo3OQ6VKsfVOXL+ilwnqtXwzbQZr6Jl2Gr61740JmyimiqPjeYhpyRtvYeaT/yjxbq7JOL/Zoi0ObdyQsEqbhucf3LYZf67fgPdatoa/cDEdvYDn+oDe33yFMoXnelsaPe4FgNWDiDyQUnxasAC5/nTAl48rx45BvfYdLMtbO2Uqvh83Dod370ClunVQr0N7VGvX0fJ3G777Ft/efi9txIF8X4A6Lyk/UjcZfDvaPh7eM97sslp09tOSnzFnzjzTbSVizw+/rbdq2Rzt27czhlxSjc1TuRRs9LH78y++wMaNm+AzNtCyvtq0bokOHWLHvtKHadraOv6MqXgRL1OmFB64/z7jn6zaa1a6WRLYvfsPDBvxuslpfCEMGTwoJY9jcaKcNdnEO+Lbu2btWowbR0OOydf00HqLB+M2O7ODs/nBOSE88X/FD/XRLZf27vpu9lyjJ8+9ypcrjTvuuMPYLp5eplJdET+fPXsOfv6FzpOhuLAuhWJn0B0DTE87jG9vbm4e6FTIw0eOJH04ta137+6odHIl4+8VKpS3rkSKO1ItpqVNMJPF/OoxYzH36WdLdKJcqvj99tVXsH74G7HRA1oA5y9Ah6HDMfM/LyFt3YZoovQFgcAZVTB4wQ9KbY9wVhKI+BKMfZqQhvItm6L3mDFIL0UfRPmXmWPTuddzHn8Saz//DP4ChgdrHhiUqrbLl68wts22+mgd+T3dR0FBM5zowzD9d1ZmFmib4uwjR4yDa/IK8rFv34HC8wr4nGhb6X59b0KlU8JOnpubi2efM/ug7jP2wI/MttJNIOGAMl9tOfy117F7d+rdcM0WXolAxHwgwvlYCgSVvmjRj5gzd57lkaxFvZW2K6lYMZxsM9LSjU0a8wvykUN7BQWDRsLes4f2YmOoQuHDKco7XXaxMaRldqkIBD/K9O+kvdpatWxR7AGrx4zBnKdfNE6DoysyxKRy5GgqgaB/f+Pc85ARUfcQHdgZQqkmjZG9cSPwx94oetoavPVDD6PFvYOVGlligaAmG5vo0RDHSaXQ8uG/oln/AexKJEtcwdxcLBk7FgtfHoq0nGwEaMqS1VYLBn0f7OpB0ONoRtHsOXOxZMlStkhEGh6Rs9jHdIbApaBGgUjbV5xzztnRO1auXInxH09KyZmmmd5375Ckh+CwjVN4o5VATPlqKhYu/DHlY8uWLYV+tyY/NEoEwnmBIPt+OeUrw4bcl6Hixo4dY6PqX9GYCYXQoUNbtG3T2vIRx51ANGmMVq2KC8TiYcPxy9DXaUD+qAjEFzfegl2LI7FnKAT8pUsjmHsEyI/tP0NfgG+aMxOnFG6BYwm48AYbBCKxKEqDBb4gGt8xCA17dEO56tWRZXKodqQCednZ2LNpE7Z8NxcLhr6MrJygyotHuBI2C0SkZQsWLMD8H8y/EXCBq9xHAkVbDHTt2tnYOiI+UT/z7AvIzw9/gCp6US+mY4c2aNOmTfRPR7MHQYWYHThPbzVXdeqEs84K788Uf4lAHB8CQbWYPn06Fiz8CfRt69hdYWGhPZbom8Nphbu1WpXvFoFYNHQ4lg4dAV/hC67dPYjZL7yE9e+MjE6jLZYLjGlBPviqVME9i9WGl+hZtgsEfSw1zgYI+pCXFkJpEofMUsivfArqXtIe1es3RHpmFnJzcrBr3TosnTgZBX/sQkZ+PnL2HoQvVICQz290xZSXfR0lgSBQ69dvwBdffqU0Vmvl5GZ/pyRfo3oVXHfdtdFeQEQgNm7caMweSqWgRU/Aize0Tp2sehD0zAkTP8WyuHM84sshfyiTVQr9+98qAmFiAKeGmOLtS4vWXnjh30Dhx00df1H5Dfk5fbP764P3pvwgnex5IhBhKkd27caY9u2RUUB5NxmpEIIFIfSc8hmqNm2iYhrjXtsFgh4aG14J1yd+cCXahsLx+vDE1/BATPjbc/iDr9Z1FAWC6nPo0GF88810bP6NVnnzx1Wt2xJ3ymxhwFx99RWoVfOMhJ9GApkW0i1f8WvKxyabOXS0exAbNmzE6DGpRYsq2+eG61GpUvgbSuSSHkSMxfEgEFSbgwcPYeHCRcbwqr1+nuiyJA50/kSTxueDvrGpXG4RiMVDh2Hp0NejQ+ThHkQI7V56Ho0LF7Rx2m0Wv2+1aYeMnX8g6E8yk5GWrZXORN85c1AuxWxTs/KPikBwGnxU7jnKAhGp8++/78C8eT/gty1bCv/JHrHIysrEWWfWRps2raPbGsdziiQQ87MrQrjj9gHFtgI52gJB9TT7uEq9murVqqJz52tEIFI4//EiEJHqbdu2HTNmzjJ6z+HLHj+nJ9WuXRPXXXcNTjIZfuYkLrrHahbTUck1RR5K28kn+wYx6+lnsXnUOASNFcaFr8PBENr9+znbBGLd5M/x3cOPJF10SMsRsmrUwJ0/0CmT6ldUIJ6tXiuUlZvP+xisXs6x+cUxEoj4LvmIEW9gz9792uO2lDgzM9LQrFkznH/+eaacqNwRI0Zg567Up/RVq1YF/W5N3JKdHnosBGLLlq14591RJm0IGesyypUrF73HvAcRQo/uXVFP4YSzyIPtau+JPs2VeFkNIdI3iTfeeAsHDx0BbZGhc5GfZ2RkoEb1arjiisuMR1iVyxeIXIwaNTblNFed+qr+JtUspln/ehabaRv+oygQW3/8EV/edDPSaS+NIhfJUpdJH6Nm88RdXrnti+tB1Axl5uUVDu5oDvFwSz1q9wXQ9C571kGYVbGoY1OXnBYC0TYdc+d+b0xnjV3FZ3dQ17pOnTq4oGljYwrsySdXZM0eoXJ37txZ5PmJNa1YsWLSsVy7EqYZF2rX77//nnDLgQMHE/67bNkyxgf3aCLftw+5OblJH3vSSWWNbbuzNPa8squ9lBDpSNpUw55+fwCVK/8l1p69e7W9O+JX27ebn9dw+umnFyvDrvaaVT7CglZfT5gwyfD58E4IyX9F/lC9enVccEETlDEmWZQ3/D1y2SUQVM4ff/xheuBQfA3Jr3Svov4ceU7pMqVRNskphSunfoOdPyxCnj+EzMyM6OB5w+uuRa1m/F2hzexLRy7MeOYFY5C+aOZOC6Sj8/NP6zY39g3iXzVqh7Ly8gtP79J+nrM/DPlxwZ0D0N6GhXIqApHqXnLaI0eyw1uJ+P04/fTTjsmbfLL6HIsEIuUem57a8caZPmzTgjla/Em+TlvPkL9bXXYJhFU5Rf8u5fKJRXsQe/bs0e42CHB14PxfxO4UznxqIoh8VuJXfFZe9SufCATfSSSg+Ky8GlB8QvICoMNK/IpPzY58JQLB523bxzWFIo1b7TC0aplSrhoxSVx8XuLPfFZO+5UIBN9WkqgVWDnt2ApVjd4qiYtPTezLZ+VmvxKB4NtZBEKBlSQQPiw3JxB+K2VITYeV03HkC9FcMc3L6crrVFuCkU9N7MtnJX7FZyV+xWfltF+JQPBtJVNVFVg57dgKVY3eKomLT03sy2flZr8SgeDbWQRCgZUkED4sNycQfitjd0p7+dScjiMRCL6tRCAUWDnt2ApVlR6EBiyxLx+amwVRBIJvZxEIBVaSQPiw3JxA+K2UHoQOK6fjSARCwWoSyHxYTjs2v6aSmxMLNgAAC+BJREFUuHRYiX351NycN0Qg+HaWHoQCK0kgfFhuTiD8VooQ67ByOo5EIBSsJoHMh+W0Y/NrKolLh5XYl0/NzXlDBIJvZ+lBKLCSBMKH5eYEwm+lCLEOK6fjSARCwWoSyHxYTjs2v6aSuHRYiX351NycN0Qg+HaWHoQCK0kgfFhuTiD8VooQ67ByOo5EIBSsJoHMh+W0Y/NrKolLh5XYl0/NzXlDBIJvZ+lBKLCSBMKH5eYEwm+lCLEOK6fjSARCwWoSyHxYTjs2v6aSuHRYiX351NycN0Qg+HaWHoQCK0kgfFhuTiD8VooQ67ByOo7kPAgFqzltLIWqRm+V5MOnJvblsxK/4rNys1+JQPDtLAcGKbCSBMKH5eYEwm9l7E5pL5+a03EkAsG3lQiEAiunHVuhqtFbJXHxqYl9+azc7FciEHw7i0AosJIEwofl5gTCb6X0IHRYOR1HIhAKVpNA5sNy2rH5NZXEpcNK7Mun5ua8IQLBt7P0IBRYSQLhw3JzAuG3UoRYh5XTcSQCoWA1CWQ+LKcdm19TSVw6rMS+fGpuzhsiEHw7Sw9CgZUkED4sNycQfitFiHVYOR1HIhAKVpNA5sNy2rH5NZXEpcNK7Mun5ua8IQLBt7P0IBRYSQLhw3JzAuG3UoRYh5XTcSQCoWA1CWQ+LKcdm19TSVw6rMS+fGpuzhsiEHw7Sw9CgZUkED4sNycQfitFiHVYOR1HIhAKVpNA5sNy2rH5NZXEpcNK7Mun5ua8IQLBt7P0IBRYSQLhw3JzAuG3UoRYh5XTcSQCoWA1CWQ+LKcdm19TSVw6rMS+fGpuzhtyHgTfznIehAIrNweFQjOjt0p7+dREXPisnPYrEQi+rUQgFFg57dgKVY3eKomLT03sy2flZr8SgeDbWQRCgZUkED4sNycQfitjd0p7+dScjiMRCL6tRCAUWDnt2ApVlR6EBiyxLx+amwVRBIJvZxEIBVaSQPiw3JxA+K2UHoQOK6fjSARCwWoSyHxYTjs2v6aSuHRYiX351NycN0Qg+HaWHoQCK0kgfFhuTiD8VooQ67ByOo5EIBSsJoHMh+W0Y/NrKolLh5XYl0/NzXlDBIJvZ+lBKLCSBMKH5eYEwm+lCLEOK6fjSARCwWoSyHxYTjs2v6aSuHRYiX351NycN0Qg+HaWHoQCK0kgfFhuTiD8VooQ67ByOo5EIBSsJoHMh+W0Y/NrKolLh5XYl0/NzXlDBIJvZ+lBKLCSBMKH5eYEwm+lCLEOK6fjSARCwWoSyHxYTjs2v6aSuHRYiX351NycN0Qg+HaWHoQCK0kgfFhuTiD8VooQ67ByOo7kPAgFqzltLIWqRm+V5MOnJvblsxK/4rNys1+JQPDtLCfKKbCSBMKH5eYEwm9l7E5pL5+a03EkAsG3lQiEAiunHVuhqtFbJXHxqYl9+azc7FciEHw7i0AosJIEwofl5gTCb6X0IHRYOR1HIhAKVpNA5sNy2rH5NZXEpcNK7Mun5ua8IQLBt7P0IBRYSQLhw3JzAuG3UoRYh5XTcSQCoWA1CWQ+LKcdm19TSVw6rMS+fGpuzhsiEHw7Sw9CgZUkED4sNycQfitFiHVYOR1HIhAKVpNA5sNy2rH5NZXEpcNK7Mun5ua8IQLBt7P0IBRYSQLhw3JzAuG3UoRYh5XTcSQCoWA1CWQ+LKcdm19TSVw6rMS+fGpuzhsiEHw7Sw9CgZUkED4sNycQfitFiHVYOR1HIhAKVpNA5sNy2rH5NZXEpcNK7Mun5ua8IQLBt7P0IBRYSQLhw3JzAuG3UoRYh5XTcSQCoWA1CWQ+LKcdm19TSVw6rMS+fGpuzhtyHgTfznIehAIrNweFQjOjt0p7+dREXPisnPYrEQi+rUQgFFg57dgKVY3eKomLT03sy2flZr8SgeDbWQRCgZUkED4sNycQfitjd0p7+dScjiMRCL6tRCAUWDnt2ApVlR6EBiyxLx+amwVRBIJvZxEIBVaSQPiw3JxA+K2UHoQOK6fjSARCwWoSyHxYTjs2v6aSuHRYiX351NycN0Qg+HaWHoQCK0kgfFhuTiD8VooQ67ByOo5EIBSsJoHMh+W0Y/NrKolLh5XYl0/NzXlDBIJvZ+lBKLCSBMKH5eYEwm+lCLEOK6fjSARCwWoSyHxYTjs2v6aSuHRYiX351NycN0Qg+HaWHoQCK0kgfFhuTiD8VooQ67ByOo5EIBSsJoHMh+W0Y/NrKolLh5XYl0/NzXlDBIJvZ+lBKLCSBMKH5eYEwm+lCLEOK6fjSARCwWoSyHxYTjs2v6aSuHRYiX351NycN0Qg+HaWHoQCK0kgfFhuTiD8VooQ67ByOo7kPAgFqzltLIWqRm+V5MOnJvblsxK/4rNys1+JQPDtLCfKKbCSBMKH5eYEwm9l7E5pL5+a03EkAsG3lQiEAiunHVuhqtFbJXHxqYl9+azc7FciEHw7i0AosJIEwofl5gTCb6X0IHRYOR1HIhAKVpNA5sNy2rH5NZXEpcNK7Mun5ua8IQLBt7P0IBRYSQLhw3JzAuG3UoRYh5XTcSQCoWA1CWQ+LKcdm19TSVw6rMS+fGpuzhsiEHw7Sw9CgZUkED4sNycQfitFiHVYOR1HIhAKVpNA5sNy2rH5NZXEpcNK7Mun5ua8IQLBt7P0IBRYSQLhw3JzAuG3UoRYh5XTcSQCoWA1CWQ+LKcdm19TSVw6rMS+fGpuzhsiEHw7Sw9CgZUkED4sNycQfitFiHVYOR1HIhAKVpNA5sNy2rH5NZXEpcNK7Mun5ua8IQLBt7P0IBRYSQLhw3JzAuG3UoRYh5XTcSQCoWA1CWQ+LKcdm19TSVw6rMS+fGpuzhtyHgTfznIehAIrNweFQjOjt0p7+dREXPisnPYrEQi+rUQgFFg57dgKVY3eKomLT03sy2flZr8SgeDbWQRCgZUkED4sNycQfitjd0p7+dScjiMRCL6tRCAUWDnt2ApVlR6EBiyxLx+amwVRBIJvZxEIBVaSQPiw3JxA+K2UHoQOK6fjSARCwWoSyHxYTjs2v6aSuHRYiX351NycN0Qg+HaWHoQCK0kgfFhuTiD8VooQ67ByOo5EIBSsJoHMh+W0Y/NrKolLh5XYl0/NzXlDBIJvZ+lBKLCSBMKH5eYEwm+lCLEOK6fjSARCwWoSyHxYTjs2v6aSuHRYiX351NycN0Qg+HaWHoQCK0kgfFhuTiD8VooQ67ByOo5EIBSsJoHMh+W0Y/NrKolLh5XYl0/NzXlDBIJvZ+lBKLCSBMKH5eYEwm+lCLEOK6fjSARCwWoSyHxYTjs2v6aSuHRYiX351NycN0Qg+HaWHoQCK0kgfFhuTiD8VooQ67ByOo7kPAgFqzltLIWqRm+V5MOnJvblsxK/4rNys1+JQPDtLCfKKbCSBMKH5eYEwm9l7E5pL5+a03EkAsG3lQiEAiunHVuhqtFbJXHxqYl9+azc7FciEHw7i0AosJIEwofl5gTCb6X0IHRYOR1HIhAKVpNA5sNy2rH5NZXEpcNK7Mun5ua8IQLBt7P0IBRYSQLhw3JzAuG3UoRYh5XTcSQCoWA1CWQ+LKcdm19TSVw6rMS+fGpuzhsiEHw7Sw9CgZUkED4sNycQfitFiHVYOR1HIhAKVpNA5sNy2rH5NZXEpcNK7Mun5ua8IQLBt7P0IBRYSQLhw3JzAuG3UoRYh5XTcSQCoWA1CWQ+LKcdm19TSVw6rMS+fGpuzhsiEHw7Sw9CgZUkED4sNycQfitFiHVYOR1HIhAKVpNA5sNy2rH5NZXEpcNK7Mun5ua8IQLBt7P0IBRYSQLhw3JzAuG3UoRYh5XTcSQCoWA1CWQ+LKcdm19TSVw6rMS+fGpuzhtyHgTfznIehAIrNweFQjOjt0p7+dREXPisnPYrEQi+rUQgFFg57dgKVY3eKomLT03sy2flZr8SgeDbWQRCgZUkED4sNycQfitjd0p7+dScjiMRCL6tRCAUWDnt2ApVlR6EBiyxLx+amwVRBIJvZxEIBVaSQPiw3JxA+K2UHoQOK6fjSARCwWoSyHxYTjs2v6aSuHRYiX351NycN/4fgY8Z3POHXo8AAAAASUVORK5CYII=">
          <a:extLst>
            <a:ext uri="{FF2B5EF4-FFF2-40B4-BE49-F238E27FC236}">
              <a16:creationId xmlns:a16="http://schemas.microsoft.com/office/drawing/2014/main" id="{07B18D8C-2704-0E45-A492-D51A3E217DCC}"/>
            </a:ext>
          </a:extLst>
        </xdr:cNvPr>
        <xdr:cNvSpPr>
          <a:spLocks noChangeAspect="1" noChangeArrowheads="1"/>
        </xdr:cNvSpPr>
      </xdr:nvSpPr>
      <xdr:spPr bwMode="auto">
        <a:xfrm>
          <a:off x="5346700" y="6438900"/>
          <a:ext cx="304800" cy="307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773544</xdr:colOff>
      <xdr:row>4</xdr:row>
      <xdr:rowOff>138546</xdr:rowOff>
    </xdr:from>
    <xdr:to>
      <xdr:col>8</xdr:col>
      <xdr:colOff>394854</xdr:colOff>
      <xdr:row>10</xdr:row>
      <xdr:rowOff>22224</xdr:rowOff>
    </xdr:to>
    <xdr:pic>
      <xdr:nvPicPr>
        <xdr:cNvPr id="4" name="Picture 3" descr="Darling Ingredients: We Create Solutions That Sustain Life">
          <a:extLst>
            <a:ext uri="{FF2B5EF4-FFF2-40B4-BE49-F238E27FC236}">
              <a16:creationId xmlns:a16="http://schemas.microsoft.com/office/drawing/2014/main" id="{DEA0857D-F16E-7CD5-89BA-FCC894815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180" y="831273"/>
          <a:ext cx="3754583" cy="899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ukhanov_a_northeastern_edu/Documents/Book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come Statement"/>
      <sheetName val="Revenue Build"/>
      <sheetName val="WACC"/>
      <sheetName val="Supporting Schedules"/>
      <sheetName val="DCF"/>
    </sheetNames>
    <sheetDataSet>
      <sheetData sheetId="0"/>
      <sheetData sheetId="1"/>
      <sheetData sheetId="2">
        <row r="11">
          <cell r="D11">
            <v>25032</v>
          </cell>
          <cell r="E11">
            <v>42289</v>
          </cell>
          <cell r="F11">
            <v>38599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F2EF-B7F3-C948-B435-9A309D102884}">
  <sheetPr>
    <tabColor theme="1"/>
  </sheetPr>
  <dimension ref="A3:W39"/>
  <sheetViews>
    <sheetView showGridLines="0" tabSelected="1" topLeftCell="B1" zoomScale="110" workbookViewId="0">
      <selection activeCell="H21" sqref="H21"/>
    </sheetView>
  </sheetViews>
  <sheetFormatPr defaultColWidth="8.875" defaultRowHeight="12.95"/>
  <cols>
    <col min="1" max="1" width="2.375" style="307" hidden="1" customWidth="1"/>
    <col min="2" max="2" width="2.375" style="307" customWidth="1"/>
    <col min="3" max="3" width="3.625" style="307" customWidth="1"/>
    <col min="4" max="5" width="12.875" style="307" customWidth="1"/>
    <col min="6" max="6" width="15.625" style="307" customWidth="1"/>
    <col min="7" max="10" width="12.875" style="307" customWidth="1"/>
    <col min="11" max="11" width="3.625" style="307" customWidth="1"/>
    <col min="12" max="16" width="12.875" style="307" customWidth="1"/>
    <col min="17" max="22" width="8.875" style="307"/>
    <col min="23" max="23" width="0" style="307" hidden="1" customWidth="1"/>
    <col min="24" max="16384" width="8.875" style="307"/>
  </cols>
  <sheetData>
    <row r="3" spans="4:23">
      <c r="D3" s="304"/>
      <c r="E3" s="305"/>
      <c r="F3" s="305"/>
      <c r="G3" s="305"/>
      <c r="H3" s="305"/>
      <c r="I3" s="305"/>
      <c r="J3" s="306"/>
    </row>
    <row r="4" spans="4:23" ht="15.95">
      <c r="D4" s="308"/>
      <c r="E4" s="309"/>
      <c r="F4" s="309"/>
      <c r="G4" s="310" t="s">
        <v>0</v>
      </c>
      <c r="H4" s="309"/>
      <c r="I4" s="309"/>
      <c r="J4" s="311"/>
    </row>
    <row r="5" spans="4:23">
      <c r="D5" s="308"/>
      <c r="E5" s="312"/>
      <c r="F5" s="312"/>
      <c r="G5" s="312"/>
      <c r="H5" s="312"/>
      <c r="I5" s="312"/>
      <c r="J5" s="313"/>
    </row>
    <row r="6" spans="4:23">
      <c r="D6" s="308"/>
      <c r="E6" s="312"/>
      <c r="F6" s="312"/>
      <c r="G6" s="312"/>
      <c r="H6" s="312"/>
      <c r="I6" s="312"/>
      <c r="J6" s="313"/>
    </row>
    <row r="7" spans="4:23">
      <c r="D7" s="308"/>
      <c r="E7" s="312"/>
      <c r="F7" s="312"/>
      <c r="G7" s="312"/>
      <c r="H7" s="312"/>
      <c r="I7" s="312"/>
      <c r="J7" s="313"/>
    </row>
    <row r="8" spans="4:23">
      <c r="D8" s="308"/>
      <c r="E8" s="312"/>
      <c r="F8" s="312"/>
      <c r="G8" s="312"/>
      <c r="H8" s="312"/>
      <c r="I8" s="312"/>
      <c r="J8" s="313"/>
    </row>
    <row r="9" spans="4:23">
      <c r="D9" s="308"/>
      <c r="E9" s="312"/>
      <c r="F9" s="312"/>
      <c r="G9" s="312"/>
      <c r="H9" s="312"/>
      <c r="I9" s="312"/>
      <c r="J9" s="313"/>
    </row>
    <row r="10" spans="4:23" ht="15.95">
      <c r="D10" s="308"/>
      <c r="E10" s="312"/>
      <c r="F10" s="312"/>
      <c r="G10" s="312"/>
      <c r="H10" s="312"/>
      <c r="I10" s="312"/>
      <c r="J10" s="313"/>
      <c r="L10"/>
      <c r="W10" s="307" t="s">
        <v>1</v>
      </c>
    </row>
    <row r="11" spans="4:23">
      <c r="D11" s="308"/>
      <c r="E11" s="312"/>
      <c r="F11" s="312"/>
      <c r="G11" s="312"/>
      <c r="H11" s="312"/>
      <c r="I11" s="312"/>
      <c r="J11" s="313"/>
      <c r="W11" s="307" t="s">
        <v>2</v>
      </c>
    </row>
    <row r="12" spans="4:23" ht="15.95">
      <c r="D12" s="308"/>
      <c r="E12" s="314"/>
      <c r="F12" s="314"/>
      <c r="G12" s="315" t="s">
        <v>3</v>
      </c>
      <c r="H12" s="312"/>
      <c r="I12" s="312"/>
      <c r="J12" s="313"/>
      <c r="L12"/>
      <c r="W12" s="307" t="s">
        <v>4</v>
      </c>
    </row>
    <row r="13" spans="4:23" ht="15.95">
      <c r="D13" s="308"/>
      <c r="E13" s="314"/>
      <c r="F13" s="314"/>
      <c r="G13" s="315" t="s">
        <v>5</v>
      </c>
      <c r="H13" s="312"/>
      <c r="I13" s="312"/>
      <c r="J13" s="313"/>
    </row>
    <row r="14" spans="4:23" ht="15.95">
      <c r="D14" s="308"/>
      <c r="E14" s="314"/>
      <c r="F14" s="314"/>
      <c r="G14" s="315" t="s">
        <v>6</v>
      </c>
      <c r="H14" s="312"/>
      <c r="I14" s="312"/>
      <c r="J14" s="313"/>
      <c r="M14"/>
    </row>
    <row r="15" spans="4:23" ht="15.95">
      <c r="D15" s="308"/>
      <c r="E15" s="314"/>
      <c r="F15" s="314"/>
      <c r="G15" s="315">
        <v>2022</v>
      </c>
      <c r="H15" s="312"/>
      <c r="I15" s="312"/>
      <c r="J15" s="313"/>
    </row>
    <row r="16" spans="4:23" ht="15.95">
      <c r="D16" s="308"/>
      <c r="E16" s="314"/>
      <c r="F16" s="314"/>
      <c r="G16" s="315"/>
      <c r="H16" s="312"/>
      <c r="I16" s="312"/>
      <c r="J16" s="313"/>
    </row>
    <row r="17" spans="4:14">
      <c r="D17" s="652" t="s">
        <v>7</v>
      </c>
      <c r="E17" s="653"/>
      <c r="F17" s="653"/>
      <c r="G17" s="653"/>
      <c r="H17" s="653"/>
      <c r="I17" s="653"/>
      <c r="J17" s="654"/>
    </row>
    <row r="18" spans="4:14">
      <c r="D18" s="652"/>
      <c r="E18" s="653"/>
      <c r="F18" s="653"/>
      <c r="G18" s="653"/>
      <c r="H18" s="653"/>
      <c r="I18" s="653"/>
      <c r="J18" s="654"/>
    </row>
    <row r="19" spans="4:14">
      <c r="D19" s="652"/>
      <c r="E19" s="653"/>
      <c r="F19" s="653"/>
      <c r="G19" s="653"/>
      <c r="H19" s="653"/>
      <c r="I19" s="653"/>
      <c r="J19" s="654"/>
    </row>
    <row r="20" spans="4:14">
      <c r="D20" s="316"/>
      <c r="E20" s="317"/>
      <c r="F20" s="317"/>
      <c r="G20" s="317"/>
      <c r="H20" s="317"/>
      <c r="I20" s="317"/>
      <c r="J20" s="318"/>
    </row>
    <row r="21" spans="4:14" ht="14.1">
      <c r="D21" s="308"/>
      <c r="E21" s="312"/>
      <c r="F21" s="325" t="s">
        <v>8</v>
      </c>
      <c r="G21" s="319"/>
      <c r="H21" s="344" t="s">
        <v>2</v>
      </c>
      <c r="I21" s="312"/>
      <c r="J21" s="313"/>
    </row>
    <row r="22" spans="4:14" ht="14.1">
      <c r="D22" s="316"/>
      <c r="E22" s="312"/>
      <c r="F22" s="325" t="s">
        <v>9</v>
      </c>
      <c r="G22" s="319"/>
      <c r="H22" s="345">
        <f ca="1">'DCF Analysis'!C17</f>
        <v>0.9913145917131635</v>
      </c>
      <c r="I22" s="317"/>
      <c r="J22" s="318"/>
    </row>
    <row r="23" spans="4:14" ht="14.1">
      <c r="D23" s="316"/>
      <c r="E23" s="312"/>
      <c r="F23" s="325" t="s">
        <v>10</v>
      </c>
      <c r="G23" s="319"/>
      <c r="H23" s="346" t="str">
        <f ca="1">IF(H22&gt;0,"BUY","SELL")</f>
        <v>BUY</v>
      </c>
      <c r="I23" s="317" t="s">
        <v>11</v>
      </c>
      <c r="J23" s="318"/>
    </row>
    <row r="24" spans="4:14">
      <c r="D24" s="316"/>
      <c r="E24" s="312"/>
      <c r="F24" s="325"/>
      <c r="G24" s="319"/>
      <c r="H24" s="346"/>
      <c r="I24" s="317"/>
      <c r="J24" s="318"/>
    </row>
    <row r="25" spans="4:14" ht="15">
      <c r="D25" s="320"/>
      <c r="E25" s="321"/>
      <c r="F25" s="321"/>
      <c r="G25" s="321"/>
      <c r="H25" s="353"/>
      <c r="I25" s="321"/>
      <c r="J25" s="322"/>
      <c r="N25" s="323"/>
    </row>
    <row r="26" spans="4:14">
      <c r="D26" s="324"/>
      <c r="E26" s="324"/>
      <c r="F26" s="324"/>
      <c r="G26" s="324"/>
      <c r="H26" s="324"/>
      <c r="I26" s="324"/>
      <c r="J26" s="324"/>
    </row>
    <row r="27" spans="4:14">
      <c r="D27" s="324"/>
      <c r="E27" s="324"/>
      <c r="F27" s="324"/>
      <c r="G27" s="324"/>
      <c r="H27" s="324"/>
      <c r="I27" s="324"/>
      <c r="J27" s="324"/>
    </row>
    <row r="28" spans="4:14">
      <c r="D28" s="324"/>
      <c r="E28" s="324"/>
      <c r="F28" s="324"/>
      <c r="G28" s="324"/>
      <c r="H28" s="324"/>
      <c r="I28" s="324"/>
      <c r="J28" s="324"/>
    </row>
    <row r="29" spans="4:14" ht="15">
      <c r="D29" s="323"/>
      <c r="E29" s="324"/>
      <c r="F29" s="324"/>
      <c r="G29" s="324"/>
      <c r="H29" s="324"/>
      <c r="I29" s="324"/>
      <c r="J29" s="324"/>
    </row>
    <row r="30" spans="4:14">
      <c r="D30" s="324"/>
      <c r="E30" s="324"/>
      <c r="F30" s="324"/>
      <c r="G30" s="324"/>
      <c r="H30" s="324"/>
      <c r="I30" s="324"/>
      <c r="J30" s="324"/>
    </row>
    <row r="31" spans="4:14">
      <c r="D31" s="324"/>
      <c r="E31" s="324"/>
      <c r="F31" s="324"/>
      <c r="G31" s="324"/>
      <c r="H31" s="324"/>
      <c r="I31" s="324"/>
      <c r="J31" s="324"/>
    </row>
    <row r="32" spans="4:14">
      <c r="D32" s="324"/>
      <c r="E32" s="324"/>
      <c r="F32" s="324"/>
      <c r="G32" s="324"/>
      <c r="H32" s="324"/>
      <c r="I32" s="324"/>
      <c r="J32" s="324"/>
    </row>
    <row r="39" spans="9:9" ht="15">
      <c r="I39" s="323"/>
    </row>
  </sheetData>
  <mergeCells count="1">
    <mergeCell ref="D17:J19"/>
  </mergeCells>
  <dataValidations count="1">
    <dataValidation type="list" allowBlank="1" showInputMessage="1" showErrorMessage="1" sqref="G21:H21" xr:uid="{77C2923F-E57F-B543-9775-FB6F9CBFA444}">
      <formula1>$W$10:$W$12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1:R181"/>
  <sheetViews>
    <sheetView showGridLines="0" zoomScale="83" zoomScaleNormal="85" workbookViewId="0">
      <selection activeCell="B11" sqref="B11"/>
    </sheetView>
  </sheetViews>
  <sheetFormatPr defaultColWidth="11" defaultRowHeight="15.95" outlineLevelRow="1"/>
  <cols>
    <col min="1" max="1" width="2.5" customWidth="1"/>
    <col min="2" max="2" width="72.375" customWidth="1"/>
    <col min="3" max="5" width="11.5" bestFit="1" customWidth="1"/>
    <col min="6" max="6" width="13.625" bestFit="1" customWidth="1"/>
    <col min="7" max="7" width="15.625" bestFit="1" customWidth="1"/>
    <col min="8" max="11" width="19.5" bestFit="1" customWidth="1"/>
    <col min="12" max="12" width="9" bestFit="1" customWidth="1"/>
    <col min="17" max="17" width="15.125" bestFit="1" customWidth="1"/>
  </cols>
  <sheetData>
    <row r="1" spans="2:18">
      <c r="B1" t="s">
        <v>11</v>
      </c>
    </row>
    <row r="2" spans="2:18" ht="24">
      <c r="B2" s="583" t="s">
        <v>12</v>
      </c>
      <c r="C2" s="541"/>
      <c r="D2" s="541"/>
      <c r="E2" s="541"/>
      <c r="F2" s="541"/>
      <c r="G2" s="541"/>
      <c r="H2" s="541"/>
      <c r="I2" s="541"/>
      <c r="J2" s="541"/>
      <c r="K2" s="541"/>
    </row>
    <row r="3" spans="2:18">
      <c r="B3" s="541" t="s">
        <v>13</v>
      </c>
      <c r="C3" s="584" t="s">
        <v>14</v>
      </c>
      <c r="D3" s="543" t="s">
        <v>15</v>
      </c>
      <c r="E3" s="543" t="s">
        <v>16</v>
      </c>
      <c r="F3" s="543" t="s">
        <v>17</v>
      </c>
      <c r="G3" s="544" t="s">
        <v>18</v>
      </c>
      <c r="H3" s="544" t="s">
        <v>19</v>
      </c>
      <c r="I3" s="544" t="s">
        <v>20</v>
      </c>
      <c r="J3" s="544" t="s">
        <v>21</v>
      </c>
      <c r="K3" s="544" t="s">
        <v>22</v>
      </c>
    </row>
    <row r="4" spans="2:18">
      <c r="B4" s="545" t="s">
        <v>23</v>
      </c>
      <c r="C4" s="545"/>
      <c r="D4" s="546"/>
      <c r="E4" s="546"/>
      <c r="F4" s="546"/>
      <c r="G4" s="546"/>
      <c r="H4" s="546"/>
      <c r="I4" s="546"/>
      <c r="J4" s="546"/>
      <c r="K4" s="546"/>
      <c r="R4" s="21"/>
    </row>
    <row r="5" spans="2:18">
      <c r="R5" s="22"/>
    </row>
    <row r="6" spans="2:18">
      <c r="B6" s="12" t="s">
        <v>24</v>
      </c>
      <c r="C6" s="12"/>
      <c r="R6" s="23"/>
    </row>
    <row r="7" spans="2:18" outlineLevel="1">
      <c r="B7" t="s">
        <v>25</v>
      </c>
      <c r="C7" s="24">
        <v>1952555</v>
      </c>
      <c r="D7" s="24">
        <v>1970561</v>
      </c>
      <c r="E7" s="24">
        <v>2072104</v>
      </c>
      <c r="F7" s="31">
        <v>3039500</v>
      </c>
      <c r="G7" s="127">
        <f>'Scenario Analysis'!C6</f>
        <v>4636757.2499999991</v>
      </c>
      <c r="H7" s="127">
        <f>'Scenario Analysis'!D6</f>
        <v>5069383.6107012089</v>
      </c>
      <c r="I7" s="127">
        <f>'Scenario Analysis'!E6</f>
        <v>5269655.9410539744</v>
      </c>
      <c r="J7" s="127">
        <f>'Scenario Analysis'!F6</f>
        <v>5477840.2799239596</v>
      </c>
      <c r="K7" s="127">
        <f>'Scenario Analysis'!G6</f>
        <v>5694249.2010884145</v>
      </c>
    </row>
    <row r="8" spans="2:18" outlineLevel="1">
      <c r="B8" t="s">
        <v>26</v>
      </c>
      <c r="C8" s="24">
        <v>1139126</v>
      </c>
      <c r="D8" s="24">
        <v>1119085</v>
      </c>
      <c r="E8" s="24">
        <v>1185701</v>
      </c>
      <c r="F8" s="31">
        <v>1271629</v>
      </c>
      <c r="G8" s="127">
        <f>'Scenario Analysis'!C7</f>
        <v>1417728.9133333333</v>
      </c>
      <c r="H8" s="127">
        <f>'Scenario Analysis'!D7</f>
        <v>1722300</v>
      </c>
      <c r="I8" s="127">
        <f>'Scenario Analysis'!E7</f>
        <v>1829800</v>
      </c>
      <c r="J8" s="127">
        <f>'Scenario Analysis'!F7</f>
        <v>1744292.5081248044</v>
      </c>
      <c r="K8" s="127">
        <f>'Scenario Analysis'!G7</f>
        <v>1773955.0858279243</v>
      </c>
    </row>
    <row r="9" spans="2:18" outlineLevel="1">
      <c r="B9" t="s">
        <v>27</v>
      </c>
      <c r="C9" s="24">
        <v>296045</v>
      </c>
      <c r="D9" s="24">
        <v>274529</v>
      </c>
      <c r="E9" s="24">
        <v>314118</v>
      </c>
      <c r="F9" s="31">
        <v>430240</v>
      </c>
      <c r="G9" s="127">
        <f>'Scenario Analysis'!C8</f>
        <v>445439.57250000001</v>
      </c>
      <c r="H9" s="127">
        <f>'Scenario Analysis'!D8</f>
        <v>412744.30787849997</v>
      </c>
      <c r="I9" s="127">
        <f>'Scenario Analysis'!E8</f>
        <v>382448.87568021804</v>
      </c>
      <c r="J9" s="127">
        <f>'Scenario Analysis'!F8</f>
        <v>354377.12820529006</v>
      </c>
      <c r="K9" s="127">
        <f>'Scenario Analysis'!G8</f>
        <v>328365.8469950218</v>
      </c>
    </row>
    <row r="10" spans="2:18">
      <c r="B10" s="12" t="s">
        <v>28</v>
      </c>
      <c r="C10" s="15">
        <f>SUM(C7:C9)</f>
        <v>3387726</v>
      </c>
      <c r="D10" s="15">
        <f t="shared" ref="D10:F10" si="0">SUM(D7:D9)</f>
        <v>3364175</v>
      </c>
      <c r="E10" s="15">
        <f t="shared" si="0"/>
        <v>3571923</v>
      </c>
      <c r="F10" s="32">
        <f t="shared" si="0"/>
        <v>4741369</v>
      </c>
      <c r="G10" s="15">
        <f>SUM(G7:G9)</f>
        <v>6499925.7358333319</v>
      </c>
      <c r="H10" s="15">
        <f t="shared" ref="H10:K10" si="1">SUM(H7:H9)</f>
        <v>7204427.9185797088</v>
      </c>
      <c r="I10" s="15">
        <f t="shared" si="1"/>
        <v>7481904.8167341929</v>
      </c>
      <c r="J10" s="15">
        <f t="shared" si="1"/>
        <v>7576509.9162540538</v>
      </c>
      <c r="K10" s="15">
        <f t="shared" si="1"/>
        <v>7796570.133911361</v>
      </c>
    </row>
    <row r="11" spans="2:18">
      <c r="C11" s="14"/>
      <c r="D11" s="14"/>
      <c r="E11" s="14"/>
      <c r="F11" s="570"/>
    </row>
    <row r="12" spans="2:18">
      <c r="B12" s="12" t="s">
        <v>29</v>
      </c>
      <c r="C12" s="15"/>
      <c r="D12" s="14"/>
      <c r="E12" s="14"/>
      <c r="F12" s="570"/>
    </row>
    <row r="13" spans="2:18" outlineLevel="1">
      <c r="B13" t="s">
        <v>25</v>
      </c>
      <c r="C13" s="25">
        <f>-1497973</f>
        <v>-1497973</v>
      </c>
      <c r="D13" s="25">
        <v>-1519596</v>
      </c>
      <c r="E13" s="25">
        <v>-1544524</v>
      </c>
      <c r="F13" s="33">
        <v>-2206248</v>
      </c>
      <c r="G13" s="73">
        <f t="shared" ref="G13:K15" si="2">G7*G69</f>
        <v>-3342447.5377499992</v>
      </c>
      <c r="H13" s="73">
        <f t="shared" si="2"/>
        <v>-3628963.1641701125</v>
      </c>
      <c r="I13" s="73">
        <f t="shared" si="2"/>
        <v>-3745981.6062332443</v>
      </c>
      <c r="J13" s="73">
        <f t="shared" si="2"/>
        <v>-3866582.0862921858</v>
      </c>
      <c r="K13" s="73">
        <f t="shared" si="2"/>
        <v>-3990864.9943198571</v>
      </c>
    </row>
    <row r="14" spans="2:18" outlineLevel="1">
      <c r="B14" t="s">
        <v>26</v>
      </c>
      <c r="C14" s="25">
        <v>-918141</v>
      </c>
      <c r="D14" s="25">
        <v>-864618</v>
      </c>
      <c r="E14" s="25">
        <v>-920682</v>
      </c>
      <c r="F14" s="33">
        <v>-979232</v>
      </c>
      <c r="G14" s="73">
        <f t="shared" si="2"/>
        <v>-1084649.2123564035</v>
      </c>
      <c r="H14" s="73">
        <f t="shared" si="2"/>
        <v>-1309053.196595076</v>
      </c>
      <c r="I14" s="73">
        <f t="shared" si="2"/>
        <v>-1381610.7626021425</v>
      </c>
      <c r="J14" s="73">
        <f t="shared" si="2"/>
        <v>-1308325.9209720632</v>
      </c>
      <c r="K14" s="73">
        <f t="shared" si="2"/>
        <v>-1321704.8905848663</v>
      </c>
    </row>
    <row r="15" spans="2:18" outlineLevel="1">
      <c r="B15" t="s">
        <v>27</v>
      </c>
      <c r="C15" s="25">
        <v>-230260</v>
      </c>
      <c r="D15" s="25">
        <v>-204871</v>
      </c>
      <c r="E15" s="25">
        <v>-223609</v>
      </c>
      <c r="F15" s="33">
        <v>-313905</v>
      </c>
      <c r="G15" s="73">
        <f t="shared" si="2"/>
        <v>-324994.67507812503</v>
      </c>
      <c r="H15" s="73">
        <f t="shared" si="2"/>
        <v>-301140.06592739059</v>
      </c>
      <c r="I15" s="73">
        <f t="shared" si="2"/>
        <v>-279036.38508832012</v>
      </c>
      <c r="J15" s="73">
        <f t="shared" si="2"/>
        <v>-258555.11442283745</v>
      </c>
      <c r="K15" s="73">
        <f t="shared" si="2"/>
        <v>-239577.1690242012</v>
      </c>
    </row>
    <row r="16" spans="2:18">
      <c r="B16" s="12" t="s">
        <v>30</v>
      </c>
      <c r="C16" s="15">
        <f>SUM(C13:C15)</f>
        <v>-2646374</v>
      </c>
      <c r="D16" s="15">
        <f>SUM(D13:D15)</f>
        <v>-2589085</v>
      </c>
      <c r="E16" s="15">
        <f>SUM(E13:E15)</f>
        <v>-2688815</v>
      </c>
      <c r="F16" s="32">
        <f>SUM(F13:F15)</f>
        <v>-3499385</v>
      </c>
      <c r="G16" s="14">
        <f>SUM(G13:G15)</f>
        <v>-4752091.4251845274</v>
      </c>
      <c r="H16" s="14">
        <f t="shared" ref="H16:K16" si="3">SUM(H13:H15)</f>
        <v>-5239156.4266925799</v>
      </c>
      <c r="I16" s="14">
        <f t="shared" si="3"/>
        <v>-5406628.7539237067</v>
      </c>
      <c r="J16" s="14">
        <f t="shared" si="3"/>
        <v>-5433463.1216870863</v>
      </c>
      <c r="K16" s="14">
        <f t="shared" si="3"/>
        <v>-5552147.0539289247</v>
      </c>
    </row>
    <row r="17" spans="2:11">
      <c r="B17" s="12"/>
      <c r="C17" s="15"/>
      <c r="D17" s="15"/>
      <c r="E17" s="15"/>
      <c r="F17" s="32"/>
      <c r="G17" s="14"/>
      <c r="H17" s="14"/>
      <c r="I17" s="14"/>
      <c r="J17" s="14"/>
      <c r="K17" s="14"/>
    </row>
    <row r="18" spans="2:11">
      <c r="B18" s="12" t="s">
        <v>31</v>
      </c>
      <c r="C18" s="15"/>
      <c r="D18" s="15"/>
      <c r="E18" s="15"/>
      <c r="F18" s="32"/>
      <c r="G18" s="14"/>
      <c r="H18" s="14"/>
      <c r="I18" s="14"/>
      <c r="J18" s="14"/>
      <c r="K18" s="14"/>
    </row>
    <row r="19" spans="2:11" outlineLevel="1">
      <c r="B19" t="s">
        <v>25</v>
      </c>
      <c r="C19" s="14">
        <f t="shared" ref="C19:G20" si="4">C7+C13</f>
        <v>454582</v>
      </c>
      <c r="D19" s="14">
        <f t="shared" si="4"/>
        <v>450965</v>
      </c>
      <c r="E19" s="14">
        <f t="shared" si="4"/>
        <v>527580</v>
      </c>
      <c r="F19" s="570">
        <f t="shared" si="4"/>
        <v>833252</v>
      </c>
      <c r="G19" s="14">
        <f t="shared" si="4"/>
        <v>1294309.7122499999</v>
      </c>
      <c r="H19" s="14">
        <f t="shared" ref="H19:K19" si="5">H7+H13</f>
        <v>1440420.4465310965</v>
      </c>
      <c r="I19" s="14">
        <f t="shared" si="5"/>
        <v>1523674.3348207301</v>
      </c>
      <c r="J19" s="14">
        <f t="shared" si="5"/>
        <v>1611258.1936317738</v>
      </c>
      <c r="K19" s="14">
        <f t="shared" si="5"/>
        <v>1703384.2067685574</v>
      </c>
    </row>
    <row r="20" spans="2:11" outlineLevel="1">
      <c r="B20" t="s">
        <v>26</v>
      </c>
      <c r="C20" s="14">
        <f t="shared" si="4"/>
        <v>220985</v>
      </c>
      <c r="D20" s="14">
        <f t="shared" si="4"/>
        <v>254467</v>
      </c>
      <c r="E20" s="14">
        <f t="shared" si="4"/>
        <v>265019</v>
      </c>
      <c r="F20" s="570">
        <f t="shared" si="4"/>
        <v>292397</v>
      </c>
      <c r="G20" s="14">
        <f t="shared" si="4"/>
        <v>333079.70097692986</v>
      </c>
      <c r="H20" s="14">
        <f t="shared" ref="H20:K20" si="6">H8+H14</f>
        <v>413246.80340492399</v>
      </c>
      <c r="I20" s="14">
        <f t="shared" si="6"/>
        <v>448189.23739785748</v>
      </c>
      <c r="J20" s="14">
        <f t="shared" si="6"/>
        <v>435966.58715274115</v>
      </c>
      <c r="K20" s="14">
        <f t="shared" si="6"/>
        <v>452250.19524305803</v>
      </c>
    </row>
    <row r="21" spans="2:11" outlineLevel="1">
      <c r="B21" t="s">
        <v>27</v>
      </c>
      <c r="C21" s="14">
        <f t="shared" ref="C21:E21" si="7">C9+C15</f>
        <v>65785</v>
      </c>
      <c r="D21" s="14">
        <f t="shared" si="7"/>
        <v>69658</v>
      </c>
      <c r="E21" s="14">
        <f t="shared" si="7"/>
        <v>90509</v>
      </c>
      <c r="F21" s="570">
        <f>F9+F15</f>
        <v>116335</v>
      </c>
      <c r="G21" s="14">
        <f t="shared" ref="G21:K21" si="8">G9+G15</f>
        <v>120444.89742187498</v>
      </c>
      <c r="H21" s="14">
        <f t="shared" si="8"/>
        <v>111604.24195110938</v>
      </c>
      <c r="I21" s="14">
        <f t="shared" si="8"/>
        <v>103412.49059189792</v>
      </c>
      <c r="J21" s="14">
        <f t="shared" si="8"/>
        <v>95822.013782452617</v>
      </c>
      <c r="K21" s="14">
        <f t="shared" si="8"/>
        <v>88788.677970820601</v>
      </c>
    </row>
    <row r="22" spans="2:11">
      <c r="B22" s="18" t="s">
        <v>32</v>
      </c>
      <c r="C22" s="19">
        <f>C16+C10</f>
        <v>741352</v>
      </c>
      <c r="D22" s="19">
        <f>D16+D10</f>
        <v>775090</v>
      </c>
      <c r="E22" s="19">
        <f>E16+E10</f>
        <v>883108</v>
      </c>
      <c r="F22" s="149">
        <f>F16+F10</f>
        <v>1241984</v>
      </c>
      <c r="G22" s="74">
        <f t="shared" ref="G22:K22" si="9">G16+G10</f>
        <v>1747834.3106488045</v>
      </c>
      <c r="H22" s="74">
        <f t="shared" si="9"/>
        <v>1965271.4918871289</v>
      </c>
      <c r="I22" s="74">
        <f t="shared" si="9"/>
        <v>2075276.0628104862</v>
      </c>
      <c r="J22" s="74">
        <f t="shared" si="9"/>
        <v>2143046.7945669675</v>
      </c>
      <c r="K22" s="74">
        <f t="shared" si="9"/>
        <v>2244423.0799824363</v>
      </c>
    </row>
    <row r="23" spans="2:11">
      <c r="B23" s="12"/>
      <c r="C23" s="15"/>
      <c r="D23" s="15"/>
      <c r="E23" s="15"/>
      <c r="F23" s="32"/>
      <c r="G23" s="14"/>
      <c r="H23" s="14"/>
      <c r="I23" s="14"/>
      <c r="J23" s="14"/>
      <c r="K23" s="14"/>
    </row>
    <row r="24" spans="2:11">
      <c r="B24" s="12" t="s">
        <v>33</v>
      </c>
      <c r="C24" s="15"/>
      <c r="D24" s="15"/>
      <c r="E24" s="15"/>
      <c r="F24" s="32"/>
      <c r="G24" s="14"/>
      <c r="H24" s="14"/>
      <c r="I24" s="14"/>
      <c r="J24" s="14"/>
      <c r="K24" s="14"/>
    </row>
    <row r="25" spans="2:11" outlineLevel="1">
      <c r="B25" t="s">
        <v>25</v>
      </c>
      <c r="C25" s="25">
        <v>-176722</v>
      </c>
      <c r="D25" s="25">
        <v>-200487</v>
      </c>
      <c r="E25" s="25">
        <v>-209748</v>
      </c>
      <c r="F25" s="33">
        <v>-220078</v>
      </c>
      <c r="G25" s="14">
        <f t="shared" ref="G25:K28" si="10">G7*G81</f>
        <v>-335728.98899999994</v>
      </c>
      <c r="H25" s="14">
        <f t="shared" si="10"/>
        <v>-367053.72800654738</v>
      </c>
      <c r="I25" s="14">
        <f t="shared" si="10"/>
        <v>-381554.64392014366</v>
      </c>
      <c r="J25" s="14">
        <f t="shared" si="10"/>
        <v>-396628.43662612443</v>
      </c>
      <c r="K25" s="14">
        <f t="shared" si="10"/>
        <v>-412297.73833760031</v>
      </c>
    </row>
    <row r="26" spans="2:11" outlineLevel="1">
      <c r="B26" t="s">
        <v>26</v>
      </c>
      <c r="C26" s="25">
        <v>-91546</v>
      </c>
      <c r="D26" s="25">
        <v>-97363</v>
      </c>
      <c r="E26" s="25">
        <v>-97406</v>
      </c>
      <c r="F26" s="33">
        <v>-97555</v>
      </c>
      <c r="G26" s="14">
        <f t="shared" si="10"/>
        <v>-115201.58996046308</v>
      </c>
      <c r="H26" s="14">
        <f t="shared" si="10"/>
        <v>-139950.37875217226</v>
      </c>
      <c r="I26" s="14">
        <f t="shared" si="10"/>
        <v>-148685.5966096062</v>
      </c>
      <c r="J26" s="14">
        <f t="shared" si="10"/>
        <v>-141737.44247032623</v>
      </c>
      <c r="K26" s="14">
        <f t="shared" si="10"/>
        <v>-144147.75947916173</v>
      </c>
    </row>
    <row r="27" spans="2:11" outlineLevel="1">
      <c r="B27" t="s">
        <v>27</v>
      </c>
      <c r="C27" s="25">
        <v>4770</v>
      </c>
      <c r="D27" s="25">
        <v>-2762</v>
      </c>
      <c r="E27" s="25">
        <v>-16014</v>
      </c>
      <c r="F27" s="33">
        <v>-16999</v>
      </c>
      <c r="G27" s="14">
        <f t="shared" si="10"/>
        <v>-7378.616951306718</v>
      </c>
      <c r="H27" s="14">
        <f t="shared" si="10"/>
        <v>-6837.0264670808037</v>
      </c>
      <c r="I27" s="14">
        <f t="shared" si="10"/>
        <v>-6335.1887243970723</v>
      </c>
      <c r="J27" s="14">
        <f t="shared" si="10"/>
        <v>-5870.1858720263281</v>
      </c>
      <c r="K27" s="14">
        <f t="shared" si="10"/>
        <v>-5439.3142290195956</v>
      </c>
    </row>
    <row r="28" spans="2:11" outlineLevel="1">
      <c r="B28" t="s">
        <v>34</v>
      </c>
      <c r="C28" s="25">
        <v>-45766</v>
      </c>
      <c r="D28" s="25">
        <v>-57911</v>
      </c>
      <c r="E28" s="26">
        <v>-55328</v>
      </c>
      <c r="F28" s="35">
        <v>-56906</v>
      </c>
      <c r="G28" s="14">
        <f t="shared" si="10"/>
        <v>-107669.96283576627</v>
      </c>
      <c r="H28" s="14">
        <f t="shared" si="10"/>
        <v>-119339.89983456087</v>
      </c>
      <c r="I28" s="14">
        <f t="shared" si="10"/>
        <v>-123936.24885857732</v>
      </c>
      <c r="J28" s="14">
        <f t="shared" si="10"/>
        <v>-125503.36330931982</v>
      </c>
      <c r="K28" s="14">
        <f t="shared" si="10"/>
        <v>-129148.61656601031</v>
      </c>
    </row>
    <row r="29" spans="2:11">
      <c r="B29" s="12" t="s">
        <v>35</v>
      </c>
      <c r="C29" s="15">
        <f t="shared" ref="C29:F29" si="11">SUM(C25:C28)</f>
        <v>-309264</v>
      </c>
      <c r="D29" s="15">
        <f t="shared" si="11"/>
        <v>-358523</v>
      </c>
      <c r="E29" s="15">
        <f t="shared" si="11"/>
        <v>-378496</v>
      </c>
      <c r="F29" s="32">
        <f t="shared" si="11"/>
        <v>-391538</v>
      </c>
      <c r="G29" s="14">
        <f>SUM(G25:G28)</f>
        <v>-565979.15874753601</v>
      </c>
      <c r="H29" s="14">
        <f t="shared" ref="H29:K29" si="12">SUM(H25:H28)</f>
        <v>-633181.0330603614</v>
      </c>
      <c r="I29" s="14">
        <f t="shared" si="12"/>
        <v>-660511.67811272433</v>
      </c>
      <c r="J29" s="14">
        <f t="shared" si="12"/>
        <v>-669739.42827779683</v>
      </c>
      <c r="K29" s="14">
        <f t="shared" si="12"/>
        <v>-691033.42861179193</v>
      </c>
    </row>
    <row r="30" spans="2:11">
      <c r="C30" s="14"/>
      <c r="D30" s="14"/>
      <c r="E30" s="14"/>
      <c r="G30" s="14"/>
      <c r="H30" s="14"/>
      <c r="I30" s="14"/>
      <c r="J30" s="14"/>
      <c r="K30" s="14"/>
    </row>
    <row r="31" spans="2:11">
      <c r="B31" s="12" t="s">
        <v>36</v>
      </c>
      <c r="C31" s="15"/>
      <c r="D31" s="14"/>
      <c r="E31" s="14"/>
      <c r="F31" s="570"/>
      <c r="G31" s="14"/>
      <c r="H31" s="14"/>
      <c r="I31" s="14"/>
      <c r="J31" s="14"/>
      <c r="K31" s="14"/>
    </row>
    <row r="32" spans="2:11">
      <c r="B32" t="s">
        <v>37</v>
      </c>
      <c r="C32" s="25">
        <v>-709</v>
      </c>
      <c r="D32" s="25">
        <v>20582</v>
      </c>
      <c r="E32" s="25">
        <v>-426</v>
      </c>
      <c r="F32" s="33">
        <v>958</v>
      </c>
      <c r="G32" s="585" t="s">
        <v>38</v>
      </c>
      <c r="H32" s="585" t="s">
        <v>38</v>
      </c>
      <c r="I32" s="585" t="s">
        <v>38</v>
      </c>
      <c r="J32" s="585" t="s">
        <v>38</v>
      </c>
      <c r="K32" s="585" t="s">
        <v>38</v>
      </c>
    </row>
    <row r="33" spans="2:15">
      <c r="B33" t="s">
        <v>39</v>
      </c>
      <c r="C33" s="25">
        <v>-14965</v>
      </c>
      <c r="D33" s="27" t="s">
        <v>38</v>
      </c>
      <c r="E33" s="25">
        <v>-38167</v>
      </c>
      <c r="F33" s="33">
        <v>-778</v>
      </c>
      <c r="G33" s="585" t="s">
        <v>38</v>
      </c>
      <c r="H33" s="585" t="str">
        <f t="shared" ref="H33:K33" si="13">G33</f>
        <v>-</v>
      </c>
      <c r="I33" s="585" t="str">
        <f t="shared" si="13"/>
        <v>-</v>
      </c>
      <c r="J33" s="585" t="str">
        <f t="shared" si="13"/>
        <v>-</v>
      </c>
      <c r="K33" s="585" t="str">
        <f t="shared" si="13"/>
        <v>-</v>
      </c>
    </row>
    <row r="34" spans="2:15">
      <c r="B34" t="s">
        <v>40</v>
      </c>
      <c r="C34" s="25">
        <v>-321192</v>
      </c>
      <c r="D34" s="25">
        <v>-325510</v>
      </c>
      <c r="E34" s="25">
        <v>-350178</v>
      </c>
      <c r="F34" s="33">
        <v>-316387</v>
      </c>
      <c r="G34" s="119">
        <f>-'Supporting Schedules'!F27</f>
        <v>-347489.96013573196</v>
      </c>
      <c r="H34" s="119">
        <f>-'Supporting Schedules'!G27</f>
        <v>-398471.77240499872</v>
      </c>
      <c r="I34" s="119">
        <f>-'Supporting Schedules'!H27</f>
        <v>-226486.7843862818</v>
      </c>
      <c r="J34" s="119">
        <f>-'Supporting Schedules'!I27</f>
        <v>-262309.00485810399</v>
      </c>
      <c r="K34" s="119">
        <f>-'Supporting Schedules'!J27</f>
        <v>-299171.68402675772</v>
      </c>
    </row>
    <row r="35" spans="2:15">
      <c r="B35" t="s">
        <v>41</v>
      </c>
      <c r="C35" s="28">
        <v>0</v>
      </c>
      <c r="D35" s="27" t="s">
        <v>38</v>
      </c>
      <c r="E35" s="27" t="s">
        <v>38</v>
      </c>
      <c r="F35" s="33">
        <v>-1396</v>
      </c>
      <c r="G35" s="585" t="s">
        <v>38</v>
      </c>
      <c r="H35" s="585" t="str">
        <f t="shared" ref="H35:K35" si="14">G35</f>
        <v>-</v>
      </c>
      <c r="I35" s="585" t="str">
        <f t="shared" si="14"/>
        <v>-</v>
      </c>
      <c r="J35" s="585" t="str">
        <f t="shared" si="14"/>
        <v>-</v>
      </c>
      <c r="K35" s="585" t="str">
        <f t="shared" si="14"/>
        <v>-</v>
      </c>
    </row>
    <row r="36" spans="2:15">
      <c r="B36" s="13" t="s">
        <v>42</v>
      </c>
      <c r="C36" s="28">
        <v>159779</v>
      </c>
      <c r="D36" s="25">
        <v>364452</v>
      </c>
      <c r="E36" s="25">
        <v>315095</v>
      </c>
      <c r="F36" s="33">
        <v>351627</v>
      </c>
      <c r="G36" s="14">
        <f>'DGD Revenue Build'!Q11</f>
        <v>356310.78109541064</v>
      </c>
      <c r="H36" s="14">
        <f ca="1">'DGD Revenue Build'!R11</f>
        <v>536392.69350048283</v>
      </c>
      <c r="I36" s="14">
        <f ca="1">'DGD Revenue Build'!S11</f>
        <v>596535.39310816349</v>
      </c>
      <c r="J36" s="14">
        <f ca="1">'DGD Revenue Build'!T11</f>
        <v>656535.39310816349</v>
      </c>
      <c r="K36" s="14">
        <f ca="1">'DGD Revenue Build'!U11</f>
        <v>716535.39310816349</v>
      </c>
      <c r="L36" s="39"/>
    </row>
    <row r="37" spans="2:15">
      <c r="B37" s="12" t="s">
        <v>43</v>
      </c>
      <c r="C37" s="15">
        <f>SUM(C32:C36)+C29</f>
        <v>-486351</v>
      </c>
      <c r="D37" s="15">
        <f>SUM(D32:D36)+D29</f>
        <v>-298999</v>
      </c>
      <c r="E37" s="15">
        <f>SUM(E32:E36)+E29</f>
        <v>-452172</v>
      </c>
      <c r="F37" s="32">
        <f>SUM(F32:F36)+F29</f>
        <v>-357514</v>
      </c>
      <c r="G37" s="14">
        <f>SUM(G29,G32,G33,G34,G35)</f>
        <v>-913469.11888326798</v>
      </c>
      <c r="H37" s="14">
        <f t="shared" ref="H37:K37" si="15">SUM(H29,H32,H33,H34,H35)</f>
        <v>-1031652.8054653602</v>
      </c>
      <c r="I37" s="14">
        <f t="shared" si="15"/>
        <v>-886998.46249900619</v>
      </c>
      <c r="J37" s="14">
        <f t="shared" si="15"/>
        <v>-932048.43313590088</v>
      </c>
      <c r="K37" s="14">
        <f t="shared" si="15"/>
        <v>-990205.11263854965</v>
      </c>
    </row>
    <row r="38" spans="2:15">
      <c r="C38" s="14"/>
      <c r="D38" s="14"/>
      <c r="E38" s="14"/>
      <c r="F38" s="570"/>
      <c r="G38" s="14"/>
      <c r="H38" s="14"/>
      <c r="I38" s="14"/>
      <c r="J38" s="14"/>
      <c r="K38" s="14"/>
    </row>
    <row r="39" spans="2:15">
      <c r="B39" s="18" t="s">
        <v>44</v>
      </c>
      <c r="C39" s="19">
        <f>C37+C22</f>
        <v>255001</v>
      </c>
      <c r="D39" s="19">
        <f>D37+D22</f>
        <v>476091</v>
      </c>
      <c r="E39" s="19">
        <f>E37+E22</f>
        <v>430936</v>
      </c>
      <c r="F39" s="34">
        <f>F37+F22</f>
        <v>884470</v>
      </c>
      <c r="G39" s="19">
        <f>SUM(G22,G37,G36)</f>
        <v>1190675.9728609473</v>
      </c>
      <c r="H39" s="19">
        <f t="shared" ref="H39:K39" ca="1" si="16">SUM(H22,H37,H36)</f>
        <v>1470011.3799222517</v>
      </c>
      <c r="I39" s="19">
        <f t="shared" ca="1" si="16"/>
        <v>1784812.9934196435</v>
      </c>
      <c r="J39" s="19">
        <f t="shared" ca="1" si="16"/>
        <v>1867533.7545392301</v>
      </c>
      <c r="K39" s="19">
        <f t="shared" ca="1" si="16"/>
        <v>1970753.3604520501</v>
      </c>
      <c r="M39" s="14"/>
    </row>
    <row r="40" spans="2:15">
      <c r="F40" s="30"/>
      <c r="G40" s="586"/>
      <c r="H40" s="14"/>
      <c r="I40" s="14"/>
      <c r="J40" s="14"/>
      <c r="K40" s="14"/>
    </row>
    <row r="41" spans="2:15">
      <c r="B41" s="12" t="s">
        <v>45</v>
      </c>
      <c r="F41" s="30"/>
      <c r="G41" s="14"/>
      <c r="H41" s="14"/>
      <c r="I41" s="14"/>
      <c r="J41" s="14"/>
      <c r="K41" s="14"/>
      <c r="N41" s="14"/>
    </row>
    <row r="42" spans="2:15">
      <c r="B42" t="s">
        <v>46</v>
      </c>
      <c r="C42" s="24">
        <v>-86429</v>
      </c>
      <c r="D42" s="24">
        <v>-78674</v>
      </c>
      <c r="E42" s="24">
        <v>-72686</v>
      </c>
      <c r="F42" s="31">
        <v>-62077</v>
      </c>
      <c r="G42" s="14">
        <f>-'Supporting Schedules'!F126</f>
        <v>-104753.29474999999</v>
      </c>
      <c r="H42" s="14">
        <f>-'Supporting Schedules'!G126</f>
        <v>-138612.37774999999</v>
      </c>
      <c r="I42" s="14">
        <f>-'Supporting Schedules'!H126</f>
        <v>-117843.85775</v>
      </c>
      <c r="J42" s="14">
        <f>-'Supporting Schedules'!I126</f>
        <v>-106495.04375</v>
      </c>
      <c r="K42" s="14">
        <f>-'Supporting Schedules'!J126</f>
        <v>-96019.718124999999</v>
      </c>
      <c r="N42" s="14"/>
    </row>
    <row r="43" spans="2:15">
      <c r="B43" t="s">
        <v>47</v>
      </c>
      <c r="C43" s="24">
        <v>-23509</v>
      </c>
      <c r="D43" s="24">
        <v>-12126</v>
      </c>
      <c r="E43" s="29" t="s">
        <v>38</v>
      </c>
      <c r="F43" s="36" t="s">
        <v>38</v>
      </c>
      <c r="G43" s="29" t="s">
        <v>38</v>
      </c>
      <c r="H43" s="29" t="s">
        <v>38</v>
      </c>
      <c r="I43" s="29" t="s">
        <v>38</v>
      </c>
      <c r="J43" s="29" t="s">
        <v>38</v>
      </c>
      <c r="K43" s="29" t="s">
        <v>38</v>
      </c>
      <c r="O43" s="14"/>
    </row>
    <row r="44" spans="2:15">
      <c r="B44" t="s">
        <v>48</v>
      </c>
      <c r="C44" s="24">
        <v>-6431</v>
      </c>
      <c r="D44" s="24">
        <v>-1311</v>
      </c>
      <c r="E44" s="24">
        <v>-2290</v>
      </c>
      <c r="F44" s="31">
        <v>-2199</v>
      </c>
      <c r="G44" s="14">
        <f>G10*G87</f>
        <v>-3249.9628679166663</v>
      </c>
      <c r="H44" s="14">
        <f>H10*H87</f>
        <v>-3602.2139592898543</v>
      </c>
      <c r="I44" s="14">
        <f>I10*I87</f>
        <v>-3740.9524083670967</v>
      </c>
      <c r="J44" s="14">
        <f>J10*J87</f>
        <v>-3788.2549581270268</v>
      </c>
      <c r="K44" s="14">
        <f>K10*K87</f>
        <v>-3898.2850669556806</v>
      </c>
      <c r="M44" s="14"/>
    </row>
    <row r="45" spans="2:15">
      <c r="B45" t="s">
        <v>49</v>
      </c>
      <c r="C45" s="25">
        <v>-12545</v>
      </c>
      <c r="D45" s="24">
        <v>2967</v>
      </c>
      <c r="E45" s="29" t="s">
        <v>38</v>
      </c>
      <c r="F45" s="36" t="s">
        <v>38</v>
      </c>
      <c r="G45" s="29" t="s">
        <v>38</v>
      </c>
      <c r="H45" s="29" t="s">
        <v>38</v>
      </c>
      <c r="I45" s="29" t="s">
        <v>38</v>
      </c>
      <c r="J45" s="29" t="s">
        <v>38</v>
      </c>
      <c r="K45" s="29" t="s">
        <v>38</v>
      </c>
    </row>
    <row r="46" spans="2:15">
      <c r="B46" t="s">
        <v>50</v>
      </c>
      <c r="C46" s="25">
        <v>-7562</v>
      </c>
      <c r="D46" s="25">
        <v>-6671</v>
      </c>
      <c r="E46" s="25">
        <v>-5534</v>
      </c>
      <c r="F46" s="33">
        <v>-4551</v>
      </c>
      <c r="G46" s="14">
        <f>G10*G88</f>
        <v>-6499.9257358333325</v>
      </c>
      <c r="H46" s="14">
        <f>H10*H88</f>
        <v>-7204.4279185797086</v>
      </c>
      <c r="I46" s="14">
        <f>I10*I88</f>
        <v>-7481.9048167341934</v>
      </c>
      <c r="J46" s="14">
        <f>J10*J88</f>
        <v>-7576.5099162540537</v>
      </c>
      <c r="K46" s="14">
        <f>K10*K88</f>
        <v>-7796.5701339113612</v>
      </c>
    </row>
    <row r="47" spans="2:15">
      <c r="B47" s="12" t="s">
        <v>51</v>
      </c>
      <c r="C47" s="15">
        <f t="shared" ref="C47:D47" si="17">SUM(C42:C46)</f>
        <v>-136476</v>
      </c>
      <c r="D47" s="15">
        <f t="shared" si="17"/>
        <v>-95815</v>
      </c>
      <c r="E47" s="15">
        <f>SUM(E42:E46)</f>
        <v>-80510</v>
      </c>
      <c r="F47" s="32">
        <f>SUM(F42:F46)</f>
        <v>-68827</v>
      </c>
      <c r="G47" s="14">
        <f>SUM(G42:G46)</f>
        <v>-114503.18335374998</v>
      </c>
      <c r="H47" s="14">
        <f t="shared" ref="H47:K47" si="18">SUM(H42:H46)</f>
        <v>-149419.01962786957</v>
      </c>
      <c r="I47" s="14">
        <f t="shared" si="18"/>
        <v>-129066.71497510129</v>
      </c>
      <c r="J47" s="14">
        <f t="shared" si="18"/>
        <v>-117859.80862438108</v>
      </c>
      <c r="K47" s="14">
        <f t="shared" si="18"/>
        <v>-107714.57332586704</v>
      </c>
    </row>
    <row r="48" spans="2:15">
      <c r="B48" s="12"/>
      <c r="C48" s="15"/>
      <c r="D48" s="15"/>
      <c r="E48" s="15"/>
      <c r="F48" s="32"/>
      <c r="G48" s="14"/>
      <c r="H48" s="14"/>
      <c r="I48" s="14"/>
      <c r="J48" s="14"/>
      <c r="K48" s="14"/>
    </row>
    <row r="49" spans="2:12">
      <c r="B49" s="13" t="s">
        <v>52</v>
      </c>
      <c r="C49" s="25">
        <v>-550</v>
      </c>
      <c r="D49" s="25">
        <v>428</v>
      </c>
      <c r="E49" s="25">
        <v>3193</v>
      </c>
      <c r="F49" s="33">
        <v>5753</v>
      </c>
      <c r="G49" s="585" t="s">
        <v>38</v>
      </c>
      <c r="H49" s="587" t="str">
        <f>G49</f>
        <v>-</v>
      </c>
      <c r="I49" s="587" t="str">
        <f t="shared" ref="I49:K49" si="19">H49</f>
        <v>-</v>
      </c>
      <c r="J49" s="587" t="str">
        <f t="shared" si="19"/>
        <v>-</v>
      </c>
      <c r="K49" s="587" t="str">
        <f t="shared" si="19"/>
        <v>-</v>
      </c>
    </row>
    <row r="50" spans="2:12">
      <c r="B50" s="13"/>
      <c r="F50" s="30"/>
      <c r="G50" s="14"/>
      <c r="H50" s="14"/>
      <c r="I50" s="14"/>
      <c r="J50" s="14"/>
      <c r="K50" s="14"/>
    </row>
    <row r="51" spans="2:12">
      <c r="B51" s="12" t="s">
        <v>53</v>
      </c>
      <c r="C51" s="15">
        <f t="shared" ref="C51:E51" si="20">C47+C39+C49</f>
        <v>117975</v>
      </c>
      <c r="D51" s="15">
        <f t="shared" si="20"/>
        <v>380704</v>
      </c>
      <c r="E51" s="15">
        <f t="shared" si="20"/>
        <v>353619</v>
      </c>
      <c r="F51" s="32">
        <f>F47+F39+F49</f>
        <v>821396</v>
      </c>
      <c r="G51" s="15">
        <f>SUM(G39,G47,G49)</f>
        <v>1076172.7895071972</v>
      </c>
      <c r="H51" s="15">
        <f t="shared" ref="H51:K51" ca="1" si="21">SUM(H39,H47,H49)</f>
        <v>1320592.3602943821</v>
      </c>
      <c r="I51" s="15">
        <f t="shared" ca="1" si="21"/>
        <v>1655746.2784445421</v>
      </c>
      <c r="J51" s="15">
        <f t="shared" ca="1" si="21"/>
        <v>1749673.9459148492</v>
      </c>
      <c r="K51" s="15">
        <f t="shared" ca="1" si="21"/>
        <v>1863038.787126183</v>
      </c>
    </row>
    <row r="52" spans="2:12">
      <c r="B52" t="s">
        <v>54</v>
      </c>
      <c r="C52" s="25">
        <v>-12031</v>
      </c>
      <c r="D52" s="25">
        <v>-59467</v>
      </c>
      <c r="E52" s="25">
        <v>-53289</v>
      </c>
      <c r="F52" s="33">
        <v>-164106</v>
      </c>
      <c r="G52" s="14">
        <f>G51*G90</f>
        <v>215234.55790143946</v>
      </c>
      <c r="H52" s="14">
        <f ca="1">H51*H90</f>
        <v>264118.47205887642</v>
      </c>
      <c r="I52" s="14">
        <f ca="1">I51*I90</f>
        <v>331149.25568890845</v>
      </c>
      <c r="J52" s="14">
        <f ca="1">J51*J90</f>
        <v>349934.78918296983</v>
      </c>
      <c r="K52" s="14">
        <f ca="1">K51*K90</f>
        <v>372607.75742523663</v>
      </c>
    </row>
    <row r="53" spans="2:12">
      <c r="B53" s="12" t="s">
        <v>55</v>
      </c>
      <c r="C53" s="15">
        <f t="shared" ref="C53:E53" si="22">SUM(C51:C52)</f>
        <v>105944</v>
      </c>
      <c r="D53" s="15">
        <f t="shared" si="22"/>
        <v>321237</v>
      </c>
      <c r="E53" s="15">
        <f t="shared" si="22"/>
        <v>300330</v>
      </c>
      <c r="F53" s="32">
        <f>SUM(F51:F52)</f>
        <v>657290</v>
      </c>
      <c r="G53" s="15">
        <f>G51-G52</f>
        <v>860938.23160575773</v>
      </c>
      <c r="H53" s="15">
        <f t="shared" ref="H53:K53" ca="1" si="23">H51-H52</f>
        <v>1056473.8882355057</v>
      </c>
      <c r="I53" s="15">
        <f t="shared" ca="1" si="23"/>
        <v>1324597.0227556336</v>
      </c>
      <c r="J53" s="15">
        <f t="shared" ca="1" si="23"/>
        <v>1399739.1567318793</v>
      </c>
      <c r="K53" s="15">
        <f t="shared" ca="1" si="23"/>
        <v>1490431.0297009465</v>
      </c>
    </row>
    <row r="54" spans="2:12">
      <c r="B54" t="s">
        <v>56</v>
      </c>
      <c r="C54" s="25">
        <v>-4448</v>
      </c>
      <c r="D54" s="25">
        <v>-8367</v>
      </c>
      <c r="E54" s="25">
        <v>-3511</v>
      </c>
      <c r="F54" s="33">
        <v>-6376</v>
      </c>
      <c r="G54" s="14">
        <f>F54</f>
        <v>-6376</v>
      </c>
      <c r="H54" s="14">
        <f>G54</f>
        <v>-6376</v>
      </c>
      <c r="I54" s="14">
        <f>H54</f>
        <v>-6376</v>
      </c>
      <c r="J54" s="14">
        <f t="shared" ref="J54:K54" si="24">I54</f>
        <v>-6376</v>
      </c>
      <c r="K54" s="14">
        <f t="shared" si="24"/>
        <v>-6376</v>
      </c>
    </row>
    <row r="55" spans="2:12">
      <c r="B55" s="12" t="s">
        <v>57</v>
      </c>
      <c r="C55" s="15">
        <f>SUM(C53:C54)</f>
        <v>101496</v>
      </c>
      <c r="D55" s="15">
        <f t="shared" ref="D55:E55" si="25">SUM(D53:D54)</f>
        <v>312870</v>
      </c>
      <c r="E55" s="15">
        <f t="shared" si="25"/>
        <v>296819</v>
      </c>
      <c r="F55" s="32">
        <f>SUM(F53:F54)</f>
        <v>650914</v>
      </c>
      <c r="G55" s="15">
        <f>SUM(G53:G54)</f>
        <v>854562.23160575773</v>
      </c>
      <c r="H55" s="15">
        <f t="shared" ref="H55:K55" ca="1" si="26">SUM(H53:H54)</f>
        <v>1050097.8882355057</v>
      </c>
      <c r="I55" s="15">
        <f t="shared" ca="1" si="26"/>
        <v>1318221.0227556336</v>
      </c>
      <c r="J55" s="15">
        <f t="shared" ca="1" si="26"/>
        <v>1393363.1567318793</v>
      </c>
      <c r="K55" s="15">
        <f t="shared" ca="1" si="26"/>
        <v>1484055.0297009465</v>
      </c>
    </row>
    <row r="56" spans="2:12">
      <c r="B56" s="12"/>
      <c r="C56" s="15"/>
      <c r="D56" s="15"/>
      <c r="E56" s="15"/>
      <c r="F56" s="32"/>
      <c r="G56" s="15"/>
      <c r="H56" s="15"/>
      <c r="I56" s="15"/>
      <c r="J56" s="15"/>
      <c r="K56" s="15"/>
    </row>
    <row r="57" spans="2:12">
      <c r="B57" s="588" t="s">
        <v>58</v>
      </c>
      <c r="D57" s="12"/>
      <c r="E57" s="15"/>
      <c r="F57" s="32"/>
      <c r="G57" s="15"/>
      <c r="H57" s="15"/>
      <c r="I57" s="15"/>
      <c r="J57" s="15"/>
      <c r="K57" s="15"/>
    </row>
    <row r="58" spans="2:12">
      <c r="B58" s="539" t="s">
        <v>59</v>
      </c>
      <c r="C58" s="589"/>
      <c r="D58" s="540"/>
      <c r="E58" s="15"/>
      <c r="F58" s="487">
        <f>F55/'WACC '!$C$28</f>
        <v>4.0613230239218323</v>
      </c>
      <c r="G58" s="488">
        <f>G55/'WACC '!$C$28</f>
        <v>5.3319689952812279</v>
      </c>
      <c r="H58" s="488">
        <f ca="1">H55/'WACC '!$C$28</f>
        <v>6.5519972390554733</v>
      </c>
      <c r="I58" s="488">
        <f ca="1">I55/'WACC '!$C$28</f>
        <v>8.224928931218626</v>
      </c>
      <c r="J58" s="488">
        <f ca="1">J55/'WACC '!$C$28</f>
        <v>8.6937719408702012</v>
      </c>
      <c r="K58" s="488">
        <f ca="1">K55/'WACC '!$C$28</f>
        <v>9.2596362359565969</v>
      </c>
    </row>
    <row r="59" spans="2:12">
      <c r="B59" s="539" t="s">
        <v>60</v>
      </c>
      <c r="C59" s="589"/>
      <c r="D59" s="589"/>
      <c r="E59" s="15"/>
      <c r="F59" s="487">
        <f>F55/'Supporting Schedules'!E35</f>
        <v>4.0121347024563754</v>
      </c>
      <c r="G59" s="488">
        <f>G55/'Supporting Schedules'!F35</f>
        <v>5.3444605243100103</v>
      </c>
      <c r="H59" s="488">
        <f ca="1">H55/'Supporting Schedules'!G35</f>
        <v>6.6562215760297647</v>
      </c>
      <c r="I59" s="488">
        <f ca="1">I55/'Supporting Schedules'!H35</f>
        <v>8.4602455384270243</v>
      </c>
      <c r="J59" s="488">
        <f ca="1">J55/'Supporting Schedules'!I35</f>
        <v>8.9425022258461766</v>
      </c>
      <c r="K59" s="488">
        <f ca="1">K55/'Supporting Schedules'!J35</f>
        <v>9.5245559940786197</v>
      </c>
    </row>
    <row r="60" spans="2:12">
      <c r="B60" s="12"/>
      <c r="C60" s="15"/>
      <c r="D60" s="15"/>
      <c r="E60" s="15"/>
      <c r="F60" s="32"/>
      <c r="G60" s="15"/>
      <c r="H60" s="15"/>
      <c r="I60" s="15"/>
      <c r="J60" s="15"/>
      <c r="K60" s="15"/>
    </row>
    <row r="61" spans="2:12">
      <c r="F61" s="30"/>
    </row>
    <row r="62" spans="2:12">
      <c r="B62" s="541" t="s">
        <v>61</v>
      </c>
      <c r="C62" s="584" t="s">
        <v>14</v>
      </c>
      <c r="D62" s="543" t="s">
        <v>15</v>
      </c>
      <c r="E62" s="543" t="s">
        <v>16</v>
      </c>
      <c r="F62" s="590" t="s">
        <v>17</v>
      </c>
      <c r="G62" s="544" t="s">
        <v>18</v>
      </c>
      <c r="H62" s="544" t="s">
        <v>19</v>
      </c>
      <c r="I62" s="544" t="s">
        <v>20</v>
      </c>
      <c r="J62" s="544" t="s">
        <v>21</v>
      </c>
      <c r="K62" s="544" t="s">
        <v>22</v>
      </c>
    </row>
    <row r="63" spans="2:12">
      <c r="B63" s="12" t="s">
        <v>62</v>
      </c>
      <c r="F63" s="30"/>
      <c r="L63" s="75"/>
    </row>
    <row r="64" spans="2:12" outlineLevel="1">
      <c r="B64" t="s">
        <v>25</v>
      </c>
      <c r="C64" s="37" t="s">
        <v>63</v>
      </c>
      <c r="D64" s="38">
        <f t="shared" ref="D64:F66" si="27">D7/C7 - 1</f>
        <v>9.2217632793953896E-3</v>
      </c>
      <c r="E64" s="38">
        <f t="shared" si="27"/>
        <v>5.1529995772777504E-2</v>
      </c>
      <c r="F64" s="148">
        <f t="shared" si="27"/>
        <v>0.46686652793489136</v>
      </c>
      <c r="G64" s="38">
        <f>G7/F7-1</f>
        <v>0.52549999999999963</v>
      </c>
      <c r="H64" s="38">
        <f>H7/G7-1</f>
        <v>9.3303646789188788E-2</v>
      </c>
      <c r="I64" s="38">
        <f>I7/H7-1</f>
        <v>3.9506248832698487E-2</v>
      </c>
      <c r="J64" s="38">
        <f>J7/I7-1</f>
        <v>3.9506248832698265E-2</v>
      </c>
      <c r="K64" s="38">
        <f>K7/J7-1</f>
        <v>3.9506248832698487E-2</v>
      </c>
    </row>
    <row r="65" spans="2:13" outlineLevel="1">
      <c r="B65" t="s">
        <v>26</v>
      </c>
      <c r="C65" s="37" t="s">
        <v>63</v>
      </c>
      <c r="D65" s="38">
        <f t="shared" si="27"/>
        <v>-1.7593312767858915E-2</v>
      </c>
      <c r="E65" s="38">
        <f t="shared" si="27"/>
        <v>5.9527203027473385E-2</v>
      </c>
      <c r="F65" s="148">
        <f t="shared" si="27"/>
        <v>7.2470209605963065E-2</v>
      </c>
      <c r="G65" s="38">
        <f>G7/F8 - 1</f>
        <v>2.6463129183118652</v>
      </c>
      <c r="H65" s="38">
        <f>H7/G7 - 1</f>
        <v>9.3303646789188788E-2</v>
      </c>
      <c r="I65" s="38">
        <f>I7/H7 - 1</f>
        <v>3.9506248832698487E-2</v>
      </c>
      <c r="J65" s="38">
        <f>J7/I7 - 1</f>
        <v>3.9506248832698265E-2</v>
      </c>
      <c r="K65" s="38">
        <f>K7/J7 - 1</f>
        <v>3.9506248832698487E-2</v>
      </c>
    </row>
    <row r="66" spans="2:13" outlineLevel="1">
      <c r="B66" t="s">
        <v>27</v>
      </c>
      <c r="C66" s="37" t="s">
        <v>63</v>
      </c>
      <c r="D66" s="38">
        <f t="shared" si="27"/>
        <v>-7.2678140147612647E-2</v>
      </c>
      <c r="E66" s="38">
        <f t="shared" si="27"/>
        <v>0.14420698723996361</v>
      </c>
      <c r="F66" s="148">
        <f t="shared" si="27"/>
        <v>0.36967636365951639</v>
      </c>
      <c r="G66" s="38">
        <f>G9/F9 - 1</f>
        <v>3.5328124999999932E-2</v>
      </c>
      <c r="H66" s="38">
        <f>H9/G9 - 1</f>
        <v>-7.3400000000000132E-2</v>
      </c>
      <c r="I66" s="38">
        <f>I9/H9 - 1</f>
        <v>-7.3400000000000021E-2</v>
      </c>
      <c r="J66" s="38">
        <f>J9/I9 - 1</f>
        <v>-7.339999999999991E-2</v>
      </c>
      <c r="K66" s="38">
        <f>K9/J9 - 1</f>
        <v>-7.339999999999991E-2</v>
      </c>
    </row>
    <row r="67" spans="2:13">
      <c r="F67" s="30"/>
    </row>
    <row r="68" spans="2:13">
      <c r="B68" s="12" t="s">
        <v>64</v>
      </c>
      <c r="F68" s="30"/>
    </row>
    <row r="69" spans="2:13" outlineLevel="1">
      <c r="B69" t="s">
        <v>25</v>
      </c>
      <c r="C69" s="38">
        <f>C13/C$7</f>
        <v>-0.76718607158313079</v>
      </c>
      <c r="D69" s="38">
        <f>D13/D$7</f>
        <v>-0.77114892662546353</v>
      </c>
      <c r="E69" s="38">
        <f>E13/E$7</f>
        <v>-0.7453892275677283</v>
      </c>
      <c r="F69" s="148">
        <f>F13/F$7</f>
        <v>-0.72585885836486264</v>
      </c>
      <c r="G69" s="38">
        <f>'Scenario Analysis'!C9</f>
        <v>-0.72085885836486263</v>
      </c>
      <c r="H69" s="38">
        <f>'Scenario Analysis'!D9</f>
        <v>-0.71585885836486263</v>
      </c>
      <c r="I69" s="38">
        <f>'Scenario Analysis'!E9</f>
        <v>-0.71085885836486262</v>
      </c>
      <c r="J69" s="38">
        <f>'Scenario Analysis'!F9</f>
        <v>-0.70585885836486262</v>
      </c>
      <c r="K69" s="38">
        <f>'Scenario Analysis'!G9</f>
        <v>-0.70085885836486261</v>
      </c>
      <c r="L69" s="38"/>
      <c r="M69" s="38"/>
    </row>
    <row r="70" spans="2:13" outlineLevel="1">
      <c r="B70" t="s">
        <v>26</v>
      </c>
      <c r="C70" s="38">
        <f>C14/C$8</f>
        <v>-0.80600477910257518</v>
      </c>
      <c r="D70" s="38">
        <f>D14/D$8</f>
        <v>-0.77261155318854247</v>
      </c>
      <c r="E70" s="38">
        <f>E14/E$8</f>
        <v>-0.77648749558278185</v>
      </c>
      <c r="F70" s="148">
        <f>F14/F$8</f>
        <v>-0.77006107913550259</v>
      </c>
      <c r="G70" s="38">
        <f>'Scenario Analysis'!C10</f>
        <v>-0.76506107913550259</v>
      </c>
      <c r="H70" s="38">
        <f>'Scenario Analysis'!D10</f>
        <v>-0.76006107913550258</v>
      </c>
      <c r="I70" s="38">
        <f>'Scenario Analysis'!E10</f>
        <v>-0.75506107913550258</v>
      </c>
      <c r="J70" s="38">
        <f>'Scenario Analysis'!F10</f>
        <v>-0.75006107913550257</v>
      </c>
      <c r="K70" s="38">
        <f>'Scenario Analysis'!G10</f>
        <v>-0.74506107913550257</v>
      </c>
      <c r="L70" s="38"/>
      <c r="M70" s="39"/>
    </row>
    <row r="71" spans="2:13" outlineLevel="1">
      <c r="B71" t="s">
        <v>27</v>
      </c>
      <c r="C71" s="38">
        <f>C15/C$9</f>
        <v>-0.77778716073569898</v>
      </c>
      <c r="D71" s="38">
        <f>D15/D$9</f>
        <v>-0.74626360056678898</v>
      </c>
      <c r="E71" s="38">
        <f>E15/E$9</f>
        <v>-0.71186305783177017</v>
      </c>
      <c r="F71" s="148">
        <f>F15/F$9</f>
        <v>-0.72960440684269245</v>
      </c>
      <c r="G71" s="38">
        <f>'Scenario Analysis'!C11</f>
        <v>-0.72960440684269245</v>
      </c>
      <c r="H71" s="38">
        <f>'Scenario Analysis'!D11</f>
        <v>-0.72960440684269245</v>
      </c>
      <c r="I71" s="38">
        <f>'Scenario Analysis'!E11</f>
        <v>-0.72960440684269245</v>
      </c>
      <c r="J71" s="38">
        <f>'Scenario Analysis'!F11</f>
        <v>-0.72960440684269245</v>
      </c>
      <c r="K71" s="38">
        <f>'Scenario Analysis'!G11</f>
        <v>-0.72960440684269245</v>
      </c>
      <c r="L71" s="38"/>
      <c r="M71" s="38"/>
    </row>
    <row r="72" spans="2:13">
      <c r="B72" s="12" t="s">
        <v>65</v>
      </c>
      <c r="C72" s="392">
        <f t="shared" ref="C72:K72" si="28">C16/C10</f>
        <v>-0.78116530085372904</v>
      </c>
      <c r="D72" s="392">
        <f t="shared" si="28"/>
        <v>-0.76960473221517911</v>
      </c>
      <c r="E72" s="392">
        <f t="shared" si="28"/>
        <v>-0.75276398735359074</v>
      </c>
      <c r="F72" s="393">
        <f t="shared" si="28"/>
        <v>-0.73805371402225817</v>
      </c>
      <c r="G72" s="38">
        <f t="shared" si="28"/>
        <v>-0.73109934148736533</v>
      </c>
      <c r="H72" s="38">
        <f t="shared" si="28"/>
        <v>-0.72721338680912706</v>
      </c>
      <c r="I72" s="38">
        <f t="shared" si="28"/>
        <v>-0.72262731033828742</v>
      </c>
      <c r="J72" s="38">
        <f t="shared" si="28"/>
        <v>-0.7171459130582748</v>
      </c>
      <c r="K72" s="38">
        <f t="shared" si="28"/>
        <v>-0.71212686586114748</v>
      </c>
    </row>
    <row r="73" spans="2:13">
      <c r="C73" s="394"/>
      <c r="D73" s="394"/>
      <c r="E73" s="394"/>
      <c r="F73" s="395"/>
    </row>
    <row r="74" spans="2:13">
      <c r="B74" s="12" t="s">
        <v>66</v>
      </c>
      <c r="C74" s="394"/>
      <c r="D74" s="394"/>
      <c r="E74" s="394"/>
      <c r="F74" s="395"/>
    </row>
    <row r="75" spans="2:13" outlineLevel="1">
      <c r="B75" t="s">
        <v>25</v>
      </c>
      <c r="C75" s="392">
        <f>C19/C$7</f>
        <v>0.23281392841686918</v>
      </c>
      <c r="D75" s="392">
        <f>D19/D$7</f>
        <v>0.2288510733745365</v>
      </c>
      <c r="E75" s="392">
        <f>E19/E$7</f>
        <v>0.25461077243227176</v>
      </c>
      <c r="F75" s="393">
        <f>F19/F$7</f>
        <v>0.27414114163513736</v>
      </c>
      <c r="G75" s="38">
        <f t="shared" ref="G75:K78" si="29">G19/G7</f>
        <v>0.27914114163513737</v>
      </c>
      <c r="H75" s="38">
        <f t="shared" si="29"/>
        <v>0.28414114163513743</v>
      </c>
      <c r="I75" s="38">
        <f t="shared" si="29"/>
        <v>0.28914114163513732</v>
      </c>
      <c r="J75" s="38">
        <f t="shared" si="29"/>
        <v>0.29414114163513733</v>
      </c>
      <c r="K75" s="38">
        <f t="shared" si="29"/>
        <v>0.29914114163513739</v>
      </c>
    </row>
    <row r="76" spans="2:13" outlineLevel="1">
      <c r="B76" t="s">
        <v>26</v>
      </c>
      <c r="C76" s="392">
        <f>C20/C$8</f>
        <v>0.19399522089742488</v>
      </c>
      <c r="D76" s="392">
        <f>D20/D$8</f>
        <v>0.22738844681145756</v>
      </c>
      <c r="E76" s="392">
        <f>E20/E$8</f>
        <v>0.22351250441721818</v>
      </c>
      <c r="F76" s="393">
        <f>F20/F$8</f>
        <v>0.22993892086449744</v>
      </c>
      <c r="G76" s="38">
        <f t="shared" si="29"/>
        <v>0.23493892086449739</v>
      </c>
      <c r="H76" s="38">
        <f t="shared" si="29"/>
        <v>0.23993892086449747</v>
      </c>
      <c r="I76" s="38">
        <f t="shared" si="29"/>
        <v>0.24493892086449748</v>
      </c>
      <c r="J76" s="38">
        <f t="shared" si="29"/>
        <v>0.2499389208644974</v>
      </c>
      <c r="K76" s="38">
        <f t="shared" si="29"/>
        <v>0.25493892086449749</v>
      </c>
    </row>
    <row r="77" spans="2:13" outlineLevel="1">
      <c r="B77" t="s">
        <v>27</v>
      </c>
      <c r="C77" s="392">
        <f>C21/C$9</f>
        <v>0.22221283926430105</v>
      </c>
      <c r="D77" s="392">
        <f>D21/D$9</f>
        <v>0.25373639943321108</v>
      </c>
      <c r="E77" s="392">
        <f>E21/E$9</f>
        <v>0.28813694216822977</v>
      </c>
      <c r="F77" s="393">
        <f>F21/F$9</f>
        <v>0.27039559315730755</v>
      </c>
      <c r="G77" s="38">
        <f t="shared" si="29"/>
        <v>0.27039559315730749</v>
      </c>
      <c r="H77" s="38">
        <f t="shared" si="29"/>
        <v>0.27039559315730755</v>
      </c>
      <c r="I77" s="38">
        <f t="shared" si="29"/>
        <v>0.27039559315730755</v>
      </c>
      <c r="J77" s="38">
        <f t="shared" si="29"/>
        <v>0.27039559315730749</v>
      </c>
      <c r="K77" s="38">
        <f t="shared" si="29"/>
        <v>0.27039559315730749</v>
      </c>
      <c r="L77" s="38"/>
    </row>
    <row r="78" spans="2:13">
      <c r="B78" s="12" t="s">
        <v>67</v>
      </c>
      <c r="C78" s="392">
        <f>C22/C10</f>
        <v>0.21883469914627099</v>
      </c>
      <c r="D78" s="392">
        <f>D22/D10</f>
        <v>0.23039526778482095</v>
      </c>
      <c r="E78" s="392">
        <f>E22/E10</f>
        <v>0.24723601264640924</v>
      </c>
      <c r="F78" s="393">
        <f>F22/F10</f>
        <v>0.26194628597774189</v>
      </c>
      <c r="G78" s="38">
        <f t="shared" si="29"/>
        <v>0.26890065851263467</v>
      </c>
      <c r="H78" s="38">
        <f t="shared" si="29"/>
        <v>0.27278661319087294</v>
      </c>
      <c r="I78" s="38">
        <f t="shared" si="29"/>
        <v>0.27737268966171263</v>
      </c>
      <c r="J78" s="38">
        <f t="shared" si="29"/>
        <v>0.28285408694172526</v>
      </c>
      <c r="K78" s="38">
        <f t="shared" si="29"/>
        <v>0.28787313413885246</v>
      </c>
    </row>
    <row r="79" spans="2:13">
      <c r="C79" s="394"/>
      <c r="D79" s="394"/>
      <c r="E79" s="394"/>
      <c r="F79" s="395"/>
    </row>
    <row r="80" spans="2:13">
      <c r="B80" s="12" t="s">
        <v>68</v>
      </c>
      <c r="C80" s="394"/>
      <c r="D80" s="394"/>
      <c r="E80" s="394"/>
      <c r="F80" s="395"/>
    </row>
    <row r="81" spans="2:11" outlineLevel="1">
      <c r="B81" t="s">
        <v>25</v>
      </c>
      <c r="C81" s="392">
        <f>C25/C$7</f>
        <v>-9.050807787744776E-2</v>
      </c>
      <c r="D81" s="392">
        <f>D25/D$7</f>
        <v>-0.10174107779459758</v>
      </c>
      <c r="E81" s="392">
        <f>E25/E$7</f>
        <v>-0.10122464895584392</v>
      </c>
      <c r="F81" s="393">
        <f>F25/F$7</f>
        <v>-7.2405987826945226E-2</v>
      </c>
      <c r="G81" s="38">
        <f>'Scenario Analysis'!C12</f>
        <v>-7.2405987826945226E-2</v>
      </c>
      <c r="H81" s="38">
        <f>'Scenario Analysis'!D12</f>
        <v>-7.2405987826945226E-2</v>
      </c>
      <c r="I81" s="38">
        <f>'Scenario Analysis'!E12</f>
        <v>-7.2405987826945226E-2</v>
      </c>
      <c r="J81" s="38">
        <f>'Scenario Analysis'!F12</f>
        <v>-7.2405987826945226E-2</v>
      </c>
      <c r="K81" s="38">
        <f>'Scenario Analysis'!G12</f>
        <v>-7.2405987826945226E-2</v>
      </c>
    </row>
    <row r="82" spans="2:11" outlineLevel="1">
      <c r="B82" t="s">
        <v>26</v>
      </c>
      <c r="C82" s="392">
        <f>C26/C$8</f>
        <v>-8.0365122032154471E-2</v>
      </c>
      <c r="D82" s="392">
        <f>D26/D$8</f>
        <v>-8.7002327794582182E-2</v>
      </c>
      <c r="E82" s="392">
        <f>E26/E$8</f>
        <v>-8.215055903638438E-2</v>
      </c>
      <c r="F82" s="393">
        <f>F26/F$8</f>
        <v>-7.6716558052702485E-2</v>
      </c>
      <c r="G82" s="38">
        <f>'Scenario Analysis'!C13</f>
        <v>-8.1257840534269432E-2</v>
      </c>
      <c r="H82" s="38">
        <f>'Scenario Analysis'!D13</f>
        <v>-8.1257840534269432E-2</v>
      </c>
      <c r="I82" s="38">
        <f>'Scenario Analysis'!E13</f>
        <v>-8.1257840534269432E-2</v>
      </c>
      <c r="J82" s="38">
        <f>'Scenario Analysis'!F13</f>
        <v>-8.1257840534269432E-2</v>
      </c>
      <c r="K82" s="38">
        <f>'Scenario Analysis'!G13</f>
        <v>-8.1257840534269432E-2</v>
      </c>
    </row>
    <row r="83" spans="2:11" outlineLevel="1">
      <c r="B83" t="s">
        <v>27</v>
      </c>
      <c r="C83" s="392">
        <f>C27/C$9</f>
        <v>1.6112415342262158E-2</v>
      </c>
      <c r="D83" s="392">
        <f>D27/D$9</f>
        <v>-1.0060867886452798E-2</v>
      </c>
      <c r="E83" s="392">
        <f>E27/E$9</f>
        <v>-5.0980841594560004E-2</v>
      </c>
      <c r="F83" s="393">
        <f>F27/F$9</f>
        <v>-3.9510505764224615E-2</v>
      </c>
      <c r="G83" s="38">
        <f>'Scenario Analysis'!C14</f>
        <v>-1.656479892411606E-2</v>
      </c>
      <c r="H83" s="38">
        <f>'Scenario Analysis'!D14</f>
        <v>-1.656479892411606E-2</v>
      </c>
      <c r="I83" s="38">
        <f>'Scenario Analysis'!E14</f>
        <v>-1.656479892411606E-2</v>
      </c>
      <c r="J83" s="38">
        <f>'Scenario Analysis'!F14</f>
        <v>-1.656479892411606E-2</v>
      </c>
      <c r="K83" s="38">
        <f>'Scenario Analysis'!G14</f>
        <v>-1.656479892411606E-2</v>
      </c>
    </row>
    <row r="84" spans="2:11" outlineLevel="1">
      <c r="B84" t="s">
        <v>34</v>
      </c>
      <c r="C84" s="392">
        <f>C28/$C10</f>
        <v>-1.3509357014115073E-2</v>
      </c>
      <c r="D84" s="392">
        <f>D28/$C10</f>
        <v>-1.7094357690084737E-2</v>
      </c>
      <c r="E84" s="392">
        <f>E28/$C10</f>
        <v>-1.6331899333062946E-2</v>
      </c>
      <c r="F84" s="393">
        <f>F28/$C10</f>
        <v>-1.6797698515169171E-2</v>
      </c>
      <c r="G84" s="38">
        <f>'Scenario Analysis'!C15</f>
        <v>-1.656479892411606E-2</v>
      </c>
      <c r="H84" s="38">
        <f>'Scenario Analysis'!D15</f>
        <v>-1.656479892411606E-2</v>
      </c>
      <c r="I84" s="38">
        <f>'Scenario Analysis'!E15</f>
        <v>-1.656479892411606E-2</v>
      </c>
      <c r="J84" s="38">
        <f>'Scenario Analysis'!F15</f>
        <v>-1.656479892411606E-2</v>
      </c>
      <c r="K84" s="38">
        <f>'Scenario Analysis'!G15</f>
        <v>-1.656479892411606E-2</v>
      </c>
    </row>
    <row r="85" spans="2:11">
      <c r="B85" s="12" t="s">
        <v>69</v>
      </c>
      <c r="C85" s="392">
        <f t="shared" ref="C85:K85" si="30">C29/C10</f>
        <v>-9.128955529461355E-2</v>
      </c>
      <c r="D85" s="392">
        <f t="shared" si="30"/>
        <v>-0.10657085318094332</v>
      </c>
      <c r="E85" s="392">
        <f t="shared" si="30"/>
        <v>-0.10596421031472403</v>
      </c>
      <c r="F85" s="393">
        <f t="shared" si="30"/>
        <v>-8.2579103208377164E-2</v>
      </c>
      <c r="G85" s="38">
        <f t="shared" si="30"/>
        <v>-8.7074711581296843E-2</v>
      </c>
      <c r="H85" s="38">
        <f t="shared" si="30"/>
        <v>-8.788776016863635E-2</v>
      </c>
      <c r="I85" s="38">
        <f t="shared" si="30"/>
        <v>-8.8281219060072691E-2</v>
      </c>
      <c r="J85" s="38">
        <f t="shared" si="30"/>
        <v>-8.8396825937096718E-2</v>
      </c>
      <c r="K85" s="38">
        <f t="shared" si="30"/>
        <v>-8.8633003582706982E-2</v>
      </c>
    </row>
    <row r="86" spans="2:11">
      <c r="C86" s="394"/>
      <c r="D86" s="394"/>
      <c r="E86" s="394"/>
      <c r="F86" s="395"/>
    </row>
    <row r="87" spans="2:11">
      <c r="B87" s="12" t="s">
        <v>70</v>
      </c>
      <c r="C87" s="392">
        <f>C44/C10</f>
        <v>-1.8983235362009796E-3</v>
      </c>
      <c r="D87" s="392">
        <f>D44/D10</f>
        <v>-3.896943529988779E-4</v>
      </c>
      <c r="E87" s="392">
        <f>E44/E10</f>
        <v>-6.4111124455930324E-4</v>
      </c>
      <c r="F87" s="393">
        <f>F44/F10</f>
        <v>-4.6379009944174353E-4</v>
      </c>
      <c r="G87" s="38">
        <v>-5.0000000000000001E-4</v>
      </c>
      <c r="H87" s="38">
        <v>-5.0000000000000001E-4</v>
      </c>
      <c r="I87" s="38">
        <v>-5.0000000000000001E-4</v>
      </c>
      <c r="J87" s="38">
        <v>-5.0000000000000001E-4</v>
      </c>
      <c r="K87" s="38">
        <v>-5.0000000000000001E-4</v>
      </c>
    </row>
    <row r="88" spans="2:11">
      <c r="B88" s="12" t="s">
        <v>71</v>
      </c>
      <c r="C88" s="392">
        <f>C46/C10</f>
        <v>-2.2321758017029712E-3</v>
      </c>
      <c r="D88" s="392">
        <f>D46/D10</f>
        <v>-1.9829527298669066E-3</v>
      </c>
      <c r="E88" s="392">
        <f>E46/E10</f>
        <v>-1.5493055141446218E-3</v>
      </c>
      <c r="F88" s="393">
        <f>F46/F10</f>
        <v>-9.5984935996333543E-4</v>
      </c>
      <c r="G88" s="38">
        <v>-1E-3</v>
      </c>
      <c r="H88" s="38">
        <f>G88</f>
        <v>-1E-3</v>
      </c>
      <c r="I88" s="38">
        <f t="shared" ref="I88:K88" si="31">H88</f>
        <v>-1E-3</v>
      </c>
      <c r="J88" s="38">
        <f t="shared" si="31"/>
        <v>-1E-3</v>
      </c>
      <c r="K88" s="38">
        <f t="shared" si="31"/>
        <v>-1E-3</v>
      </c>
    </row>
    <row r="89" spans="2:11">
      <c r="C89" s="394"/>
      <c r="D89" s="394"/>
      <c r="E89" s="394"/>
      <c r="F89" s="395"/>
    </row>
    <row r="90" spans="2:11">
      <c r="B90" s="12" t="s">
        <v>72</v>
      </c>
      <c r="C90" s="392">
        <f>-C52/C51</f>
        <v>0.10197923288832379</v>
      </c>
      <c r="D90" s="392">
        <f>-D52/D51</f>
        <v>0.15620271917290074</v>
      </c>
      <c r="E90" s="392">
        <f>-E52/E51</f>
        <v>0.15069608816268357</v>
      </c>
      <c r="F90" s="393">
        <f>-F52/F51</f>
        <v>0.19978913946500834</v>
      </c>
      <c r="G90" s="39">
        <v>0.2</v>
      </c>
      <c r="H90" s="39">
        <f>G90</f>
        <v>0.2</v>
      </c>
      <c r="I90" s="39">
        <f t="shared" ref="I90:K90" si="32">H90</f>
        <v>0.2</v>
      </c>
      <c r="J90" s="39">
        <f t="shared" si="32"/>
        <v>0.2</v>
      </c>
      <c r="K90" s="39">
        <f t="shared" si="32"/>
        <v>0.2</v>
      </c>
    </row>
    <row r="91" spans="2:11">
      <c r="F91" s="591"/>
    </row>
    <row r="92" spans="2:11">
      <c r="B92" s="541" t="s">
        <v>73</v>
      </c>
      <c r="C92" s="584" t="s">
        <v>14</v>
      </c>
      <c r="D92" s="543" t="s">
        <v>15</v>
      </c>
      <c r="E92" s="543" t="s">
        <v>16</v>
      </c>
      <c r="F92" s="590" t="s">
        <v>17</v>
      </c>
      <c r="G92" s="592" t="s">
        <v>18</v>
      </c>
      <c r="H92" s="592" t="s">
        <v>19</v>
      </c>
      <c r="I92" s="592" t="s">
        <v>20</v>
      </c>
      <c r="J92" s="592" t="s">
        <v>21</v>
      </c>
      <c r="K92" s="592" t="s">
        <v>22</v>
      </c>
    </row>
    <row r="93" spans="2:11">
      <c r="B93" s="545" t="s">
        <v>74</v>
      </c>
      <c r="C93" s="545"/>
      <c r="D93" s="546"/>
      <c r="E93" s="546"/>
      <c r="F93" s="593"/>
      <c r="G93" s="545"/>
      <c r="H93" s="546"/>
      <c r="I93" s="546"/>
      <c r="J93" s="545"/>
      <c r="K93" s="546"/>
    </row>
    <row r="94" spans="2:11">
      <c r="B94" s="50" t="s">
        <v>75</v>
      </c>
      <c r="E94" s="594"/>
      <c r="F94" s="30"/>
    </row>
    <row r="95" spans="2:11">
      <c r="B95" s="49" t="s">
        <v>76</v>
      </c>
      <c r="C95" s="595">
        <v>107262</v>
      </c>
      <c r="D95" s="595">
        <v>72935</v>
      </c>
      <c r="E95" s="595">
        <v>81617</v>
      </c>
      <c r="F95" s="596">
        <v>68906</v>
      </c>
      <c r="G95" s="68">
        <f>G177</f>
        <v>2055827.9955126485</v>
      </c>
      <c r="H95" s="68">
        <f ca="1">H177</f>
        <v>1848009.274113501</v>
      </c>
      <c r="I95" s="68">
        <f t="shared" ref="I95:K95" ca="1" si="33">I177</f>
        <v>1584401.0555563208</v>
      </c>
      <c r="J95" s="68">
        <f t="shared" ca="1" si="33"/>
        <v>2140778.8267728039</v>
      </c>
      <c r="K95" s="68">
        <f t="shared" ca="1" si="33"/>
        <v>2167031.5918327305</v>
      </c>
    </row>
    <row r="96" spans="2:11">
      <c r="B96" s="49" t="s">
        <v>77</v>
      </c>
      <c r="C96" s="597">
        <v>107</v>
      </c>
      <c r="D96" s="597">
        <v>110</v>
      </c>
      <c r="E96" s="597">
        <v>103</v>
      </c>
      <c r="F96" s="598">
        <v>166</v>
      </c>
      <c r="G96" s="253">
        <f>F96</f>
        <v>166</v>
      </c>
      <c r="H96" s="253">
        <f>$F$96</f>
        <v>166</v>
      </c>
      <c r="I96" s="253">
        <f t="shared" ref="I96:K96" si="34">$F$96</f>
        <v>166</v>
      </c>
      <c r="J96" s="253">
        <f t="shared" si="34"/>
        <v>166</v>
      </c>
      <c r="K96" s="253">
        <f t="shared" si="34"/>
        <v>166</v>
      </c>
    </row>
    <row r="97" spans="2:12">
      <c r="B97" s="49" t="s">
        <v>78</v>
      </c>
      <c r="C97" s="597">
        <v>385737</v>
      </c>
      <c r="D97" s="597">
        <v>406338</v>
      </c>
      <c r="E97" s="597">
        <v>405387</v>
      </c>
      <c r="F97" s="598">
        <v>469092</v>
      </c>
      <c r="G97" s="68">
        <f>G139*G10/365</f>
        <v>643076.53828958026</v>
      </c>
      <c r="H97" s="68">
        <f>H139*H10/365</f>
        <v>712777.15385206102</v>
      </c>
      <c r="I97" s="68">
        <f t="shared" ref="I97:K97" si="35">I139*I10/365</f>
        <v>740229.60336803051</v>
      </c>
      <c r="J97" s="68">
        <f t="shared" si="35"/>
        <v>749589.45183035661</v>
      </c>
      <c r="K97" s="68">
        <f t="shared" si="35"/>
        <v>771361.32565441495</v>
      </c>
    </row>
    <row r="98" spans="2:12">
      <c r="B98" s="49" t="s">
        <v>79</v>
      </c>
      <c r="C98" s="597">
        <v>341028</v>
      </c>
      <c r="D98" s="597">
        <v>362957</v>
      </c>
      <c r="E98" s="597">
        <v>405922</v>
      </c>
      <c r="F98" s="598">
        <v>457465</v>
      </c>
      <c r="G98" s="68">
        <f>-G140*G16/365</f>
        <v>621227.87398986961</v>
      </c>
      <c r="H98" s="68">
        <f>H140*-H16/365</f>
        <v>684900.54530636698</v>
      </c>
      <c r="I98" s="68">
        <f t="shared" ref="I98:K98" si="36">-I140*I16/365</f>
        <v>706793.74316164374</v>
      </c>
      <c r="J98" s="68">
        <f t="shared" si="36"/>
        <v>710301.72643552604</v>
      </c>
      <c r="K98" s="68">
        <f t="shared" si="36"/>
        <v>725816.95127160789</v>
      </c>
    </row>
    <row r="99" spans="2:12">
      <c r="B99" s="49" t="s">
        <v>80</v>
      </c>
      <c r="C99" s="597">
        <v>35247</v>
      </c>
      <c r="D99" s="597">
        <v>46599</v>
      </c>
      <c r="E99" s="597">
        <v>47793</v>
      </c>
      <c r="F99" s="598">
        <v>53711</v>
      </c>
      <c r="G99" s="253">
        <f>-G141*G29/365</f>
        <v>77640.756696639684</v>
      </c>
      <c r="H99" s="253">
        <f>-H141*H29/365</f>
        <v>86859.478433013079</v>
      </c>
      <c r="I99" s="253">
        <f t="shared" ref="I99:K99" si="37">-I141*I29/365</f>
        <v>90608.683558460587</v>
      </c>
      <c r="J99" s="253">
        <f t="shared" si="37"/>
        <v>91874.542016940235</v>
      </c>
      <c r="K99" s="253">
        <f t="shared" si="37"/>
        <v>94795.643038907991</v>
      </c>
    </row>
    <row r="100" spans="2:12">
      <c r="B100" s="49" t="s">
        <v>81</v>
      </c>
      <c r="C100" s="597">
        <v>6462</v>
      </c>
      <c r="D100" s="597">
        <v>3317</v>
      </c>
      <c r="E100" s="597">
        <v>3883</v>
      </c>
      <c r="F100" s="598">
        <v>1075</v>
      </c>
      <c r="G100" s="591">
        <f>F100</f>
        <v>1075</v>
      </c>
      <c r="H100" s="591">
        <f>$F$100</f>
        <v>1075</v>
      </c>
      <c r="I100" s="591">
        <f t="shared" ref="I100:K100" si="38">$F$100</f>
        <v>1075</v>
      </c>
      <c r="J100" s="591">
        <f t="shared" si="38"/>
        <v>1075</v>
      </c>
      <c r="K100" s="591">
        <f t="shared" si="38"/>
        <v>1075</v>
      </c>
    </row>
    <row r="101" spans="2:12">
      <c r="B101" s="599" t="s">
        <v>82</v>
      </c>
      <c r="C101" s="597">
        <v>22099</v>
      </c>
      <c r="D101" s="597">
        <v>25032</v>
      </c>
      <c r="E101" s="597">
        <v>42289</v>
      </c>
      <c r="F101" s="600">
        <v>38599</v>
      </c>
      <c r="G101" s="253">
        <f>G10*G142</f>
        <v>50639.790818866386</v>
      </c>
      <c r="H101" s="253">
        <f t="shared" ref="H101:K101" si="39">H10*H142</f>
        <v>56128.444784408566</v>
      </c>
      <c r="I101" s="253">
        <f t="shared" si="39"/>
        <v>58290.219033943045</v>
      </c>
      <c r="J101" s="253">
        <f t="shared" si="39"/>
        <v>59027.27090880875</v>
      </c>
      <c r="K101" s="253">
        <f t="shared" si="39"/>
        <v>60741.721787575836</v>
      </c>
    </row>
    <row r="102" spans="2:12">
      <c r="B102" s="50" t="s">
        <v>83</v>
      </c>
      <c r="C102" s="601">
        <v>897942</v>
      </c>
      <c r="D102" s="601">
        <v>917288</v>
      </c>
      <c r="E102" s="601">
        <v>986994</v>
      </c>
      <c r="F102" s="598">
        <v>1089014</v>
      </c>
      <c r="G102" s="602">
        <f>SUM(G95:G101)</f>
        <v>3449653.9553076047</v>
      </c>
      <c r="H102" s="603">
        <f ca="1">SUM(H95:H101)</f>
        <v>3389915.8964893501</v>
      </c>
      <c r="I102" s="603">
        <f t="shared" ref="I102:K102" ca="1" si="40">SUM(I95:I101)</f>
        <v>3181564.3046783991</v>
      </c>
      <c r="J102" s="603">
        <f t="shared" ca="1" si="40"/>
        <v>3752812.817964436</v>
      </c>
      <c r="K102" s="603">
        <f t="shared" ca="1" si="40"/>
        <v>3820988.2335852371</v>
      </c>
    </row>
    <row r="103" spans="2:12">
      <c r="B103" s="49" t="s">
        <v>84</v>
      </c>
      <c r="C103" s="597">
        <v>1687858</v>
      </c>
      <c r="D103" s="597">
        <v>1802411</v>
      </c>
      <c r="E103" s="597">
        <v>1863814</v>
      </c>
      <c r="F103" s="598">
        <v>1840080</v>
      </c>
      <c r="G103" s="604">
        <f>F103-G166-G152</f>
        <v>2022031.1302976687</v>
      </c>
      <c r="H103" s="604">
        <f>G103-H166-H152</f>
        <v>2247448.9675540272</v>
      </c>
      <c r="I103" s="604">
        <f t="shared" ref="I103:K103" si="41">H103-I166-I152</f>
        <v>2453534.4296628139</v>
      </c>
      <c r="J103" s="604">
        <f t="shared" si="41"/>
        <v>2629267.3399779559</v>
      </c>
      <c r="K103" s="604">
        <f t="shared" si="41"/>
        <v>2780860.5267150188</v>
      </c>
    </row>
    <row r="104" spans="2:12">
      <c r="B104" s="49" t="s">
        <v>85</v>
      </c>
      <c r="C104" s="597">
        <v>595862</v>
      </c>
      <c r="D104" s="597">
        <v>526394</v>
      </c>
      <c r="E104" s="597">
        <v>473680</v>
      </c>
      <c r="F104" s="598">
        <v>397801</v>
      </c>
      <c r="G104" s="605">
        <f>IF('Operating Model'!F104-G153&gt;0, F104-G153,0)</f>
        <v>207359.90956659935</v>
      </c>
      <c r="H104" s="605">
        <f>IF('Operating Model'!G104-H153&gt;0, G104-H153,0)</f>
        <v>0</v>
      </c>
      <c r="I104" s="605">
        <f>IF('Operating Model'!H104-I153&gt;0, H104-I153,0)</f>
        <v>0</v>
      </c>
      <c r="J104" s="605">
        <f>IF('Operating Model'!I104-J153&gt;0, I104-J153,0)</f>
        <v>0</v>
      </c>
      <c r="K104" s="605">
        <f>IF('Operating Model'!J104-K153&gt;0, J104-K153,0)</f>
        <v>0</v>
      </c>
      <c r="L104" s="606"/>
    </row>
    <row r="105" spans="2:12">
      <c r="B105" s="49" t="s">
        <v>86</v>
      </c>
      <c r="C105" s="597">
        <v>1229159</v>
      </c>
      <c r="D105" s="597">
        <v>1223291</v>
      </c>
      <c r="E105" s="597">
        <v>1260240</v>
      </c>
      <c r="F105" s="598">
        <v>1219116</v>
      </c>
      <c r="G105" s="591">
        <f>$F$105</f>
        <v>1219116</v>
      </c>
      <c r="H105" s="591">
        <f t="shared" ref="H105:K105" si="42">$F$105</f>
        <v>1219116</v>
      </c>
      <c r="I105" s="591">
        <f t="shared" si="42"/>
        <v>1219116</v>
      </c>
      <c r="J105" s="591">
        <f t="shared" si="42"/>
        <v>1219116</v>
      </c>
      <c r="K105" s="591">
        <f t="shared" si="42"/>
        <v>1219116</v>
      </c>
    </row>
    <row r="106" spans="2:12">
      <c r="B106" s="49" t="s">
        <v>87</v>
      </c>
      <c r="C106" s="597">
        <v>410177</v>
      </c>
      <c r="D106" s="597">
        <v>689354</v>
      </c>
      <c r="E106" s="597">
        <v>804682</v>
      </c>
      <c r="F106" s="598">
        <v>1349247</v>
      </c>
      <c r="G106" s="591">
        <f>F106-G154</f>
        <v>1705557.7810954107</v>
      </c>
      <c r="H106" s="591">
        <f t="shared" ref="H106:K106" ca="1" si="43">G106-H154</f>
        <v>2241950.4745958936</v>
      </c>
      <c r="I106" s="591">
        <f t="shared" ca="1" si="43"/>
        <v>2838485.8677040571</v>
      </c>
      <c r="J106" s="591">
        <f t="shared" ca="1" si="43"/>
        <v>3495021.2608122206</v>
      </c>
      <c r="K106" s="591">
        <f t="shared" ca="1" si="43"/>
        <v>4211556.6539203841</v>
      </c>
    </row>
    <row r="107" spans="2:12">
      <c r="B107" s="49" t="s">
        <v>88</v>
      </c>
      <c r="C107" s="597">
        <v>0</v>
      </c>
      <c r="D107" s="597">
        <v>124726</v>
      </c>
      <c r="E107" s="597">
        <v>146563</v>
      </c>
      <c r="F107" s="598">
        <v>155464</v>
      </c>
      <c r="G107" s="591">
        <f>'Supporting Schedules'!F149</f>
        <v>154713.36939289057</v>
      </c>
      <c r="H107" s="591">
        <f>'Supporting Schedules'!G149</f>
        <v>113291.35946930468</v>
      </c>
      <c r="I107" s="591">
        <f>'Supporting Schedules'!H149</f>
        <v>76367.773380365237</v>
      </c>
      <c r="J107" s="591">
        <f>'Supporting Schedules'!I149</f>
        <v>46684.814370760163</v>
      </c>
      <c r="K107" s="591">
        <f>'Supporting Schedules'!J149</f>
        <v>25466.662885074242</v>
      </c>
    </row>
    <row r="108" spans="2:12">
      <c r="B108" s="49" t="s">
        <v>89</v>
      </c>
      <c r="C108" s="597">
        <v>53375</v>
      </c>
      <c r="D108" s="597">
        <v>47400</v>
      </c>
      <c r="E108" s="597">
        <v>60682</v>
      </c>
      <c r="F108" s="598">
        <v>66795</v>
      </c>
      <c r="G108" s="591">
        <f>F108</f>
        <v>66795</v>
      </c>
      <c r="H108" s="591">
        <f t="shared" ref="H108:K108" si="44">G108</f>
        <v>66795</v>
      </c>
      <c r="I108" s="591">
        <f t="shared" si="44"/>
        <v>66795</v>
      </c>
      <c r="J108" s="591">
        <f t="shared" si="44"/>
        <v>66795</v>
      </c>
      <c r="K108" s="591">
        <f t="shared" si="44"/>
        <v>66795</v>
      </c>
    </row>
    <row r="109" spans="2:12" ht="17.100000000000001" thickBot="1">
      <c r="B109" s="607" t="s">
        <v>90</v>
      </c>
      <c r="C109" s="608">
        <v>14981</v>
      </c>
      <c r="D109" s="608">
        <v>14394</v>
      </c>
      <c r="E109" s="608">
        <v>16676</v>
      </c>
      <c r="F109" s="609">
        <v>16211</v>
      </c>
      <c r="G109" s="610">
        <f>F109</f>
        <v>16211</v>
      </c>
      <c r="H109" s="611">
        <f t="shared" ref="H109:K109" si="45">G109</f>
        <v>16211</v>
      </c>
      <c r="I109" s="611">
        <f t="shared" si="45"/>
        <v>16211</v>
      </c>
      <c r="J109" s="611">
        <f t="shared" si="45"/>
        <v>16211</v>
      </c>
      <c r="K109" s="611">
        <f t="shared" si="45"/>
        <v>16211</v>
      </c>
    </row>
    <row r="110" spans="2:12" ht="17.100000000000001" thickTop="1">
      <c r="B110" s="50" t="s">
        <v>91</v>
      </c>
      <c r="C110" s="612">
        <v>4889354</v>
      </c>
      <c r="D110" s="612">
        <v>5345258</v>
      </c>
      <c r="E110" s="612">
        <v>5613331</v>
      </c>
      <c r="F110" s="613">
        <v>6133728</v>
      </c>
      <c r="G110" s="16">
        <f>SUM(G102:G109)</f>
        <v>8841438.1456601731</v>
      </c>
      <c r="H110" s="16">
        <f t="shared" ref="H110:K110" ca="1" si="46">SUM(H102:H109)</f>
        <v>9294728.6981085744</v>
      </c>
      <c r="I110" s="16">
        <f t="shared" ca="1" si="46"/>
        <v>9852074.3754256368</v>
      </c>
      <c r="J110" s="16">
        <f t="shared" ca="1" si="46"/>
        <v>11225908.233125374</v>
      </c>
      <c r="K110" s="16">
        <f t="shared" ca="1" si="46"/>
        <v>12140994.077105714</v>
      </c>
    </row>
    <row r="111" spans="2:12">
      <c r="B111" s="50" t="s">
        <v>92</v>
      </c>
      <c r="C111" s="614"/>
      <c r="D111" s="614"/>
      <c r="E111" s="615"/>
      <c r="F111" s="616"/>
    </row>
    <row r="112" spans="2:12">
      <c r="B112" s="49" t="s">
        <v>93</v>
      </c>
      <c r="C112" s="595">
        <v>7492</v>
      </c>
      <c r="D112" s="595">
        <v>90996</v>
      </c>
      <c r="E112" s="595">
        <v>27538</v>
      </c>
      <c r="F112" s="596">
        <v>24407</v>
      </c>
      <c r="G112">
        <f>'Supporting Schedules'!F121</f>
        <v>0</v>
      </c>
      <c r="H112">
        <f>'Supporting Schedules'!G121</f>
        <v>0</v>
      </c>
      <c r="I112">
        <f>'Supporting Schedules'!H121</f>
        <v>0</v>
      </c>
      <c r="J112">
        <f>'Supporting Schedules'!I121</f>
        <v>0</v>
      </c>
      <c r="K112">
        <f>'Supporting Schedules'!J121</f>
        <v>0</v>
      </c>
    </row>
    <row r="113" spans="2:12">
      <c r="B113" s="49" t="s">
        <v>94</v>
      </c>
      <c r="C113" s="597">
        <v>219479</v>
      </c>
      <c r="D113" s="597">
        <v>239252</v>
      </c>
      <c r="E113" s="597">
        <v>255340</v>
      </c>
      <c r="F113" s="598">
        <v>307118</v>
      </c>
      <c r="G113" s="68">
        <f>-G139*G16/365</f>
        <v>470152.83366948657</v>
      </c>
      <c r="H113" s="68">
        <f t="shared" ref="H113:K113" si="47">-H139*H16/365</f>
        <v>518341.08809292747</v>
      </c>
      <c r="I113" s="68">
        <f t="shared" si="47"/>
        <v>534910.12731461716</v>
      </c>
      <c r="J113" s="68">
        <f t="shared" si="47"/>
        <v>537565.01185173274</v>
      </c>
      <c r="K113" s="68">
        <f t="shared" si="47"/>
        <v>549307.12328477856</v>
      </c>
    </row>
    <row r="114" spans="2:12">
      <c r="B114" s="49" t="s">
        <v>95</v>
      </c>
      <c r="C114" s="597">
        <v>4043</v>
      </c>
      <c r="D114" s="597">
        <v>8895</v>
      </c>
      <c r="E114" s="597">
        <v>17497</v>
      </c>
      <c r="F114" s="598">
        <v>32310</v>
      </c>
      <c r="G114" s="591">
        <f>F114</f>
        <v>32310</v>
      </c>
      <c r="H114" s="591">
        <f t="shared" ref="H114:K114" si="48">G114</f>
        <v>32310</v>
      </c>
      <c r="I114" s="591">
        <f t="shared" si="48"/>
        <v>32310</v>
      </c>
      <c r="J114" s="591">
        <f t="shared" si="48"/>
        <v>32310</v>
      </c>
      <c r="K114" s="591">
        <f t="shared" si="48"/>
        <v>32310</v>
      </c>
    </row>
    <row r="115" spans="2:12">
      <c r="B115" s="49" t="s">
        <v>96</v>
      </c>
      <c r="C115" s="597">
        <v>0</v>
      </c>
      <c r="D115" s="597">
        <v>37805</v>
      </c>
      <c r="E115" s="597">
        <v>39459</v>
      </c>
      <c r="F115" s="598">
        <v>38168</v>
      </c>
      <c r="G115" s="597">
        <f>'Supporting Schedules'!F147</f>
        <v>42431</v>
      </c>
      <c r="H115" s="597">
        <f>'Supporting Schedules'!G147</f>
        <v>37823</v>
      </c>
      <c r="I115" s="597">
        <f>'Supporting Schedules'!H147</f>
        <v>30406</v>
      </c>
      <c r="J115" s="597">
        <f>'Supporting Schedules'!I147</f>
        <v>21735</v>
      </c>
      <c r="K115" s="597">
        <f>'Supporting Schedules'!J147</f>
        <v>12783</v>
      </c>
    </row>
    <row r="116" spans="2:12">
      <c r="B116" s="599" t="s">
        <v>97</v>
      </c>
      <c r="C116" s="597">
        <v>309484</v>
      </c>
      <c r="D116" s="597">
        <v>311391</v>
      </c>
      <c r="E116" s="597">
        <v>335471</v>
      </c>
      <c r="F116" s="600">
        <v>350681</v>
      </c>
      <c r="G116" s="617">
        <f>-G145*G29</f>
        <v>504280.74705159623</v>
      </c>
      <c r="H116" s="618">
        <f t="shared" ref="H116:K116" si="49">-H145*H29</f>
        <v>564156.82350771816</v>
      </c>
      <c r="I116" s="618">
        <f t="shared" si="49"/>
        <v>588508.10551412054</v>
      </c>
      <c r="J116" s="618">
        <f t="shared" si="49"/>
        <v>596729.92194486293</v>
      </c>
      <c r="K116" s="618">
        <f t="shared" si="49"/>
        <v>615702.62479121261</v>
      </c>
    </row>
    <row r="117" spans="2:12">
      <c r="B117" s="49" t="s">
        <v>98</v>
      </c>
      <c r="C117" s="619">
        <v>540498</v>
      </c>
      <c r="D117" s="619">
        <v>688339</v>
      </c>
      <c r="E117" s="619">
        <v>675305</v>
      </c>
      <c r="F117" s="620">
        <v>752684</v>
      </c>
      <c r="G117" s="16">
        <f>SUM(G112:G116)</f>
        <v>1049174.5807210829</v>
      </c>
      <c r="H117" s="16">
        <f t="shared" ref="H117:K117" si="50">SUM(H112:H116)</f>
        <v>1152630.9116006456</v>
      </c>
      <c r="I117" s="16">
        <f t="shared" si="50"/>
        <v>1186134.2328287377</v>
      </c>
      <c r="J117" s="16">
        <f t="shared" si="50"/>
        <v>1188339.9337965958</v>
      </c>
      <c r="K117" s="16">
        <f t="shared" si="50"/>
        <v>1210102.7480759912</v>
      </c>
    </row>
    <row r="118" spans="2:12">
      <c r="B118" s="49" t="s">
        <v>99</v>
      </c>
      <c r="C118" s="597">
        <v>1666940</v>
      </c>
      <c r="D118" s="597">
        <v>1558429</v>
      </c>
      <c r="E118" s="597">
        <v>1480531</v>
      </c>
      <c r="F118" s="598">
        <v>1438974</v>
      </c>
      <c r="G118" s="591">
        <f>F118+'Supporting Schedules'!F45+'Supporting Schedules'!F46+'Supporting Schedules'!F50+'Supporting Schedules'!F51</f>
        <v>3166561</v>
      </c>
      <c r="H118" s="591">
        <f>G118+'Supporting Schedules'!G45+'Supporting Schedules'!G46+'Supporting Schedules'!G50+'Supporting Schedules'!G51</f>
        <v>2670787</v>
      </c>
      <c r="I118" s="591">
        <f>H118+'Supporting Schedules'!H45+'Supporting Schedules'!H46+'Supporting Schedules'!H50+'Supporting Schedules'!H51</f>
        <v>2073481</v>
      </c>
      <c r="J118" s="591">
        <f>I118+'Supporting Schedules'!I45+'Supporting Schedules'!I46+'Supporting Schedules'!I50+'Supporting Schedules'!I51</f>
        <v>2073481</v>
      </c>
      <c r="K118" s="591">
        <f>J118+'Supporting Schedules'!J45+'Supporting Schedules'!J46+'Supporting Schedules'!J50+'Supporting Schedules'!J51</f>
        <v>1495532</v>
      </c>
    </row>
    <row r="119" spans="2:12">
      <c r="B119" s="49" t="s">
        <v>100</v>
      </c>
      <c r="C119" s="597">
        <v>0</v>
      </c>
      <c r="D119" s="597">
        <v>91424</v>
      </c>
      <c r="E119" s="597">
        <v>109707</v>
      </c>
      <c r="F119" s="598">
        <v>120314</v>
      </c>
      <c r="G119" s="591">
        <f>'Supporting Schedules'!F148</f>
        <v>116051</v>
      </c>
      <c r="H119" s="591">
        <f>'Supporting Schedules'!G148</f>
        <v>78228</v>
      </c>
      <c r="I119" s="591">
        <f>'Supporting Schedules'!H148</f>
        <v>47822</v>
      </c>
      <c r="J119" s="591">
        <f>'Supporting Schedules'!I148</f>
        <v>26087</v>
      </c>
      <c r="K119" s="591">
        <f>'Supporting Schedules'!J148</f>
        <v>13304</v>
      </c>
    </row>
    <row r="120" spans="2:12">
      <c r="B120" s="49" t="s">
        <v>101</v>
      </c>
      <c r="C120" s="597">
        <v>115032</v>
      </c>
      <c r="D120" s="597">
        <v>115785</v>
      </c>
      <c r="E120" s="597">
        <v>117371</v>
      </c>
      <c r="F120" s="598">
        <v>111029</v>
      </c>
      <c r="G120" s="591">
        <f>$F$120</f>
        <v>111029</v>
      </c>
      <c r="H120" s="591">
        <f t="shared" ref="H120:K120" si="51">$F$120</f>
        <v>111029</v>
      </c>
      <c r="I120" s="591">
        <f t="shared" si="51"/>
        <v>111029</v>
      </c>
      <c r="J120" s="591">
        <f t="shared" si="51"/>
        <v>111029</v>
      </c>
      <c r="K120" s="591">
        <f t="shared" si="51"/>
        <v>111029</v>
      </c>
      <c r="L120" s="591"/>
    </row>
    <row r="121" spans="2:12">
      <c r="B121" s="49" t="s">
        <v>90</v>
      </c>
      <c r="C121" s="597">
        <v>231063</v>
      </c>
      <c r="D121" s="597">
        <v>247931</v>
      </c>
      <c r="E121" s="597">
        <v>276208</v>
      </c>
      <c r="F121" s="600">
        <v>362942</v>
      </c>
      <c r="G121" s="621">
        <f>$F$121</f>
        <v>362942</v>
      </c>
      <c r="H121" s="622">
        <f t="shared" ref="H121:K121" si="52">$F$121</f>
        <v>362942</v>
      </c>
      <c r="I121" s="622">
        <f t="shared" si="52"/>
        <v>362942</v>
      </c>
      <c r="J121" s="622">
        <f t="shared" si="52"/>
        <v>362942</v>
      </c>
      <c r="K121" s="622">
        <f t="shared" si="52"/>
        <v>362942</v>
      </c>
    </row>
    <row r="122" spans="2:12">
      <c r="B122" s="51" t="s">
        <v>102</v>
      </c>
      <c r="C122" s="619">
        <v>2553533</v>
      </c>
      <c r="D122" s="619">
        <v>2701908</v>
      </c>
      <c r="E122" s="619">
        <v>2659122</v>
      </c>
      <c r="F122" s="620">
        <v>2785943</v>
      </c>
      <c r="G122" s="16">
        <f>SUM(G117:G121)</f>
        <v>4805757.5807210831</v>
      </c>
      <c r="H122" s="16">
        <f t="shared" ref="H122:K122" si="53">SUM(H117:H121)</f>
        <v>4375616.9116006456</v>
      </c>
      <c r="I122" s="16">
        <f t="shared" si="53"/>
        <v>3781408.2328287377</v>
      </c>
      <c r="J122" s="16">
        <f t="shared" si="53"/>
        <v>3761878.9337965958</v>
      </c>
      <c r="K122" s="16">
        <f t="shared" si="53"/>
        <v>3192909.7480759909</v>
      </c>
    </row>
    <row r="123" spans="2:12">
      <c r="B123" s="50" t="s">
        <v>103</v>
      </c>
      <c r="C123" s="614"/>
      <c r="D123" s="614"/>
      <c r="E123" s="615"/>
      <c r="F123" s="616"/>
    </row>
    <row r="124" spans="2:12">
      <c r="B124" s="49" t="s">
        <v>104</v>
      </c>
      <c r="C124" s="597">
        <v>1681</v>
      </c>
      <c r="D124" s="597">
        <v>1686</v>
      </c>
      <c r="E124" s="597">
        <v>1699</v>
      </c>
      <c r="F124" s="598">
        <v>1717</v>
      </c>
      <c r="G124" s="591">
        <f>F124</f>
        <v>1717</v>
      </c>
      <c r="H124" s="591">
        <f t="shared" ref="H124:K124" si="54">G124</f>
        <v>1717</v>
      </c>
      <c r="I124" s="591">
        <f t="shared" si="54"/>
        <v>1717</v>
      </c>
      <c r="J124" s="591">
        <f t="shared" si="54"/>
        <v>1717</v>
      </c>
      <c r="K124" s="591">
        <f t="shared" si="54"/>
        <v>1717</v>
      </c>
    </row>
    <row r="125" spans="2:12">
      <c r="B125" s="49" t="s">
        <v>105</v>
      </c>
      <c r="C125" s="597">
        <v>1536157</v>
      </c>
      <c r="D125" s="597">
        <v>1560897</v>
      </c>
      <c r="E125" s="597">
        <v>1597429</v>
      </c>
      <c r="F125" s="598">
        <v>1627816</v>
      </c>
      <c r="G125" s="591">
        <f>F125</f>
        <v>1627816</v>
      </c>
      <c r="H125" s="591">
        <f t="shared" ref="H125:K125" si="55">G125</f>
        <v>1627816</v>
      </c>
      <c r="I125" s="591">
        <f t="shared" si="55"/>
        <v>1627816</v>
      </c>
      <c r="J125" s="591">
        <f t="shared" si="55"/>
        <v>1627816</v>
      </c>
      <c r="K125" s="591">
        <f t="shared" si="55"/>
        <v>1627816</v>
      </c>
    </row>
    <row r="126" spans="2:12">
      <c r="B126" s="49" t="s">
        <v>106</v>
      </c>
      <c r="C126" s="597">
        <v>-47756</v>
      </c>
      <c r="D126" s="597">
        <v>-75022</v>
      </c>
      <c r="E126" s="597">
        <v>-151710</v>
      </c>
      <c r="F126" s="598">
        <v>-374721</v>
      </c>
      <c r="G126" s="591">
        <f>F126+G173</f>
        <v>-541387.66666666663</v>
      </c>
      <c r="H126" s="591">
        <f t="shared" ref="H126:K126" si="56">G126+H173</f>
        <v>-708054.33333333326</v>
      </c>
      <c r="I126" s="591">
        <f t="shared" si="56"/>
        <v>-874720.99999999988</v>
      </c>
      <c r="J126" s="591">
        <f t="shared" si="56"/>
        <v>-874720.99999999988</v>
      </c>
      <c r="K126" s="591">
        <f t="shared" si="56"/>
        <v>-874720.99999999988</v>
      </c>
    </row>
    <row r="127" spans="2:12">
      <c r="B127" s="49" t="s">
        <v>107</v>
      </c>
      <c r="C127" s="597">
        <v>-304539</v>
      </c>
      <c r="D127" s="597">
        <v>-321847</v>
      </c>
      <c r="E127" s="597">
        <v>-252433</v>
      </c>
      <c r="F127" s="598">
        <v>-321690</v>
      </c>
      <c r="G127" s="591">
        <f>F127</f>
        <v>-321690</v>
      </c>
      <c r="H127" s="591">
        <f t="shared" ref="H127:K127" si="57">G127</f>
        <v>-321690</v>
      </c>
      <c r="I127" s="591">
        <f t="shared" si="57"/>
        <v>-321690</v>
      </c>
      <c r="J127" s="591">
        <f t="shared" si="57"/>
        <v>-321690</v>
      </c>
      <c r="K127" s="591">
        <f t="shared" si="57"/>
        <v>-321690</v>
      </c>
    </row>
    <row r="128" spans="2:12">
      <c r="B128" s="49" t="s">
        <v>108</v>
      </c>
      <c r="C128" s="597">
        <v>1087505</v>
      </c>
      <c r="D128" s="597">
        <v>1400105</v>
      </c>
      <c r="E128" s="597">
        <v>1696924</v>
      </c>
      <c r="F128" s="598">
        <v>2347838</v>
      </c>
      <c r="G128" s="591">
        <f>F128+G150</f>
        <v>3202400.231605758</v>
      </c>
      <c r="H128" s="591">
        <f t="shared" ref="H128:K128" ca="1" si="58">G128+H150</f>
        <v>4252498.1198412636</v>
      </c>
      <c r="I128" s="591">
        <f t="shared" ca="1" si="58"/>
        <v>5570719.1425968967</v>
      </c>
      <c r="J128" s="591">
        <f t="shared" ca="1" si="58"/>
        <v>6964082.2993287761</v>
      </c>
      <c r="K128" s="591">
        <f t="shared" ca="1" si="58"/>
        <v>8448137.3290297221</v>
      </c>
    </row>
    <row r="129" spans="2:11">
      <c r="B129" s="49" t="s">
        <v>109</v>
      </c>
      <c r="C129" s="597">
        <v>2273048</v>
      </c>
      <c r="D129" s="597">
        <v>2565819</v>
      </c>
      <c r="E129" s="597">
        <v>2891909</v>
      </c>
      <c r="F129" s="598">
        <v>3280960</v>
      </c>
      <c r="G129" s="591">
        <f>SUM(G124:G128)</f>
        <v>3968855.5649390914</v>
      </c>
      <c r="H129" s="591">
        <f t="shared" ref="H129:K129" ca="1" si="59">SUM(H124:H128)</f>
        <v>4852286.7865079306</v>
      </c>
      <c r="I129" s="591">
        <f t="shared" ca="1" si="59"/>
        <v>6003841.1425968967</v>
      </c>
      <c r="J129" s="591">
        <f t="shared" ca="1" si="59"/>
        <v>7397204.2993287761</v>
      </c>
      <c r="K129" s="591">
        <f t="shared" ca="1" si="59"/>
        <v>8881259.3290297221</v>
      </c>
    </row>
    <row r="130" spans="2:11">
      <c r="B130" s="49" t="s">
        <v>110</v>
      </c>
      <c r="C130" s="597">
        <v>62773</v>
      </c>
      <c r="D130" s="597">
        <v>77531</v>
      </c>
      <c r="E130" s="597">
        <v>62300</v>
      </c>
      <c r="F130" s="598">
        <v>66825</v>
      </c>
      <c r="G130" s="591">
        <f>F130</f>
        <v>66825</v>
      </c>
      <c r="H130" s="591">
        <f t="shared" ref="H130:K130" si="60">G130</f>
        <v>66825</v>
      </c>
      <c r="I130" s="591">
        <f t="shared" si="60"/>
        <v>66825</v>
      </c>
      <c r="J130" s="591">
        <f t="shared" si="60"/>
        <v>66825</v>
      </c>
      <c r="K130" s="591">
        <f t="shared" si="60"/>
        <v>66825</v>
      </c>
    </row>
    <row r="131" spans="2:11" ht="17.100000000000001" thickBot="1">
      <c r="B131" s="623" t="s">
        <v>111</v>
      </c>
      <c r="C131" s="624">
        <v>2335821</v>
      </c>
      <c r="D131" s="624">
        <v>2643350</v>
      </c>
      <c r="E131" s="624">
        <v>2954209</v>
      </c>
      <c r="F131" s="625">
        <v>3347785</v>
      </c>
      <c r="G131" s="626">
        <f>SUM(G129:G130)</f>
        <v>4035680.5649390914</v>
      </c>
      <c r="H131" s="627">
        <f t="shared" ref="H131:K131" ca="1" si="61">SUM(H129:H130)</f>
        <v>4919111.7865079306</v>
      </c>
      <c r="I131" s="627">
        <f t="shared" ca="1" si="61"/>
        <v>6070666.1425968967</v>
      </c>
      <c r="J131" s="627">
        <f t="shared" ca="1" si="61"/>
        <v>7464029.2993287761</v>
      </c>
      <c r="K131" s="627">
        <f t="shared" ca="1" si="61"/>
        <v>8948084.3290297221</v>
      </c>
    </row>
    <row r="132" spans="2:11" ht="17.100000000000001" thickTop="1">
      <c r="B132" s="49" t="s">
        <v>112</v>
      </c>
      <c r="C132" s="612">
        <v>4889354</v>
      </c>
      <c r="D132" s="612">
        <v>5345258</v>
      </c>
      <c r="E132" s="612">
        <v>5613331</v>
      </c>
      <c r="F132" s="613">
        <v>6133728</v>
      </c>
      <c r="G132" s="591">
        <f>G131+G122</f>
        <v>8841438.145660175</v>
      </c>
      <c r="H132" s="591">
        <f t="shared" ref="H132:K132" ca="1" si="62">H131+H122</f>
        <v>9294728.6981085762</v>
      </c>
      <c r="I132" s="591">
        <f t="shared" ca="1" si="62"/>
        <v>9852074.3754256349</v>
      </c>
      <c r="J132" s="591">
        <f t="shared" ca="1" si="62"/>
        <v>11225908.233125372</v>
      </c>
      <c r="K132" s="591">
        <f t="shared" ca="1" si="62"/>
        <v>12140994.077105712</v>
      </c>
    </row>
    <row r="133" spans="2:11">
      <c r="B133" s="49"/>
      <c r="C133" s="612"/>
      <c r="D133" s="612"/>
      <c r="E133" s="612"/>
      <c r="F133" s="612"/>
      <c r="H133" s="594"/>
    </row>
    <row r="134" spans="2:11">
      <c r="B134" s="49" t="s">
        <v>113</v>
      </c>
      <c r="C134" s="594">
        <f>C132-C110</f>
        <v>0</v>
      </c>
      <c r="D134" s="594">
        <f t="shared" ref="D134:F134" si="63">D132-D110</f>
        <v>0</v>
      </c>
      <c r="E134" s="594">
        <f t="shared" si="63"/>
        <v>0</v>
      </c>
      <c r="F134" s="594">
        <f t="shared" si="63"/>
        <v>0</v>
      </c>
      <c r="G134" s="594">
        <f>ROUND(G132-G110,0)</f>
        <v>0</v>
      </c>
      <c r="H134" s="594">
        <f t="shared" ref="H134:K134" ca="1" si="64">ROUND(H132-H110,0)</f>
        <v>0</v>
      </c>
      <c r="I134" s="594">
        <f t="shared" ca="1" si="64"/>
        <v>0</v>
      </c>
      <c r="J134" s="594">
        <f t="shared" ca="1" si="64"/>
        <v>0</v>
      </c>
      <c r="K134" s="594">
        <f t="shared" ca="1" si="64"/>
        <v>0</v>
      </c>
    </row>
    <row r="135" spans="2:11">
      <c r="B135" s="49" t="s">
        <v>114</v>
      </c>
      <c r="C135" t="str">
        <f>IF(C134=0, "Check", "Error")</f>
        <v>Check</v>
      </c>
      <c r="D135" t="str">
        <f t="shared" ref="D135:K135" si="65">IF(D134=0, "Check", "Error")</f>
        <v>Check</v>
      </c>
      <c r="E135" t="str">
        <f t="shared" si="65"/>
        <v>Check</v>
      </c>
      <c r="F135" t="str">
        <f t="shared" si="65"/>
        <v>Check</v>
      </c>
      <c r="G135" t="str">
        <f t="shared" si="65"/>
        <v>Check</v>
      </c>
      <c r="H135" t="str">
        <f t="shared" ca="1" si="65"/>
        <v>Check</v>
      </c>
      <c r="I135" t="str">
        <f t="shared" ca="1" si="65"/>
        <v>Check</v>
      </c>
      <c r="J135" t="str">
        <f t="shared" ca="1" si="65"/>
        <v>Check</v>
      </c>
      <c r="K135" t="str">
        <f t="shared" ca="1" si="65"/>
        <v>Check</v>
      </c>
    </row>
    <row r="136" spans="2:11">
      <c r="B136" s="49"/>
    </row>
    <row r="137" spans="2:11">
      <c r="B137" s="541" t="s">
        <v>115</v>
      </c>
      <c r="C137" s="628" t="s">
        <v>14</v>
      </c>
      <c r="D137" s="629" t="s">
        <v>15</v>
      </c>
      <c r="E137" s="629" t="s">
        <v>16</v>
      </c>
      <c r="F137" s="630" t="s">
        <v>17</v>
      </c>
      <c r="G137" s="592" t="s">
        <v>18</v>
      </c>
      <c r="H137" s="592" t="s">
        <v>19</v>
      </c>
      <c r="I137" s="592" t="s">
        <v>20</v>
      </c>
      <c r="J137" s="592" t="s">
        <v>21</v>
      </c>
      <c r="K137" s="592" t="s">
        <v>22</v>
      </c>
    </row>
    <row r="138" spans="2:11">
      <c r="B138" s="12" t="s">
        <v>116</v>
      </c>
      <c r="F138" s="30"/>
      <c r="G138" s="48"/>
    </row>
    <row r="139" spans="2:11">
      <c r="B139" t="s">
        <v>117</v>
      </c>
      <c r="C139" s="396">
        <f>C97/C10*365</f>
        <v>41.560033190405598</v>
      </c>
      <c r="D139" s="396">
        <f>D97/D10*365</f>
        <v>44.086104319781228</v>
      </c>
      <c r="E139" s="396">
        <f>E97/E10*365</f>
        <v>41.42481654839704</v>
      </c>
      <c r="F139" s="397">
        <f>F97/F10*365</f>
        <v>36.111633580934111</v>
      </c>
      <c r="G139" s="48">
        <f>F139</f>
        <v>36.111633580934111</v>
      </c>
      <c r="H139" s="48">
        <f>G139</f>
        <v>36.111633580934111</v>
      </c>
      <c r="I139" s="48">
        <f>H139</f>
        <v>36.111633580934111</v>
      </c>
      <c r="J139" s="48">
        <f>I139</f>
        <v>36.111633580934111</v>
      </c>
      <c r="K139" s="48">
        <f>J139</f>
        <v>36.111633580934111</v>
      </c>
    </row>
    <row r="140" spans="2:11">
      <c r="B140" t="s">
        <v>118</v>
      </c>
      <c r="C140" s="396">
        <f>-C98/C16*365</f>
        <v>47.036140772241566</v>
      </c>
      <c r="D140" s="396">
        <f>-D98/D16*365</f>
        <v>51.168387673637596</v>
      </c>
      <c r="E140" s="396">
        <f>-E98/E16*365</f>
        <v>55.102909646070856</v>
      </c>
      <c r="F140" s="397">
        <f>-F98/F16*365</f>
        <v>47.715448571677598</v>
      </c>
      <c r="G140" s="48">
        <f>F140</f>
        <v>47.715448571677598</v>
      </c>
      <c r="H140" s="48">
        <f>G140</f>
        <v>47.715448571677598</v>
      </c>
      <c r="I140" s="48">
        <f t="shared" ref="I140:K141" si="66">H140</f>
        <v>47.715448571677598</v>
      </c>
      <c r="J140" s="48">
        <f t="shared" si="66"/>
        <v>47.715448571677598</v>
      </c>
      <c r="K140" s="48">
        <f t="shared" si="66"/>
        <v>47.715448571677598</v>
      </c>
    </row>
    <row r="141" spans="2:11">
      <c r="B141" t="s">
        <v>119</v>
      </c>
      <c r="C141" s="396">
        <f>-C99/C29*365</f>
        <v>41.599264705882355</v>
      </c>
      <c r="D141" s="396">
        <f>-D99/D29*365</f>
        <v>47.440847588578698</v>
      </c>
      <c r="E141" s="396">
        <f>-E99/E29*365</f>
        <v>46.088849023503556</v>
      </c>
      <c r="F141" s="397">
        <f>-F99/F29*365</f>
        <v>50.070529552687098</v>
      </c>
      <c r="G141" s="48">
        <f>F141</f>
        <v>50.070529552687098</v>
      </c>
      <c r="H141" s="48">
        <f>G141</f>
        <v>50.070529552687098</v>
      </c>
      <c r="I141" s="48">
        <f t="shared" si="66"/>
        <v>50.070529552687098</v>
      </c>
      <c r="J141" s="48">
        <f t="shared" si="66"/>
        <v>50.070529552687098</v>
      </c>
      <c r="K141" s="48">
        <f t="shared" si="66"/>
        <v>50.070529552687098</v>
      </c>
    </row>
    <row r="142" spans="2:11">
      <c r="B142" t="s">
        <v>120</v>
      </c>
      <c r="C142" s="392">
        <f>C101/C10</f>
        <v>6.5232548322975356E-3</v>
      </c>
      <c r="D142" s="392">
        <f>[1]WACC!D11/D10</f>
        <v>7.4407544197314353E-3</v>
      </c>
      <c r="E142" s="392">
        <f>[1]WACC!E11/E10</f>
        <v>1.1839280969942521E-2</v>
      </c>
      <c r="F142" s="393">
        <f>[1]WACC!F11/F10</f>
        <v>8.1408977027520955E-3</v>
      </c>
      <c r="G142" s="38">
        <f>MEDIAN(C142:F142)</f>
        <v>7.7908260612417658E-3</v>
      </c>
      <c r="H142" s="38">
        <f>G142</f>
        <v>7.7908260612417658E-3</v>
      </c>
      <c r="I142" s="38">
        <f t="shared" ref="I142:K142" si="67">H142</f>
        <v>7.7908260612417658E-3</v>
      </c>
      <c r="J142" s="38">
        <f t="shared" si="67"/>
        <v>7.7908260612417658E-3</v>
      </c>
      <c r="K142" s="38">
        <f t="shared" si="67"/>
        <v>7.7908260612417658E-3</v>
      </c>
    </row>
    <row r="143" spans="2:11">
      <c r="B143" s="12" t="s">
        <v>121</v>
      </c>
      <c r="C143" s="394"/>
      <c r="D143" s="394"/>
      <c r="E143" s="394"/>
      <c r="F143" s="395"/>
    </row>
    <row r="144" spans="2:11">
      <c r="B144" t="s">
        <v>122</v>
      </c>
      <c r="C144" s="396">
        <f>-C113/C16*365</f>
        <v>30.271547030011632</v>
      </c>
      <c r="D144" s="396">
        <f>-D113/D16*365</f>
        <v>33.728896502046091</v>
      </c>
      <c r="E144" s="396">
        <f>-E113/E16*365</f>
        <v>34.661774796704123</v>
      </c>
      <c r="F144" s="397">
        <f>-F113/F16*365</f>
        <v>32.033648769712393</v>
      </c>
      <c r="G144" s="48">
        <f>MEDIAN(C144:F144)</f>
        <v>32.881272635879242</v>
      </c>
      <c r="H144" s="48">
        <f>G144</f>
        <v>32.881272635879242</v>
      </c>
      <c r="I144" s="48">
        <f t="shared" ref="I144:K144" si="68">H144</f>
        <v>32.881272635879242</v>
      </c>
      <c r="J144" s="48">
        <f t="shared" si="68"/>
        <v>32.881272635879242</v>
      </c>
      <c r="K144" s="48">
        <f t="shared" si="68"/>
        <v>32.881272635879242</v>
      </c>
    </row>
    <row r="145" spans="2:11">
      <c r="B145" t="s">
        <v>123</v>
      </c>
      <c r="C145" s="392">
        <f>-C116/C29</f>
        <v>1.0007113663407314</v>
      </c>
      <c r="D145" s="392">
        <f>-D116/D29</f>
        <v>0.86853842012925253</v>
      </c>
      <c r="E145" s="392">
        <f>-E116/E29</f>
        <v>0.88632640767669935</v>
      </c>
      <c r="F145" s="393">
        <f>-F116/F29</f>
        <v>0.89564997522590395</v>
      </c>
      <c r="G145" s="38">
        <f>MEDIAN(C145:F145)</f>
        <v>0.89098819145130159</v>
      </c>
      <c r="H145" s="38">
        <f>G145</f>
        <v>0.89098819145130159</v>
      </c>
      <c r="I145" s="38">
        <f t="shared" ref="I145:K145" si="69">H145</f>
        <v>0.89098819145130159</v>
      </c>
      <c r="J145" s="38">
        <f t="shared" si="69"/>
        <v>0.89098819145130159</v>
      </c>
      <c r="K145" s="38">
        <f t="shared" si="69"/>
        <v>0.89098819145130159</v>
      </c>
    </row>
    <row r="146" spans="2:11">
      <c r="B146" s="49"/>
    </row>
    <row r="148" spans="2:11">
      <c r="B148" s="541" t="s">
        <v>124</v>
      </c>
      <c r="C148" s="584" t="s">
        <v>14</v>
      </c>
      <c r="D148" s="543" t="s">
        <v>15</v>
      </c>
      <c r="E148" s="543" t="s">
        <v>16</v>
      </c>
      <c r="F148" s="543" t="s">
        <v>17</v>
      </c>
      <c r="G148" s="592" t="s">
        <v>18</v>
      </c>
      <c r="H148" s="592" t="s">
        <v>19</v>
      </c>
      <c r="I148" s="592" t="s">
        <v>20</v>
      </c>
      <c r="J148" s="592" t="s">
        <v>21</v>
      </c>
      <c r="K148" s="592" t="s">
        <v>22</v>
      </c>
    </row>
    <row r="149" spans="2:11">
      <c r="B149" s="545" t="s">
        <v>74</v>
      </c>
      <c r="C149" s="545"/>
      <c r="D149" s="546"/>
      <c r="E149" s="546"/>
      <c r="F149" s="546"/>
      <c r="G149" s="545"/>
      <c r="H149" s="546"/>
      <c r="I149" s="546"/>
      <c r="J149" s="545"/>
      <c r="K149" s="546"/>
    </row>
    <row r="150" spans="2:11">
      <c r="B150" s="50" t="s">
        <v>125</v>
      </c>
      <c r="C150" s="631"/>
      <c r="D150" s="631"/>
      <c r="E150" s="631"/>
      <c r="F150" s="632">
        <v>657290</v>
      </c>
      <c r="G150" s="14">
        <f>G55</f>
        <v>854562.23160575773</v>
      </c>
      <c r="H150" s="14">
        <f t="shared" ref="H150:K150" ca="1" si="70">H55</f>
        <v>1050097.8882355057</v>
      </c>
      <c r="I150" s="14">
        <f t="shared" ca="1" si="70"/>
        <v>1318221.0227556336</v>
      </c>
      <c r="J150" s="14">
        <f t="shared" ca="1" si="70"/>
        <v>1393363.1567318793</v>
      </c>
      <c r="K150" s="14">
        <f t="shared" ca="1" si="70"/>
        <v>1484055.0297009465</v>
      </c>
    </row>
    <row r="151" spans="2:11">
      <c r="B151" s="50" t="s">
        <v>126</v>
      </c>
      <c r="C151" s="633"/>
      <c r="D151" s="633"/>
      <c r="E151" s="633"/>
      <c r="F151" s="634"/>
    </row>
    <row r="152" spans="2:11">
      <c r="B152" s="49" t="s">
        <v>127</v>
      </c>
      <c r="C152" s="633"/>
      <c r="D152" s="633"/>
      <c r="E152" s="633"/>
      <c r="F152" s="634"/>
      <c r="G152" s="604">
        <f>'Supporting Schedules'!F17</f>
        <v>157048.86970233131</v>
      </c>
      <c r="H152" s="604">
        <f>'Supporting Schedules'!G17</f>
        <v>191111.86283839936</v>
      </c>
      <c r="I152" s="604">
        <f>'Supporting Schedules'!H17</f>
        <v>226486.7843862818</v>
      </c>
      <c r="J152" s="604">
        <f>'Supporting Schedules'!I17</f>
        <v>262309.00485810399</v>
      </c>
      <c r="K152" s="604">
        <f>'Supporting Schedules'!J17</f>
        <v>299171.68402675772</v>
      </c>
    </row>
    <row r="153" spans="2:11">
      <c r="B153" s="49" t="s">
        <v>128</v>
      </c>
      <c r="C153" s="635"/>
      <c r="D153" s="635"/>
      <c r="E153" s="635"/>
      <c r="F153" s="636">
        <v>316387</v>
      </c>
      <c r="G153" s="604">
        <f>'Supporting Schedules'!F23</f>
        <v>190441.09043340065</v>
      </c>
      <c r="H153" s="604">
        <f>'Supporting Schedules'!G23</f>
        <v>207359.90956659935</v>
      </c>
      <c r="I153" s="604">
        <f>'Supporting Schedules'!H23</f>
        <v>0</v>
      </c>
      <c r="J153" s="604">
        <f>'Supporting Schedules'!I23</f>
        <v>0</v>
      </c>
      <c r="K153" s="604">
        <f>'Supporting Schedules'!J23</f>
        <v>0</v>
      </c>
    </row>
    <row r="154" spans="2:11">
      <c r="B154" s="49" t="s">
        <v>129</v>
      </c>
      <c r="C154" s="635"/>
      <c r="D154" s="635"/>
      <c r="E154" s="635"/>
      <c r="F154" s="636">
        <v>-357380</v>
      </c>
      <c r="G154" s="14">
        <f>-G36</f>
        <v>-356310.78109541064</v>
      </c>
      <c r="H154" s="14">
        <f t="shared" ref="H154:K154" ca="1" si="71">-H36</f>
        <v>-536392.69350048283</v>
      </c>
      <c r="I154" s="14">
        <f t="shared" ca="1" si="71"/>
        <v>-596535.39310816349</v>
      </c>
      <c r="J154" s="14">
        <f t="shared" ca="1" si="71"/>
        <v>-656535.39310816349</v>
      </c>
      <c r="K154" s="14">
        <f t="shared" ca="1" si="71"/>
        <v>-716535.39310816349</v>
      </c>
    </row>
    <row r="155" spans="2:11">
      <c r="B155" s="49" t="s">
        <v>78</v>
      </c>
      <c r="C155" s="635"/>
      <c r="D155" s="635"/>
      <c r="E155" s="635"/>
      <c r="F155" s="636">
        <v>-79954</v>
      </c>
      <c r="G155" s="71">
        <f>F97-G97</f>
        <v>-173984.53828958026</v>
      </c>
      <c r="H155" s="71">
        <f t="shared" ref="H155:K155" si="72">G97-H97</f>
        <v>-69700.615562480758</v>
      </c>
      <c r="I155" s="71">
        <f t="shared" si="72"/>
        <v>-27452.449515969492</v>
      </c>
      <c r="J155" s="71">
        <f t="shared" si="72"/>
        <v>-9359.8484623261029</v>
      </c>
      <c r="K155" s="71">
        <f t="shared" si="72"/>
        <v>-21771.873824058333</v>
      </c>
    </row>
    <row r="156" spans="2:11">
      <c r="B156" s="49" t="s">
        <v>130</v>
      </c>
      <c r="C156" s="635"/>
      <c r="D156" s="635"/>
      <c r="E156" s="635"/>
      <c r="F156" s="636"/>
      <c r="G156" s="71">
        <f>F98-G98</f>
        <v>-163762.87398986961</v>
      </c>
      <c r="H156" s="71">
        <f t="shared" ref="H156:K156" si="73">G98-H98</f>
        <v>-63672.671316497377</v>
      </c>
      <c r="I156" s="71">
        <f t="shared" si="73"/>
        <v>-21893.197855276754</v>
      </c>
      <c r="J156" s="71">
        <f t="shared" si="73"/>
        <v>-3507.9832738823025</v>
      </c>
      <c r="K156" s="71">
        <f t="shared" si="73"/>
        <v>-15515.224836081848</v>
      </c>
    </row>
    <row r="157" spans="2:11">
      <c r="B157" s="49" t="s">
        <v>131</v>
      </c>
      <c r="C157" s="635"/>
      <c r="D157" s="635"/>
      <c r="E157" s="635"/>
      <c r="F157" s="636">
        <v>-72919</v>
      </c>
      <c r="G157" s="71">
        <f>F99-G99</f>
        <v>-23929.756696639684</v>
      </c>
      <c r="H157" s="71">
        <f t="shared" ref="H157:K157" si="74">G99-H99</f>
        <v>-9218.7217363733944</v>
      </c>
      <c r="I157" s="71">
        <f t="shared" si="74"/>
        <v>-3749.2051254475082</v>
      </c>
      <c r="J157" s="71">
        <f t="shared" si="74"/>
        <v>-1265.8584584796481</v>
      </c>
      <c r="K157" s="71">
        <f t="shared" si="74"/>
        <v>-2921.1010219677555</v>
      </c>
    </row>
    <row r="158" spans="2:11">
      <c r="B158" s="49" t="s">
        <v>132</v>
      </c>
      <c r="C158" s="635"/>
      <c r="D158" s="635"/>
      <c r="E158" s="635"/>
      <c r="F158" s="636">
        <v>84580</v>
      </c>
      <c r="G158" s="71">
        <f>G113-F113</f>
        <v>163034.83366948657</v>
      </c>
      <c r="H158" s="71">
        <f t="shared" ref="H158:K158" si="75">H113-G113</f>
        <v>48188.2544234409</v>
      </c>
      <c r="I158" s="71">
        <f t="shared" si="75"/>
        <v>16569.039221689687</v>
      </c>
      <c r="J158" s="71">
        <f t="shared" si="75"/>
        <v>2654.8845371155767</v>
      </c>
      <c r="K158" s="71">
        <f t="shared" si="75"/>
        <v>11742.111433045822</v>
      </c>
    </row>
    <row r="159" spans="2:11">
      <c r="B159" s="49" t="s">
        <v>133</v>
      </c>
      <c r="C159" s="635"/>
      <c r="D159" s="635"/>
      <c r="E159" s="635"/>
      <c r="F159" s="636"/>
      <c r="G159" s="71">
        <f>G116-F116</f>
        <v>153599.74705159623</v>
      </c>
      <c r="H159" s="71">
        <f t="shared" ref="H159:K159" si="76">H116-G116</f>
        <v>59876.076456121926</v>
      </c>
      <c r="I159" s="71">
        <f t="shared" si="76"/>
        <v>24351.282006402384</v>
      </c>
      <c r="J159" s="71">
        <f t="shared" si="76"/>
        <v>8221.8164307423867</v>
      </c>
      <c r="K159" s="71">
        <f t="shared" si="76"/>
        <v>18972.702846349683</v>
      </c>
    </row>
    <row r="160" spans="2:11">
      <c r="B160" s="49" t="s">
        <v>134</v>
      </c>
      <c r="C160" s="635"/>
      <c r="D160" s="635"/>
      <c r="E160" s="635"/>
      <c r="F160" s="636">
        <v>14724</v>
      </c>
      <c r="G160" s="591">
        <f>F101-G101</f>
        <v>-12040.790818866386</v>
      </c>
      <c r="H160" s="591">
        <f t="shared" ref="H160:K160" si="77">G101-H101</f>
        <v>-5488.6539655421802</v>
      </c>
      <c r="I160" s="591">
        <f t="shared" si="77"/>
        <v>-2161.7742495344792</v>
      </c>
      <c r="J160" s="591">
        <f t="shared" si="77"/>
        <v>-737.05187486570503</v>
      </c>
      <c r="K160" s="591">
        <f t="shared" si="77"/>
        <v>-1714.4508787670857</v>
      </c>
    </row>
    <row r="161" spans="2:11">
      <c r="B161" s="49" t="s">
        <v>135</v>
      </c>
      <c r="C161" s="635"/>
      <c r="D161" s="635"/>
      <c r="E161" s="635"/>
      <c r="F161" s="636"/>
      <c r="G161" s="591">
        <f>F107-G107</f>
        <v>750.63060710942955</v>
      </c>
      <c r="H161" s="591">
        <f t="shared" ref="H161:K161" si="78">G107-H107</f>
        <v>41422.009923585894</v>
      </c>
      <c r="I161" s="591">
        <f t="shared" si="78"/>
        <v>36923.586088939439</v>
      </c>
      <c r="J161" s="591">
        <f t="shared" si="78"/>
        <v>29682.959009605074</v>
      </c>
      <c r="K161" s="591">
        <f t="shared" si="78"/>
        <v>21218.151485685921</v>
      </c>
    </row>
    <row r="162" spans="2:11">
      <c r="B162" s="49" t="s">
        <v>136</v>
      </c>
      <c r="C162" s="635"/>
      <c r="D162" s="635"/>
      <c r="E162" s="635"/>
      <c r="F162" s="636"/>
      <c r="G162" s="591">
        <f>G115-F115</f>
        <v>4263</v>
      </c>
      <c r="H162" s="591">
        <f t="shared" ref="H162:K162" si="79">H115-G115</f>
        <v>-4608</v>
      </c>
      <c r="I162" s="591">
        <f t="shared" si="79"/>
        <v>-7417</v>
      </c>
      <c r="J162" s="591">
        <f t="shared" si="79"/>
        <v>-8671</v>
      </c>
      <c r="K162" s="591">
        <f t="shared" si="79"/>
        <v>-8952</v>
      </c>
    </row>
    <row r="163" spans="2:11">
      <c r="B163" s="49" t="s">
        <v>137</v>
      </c>
      <c r="C163" s="635"/>
      <c r="D163" s="635"/>
      <c r="E163" s="635"/>
      <c r="F163" s="636"/>
      <c r="G163" s="591">
        <f>G119-F119</f>
        <v>-4263</v>
      </c>
      <c r="H163" s="591">
        <f t="shared" ref="H163:K163" si="80">H119-G119</f>
        <v>-37823</v>
      </c>
      <c r="I163" s="591">
        <f t="shared" si="80"/>
        <v>-30406</v>
      </c>
      <c r="J163" s="591">
        <f t="shared" si="80"/>
        <v>-21735</v>
      </c>
      <c r="K163" s="591">
        <f t="shared" si="80"/>
        <v>-12783</v>
      </c>
    </row>
    <row r="164" spans="2:11">
      <c r="B164" s="410" t="s">
        <v>138</v>
      </c>
      <c r="C164" s="637"/>
      <c r="D164" s="637"/>
      <c r="E164" s="637"/>
      <c r="F164" s="638">
        <v>704420</v>
      </c>
      <c r="G164" s="574">
        <f>SUM(G150:G163)</f>
        <v>789408.66217931511</v>
      </c>
      <c r="H164" s="574">
        <f t="shared" ref="H164:K164" ca="1" si="81">SUM(H150:H163)</f>
        <v>871151.6453622767</v>
      </c>
      <c r="I164" s="574">
        <f t="shared" ca="1" si="81"/>
        <v>932936.69460455526</v>
      </c>
      <c r="J164" s="574">
        <f t="shared" ca="1" si="81"/>
        <v>994419.68638972926</v>
      </c>
      <c r="K164" s="574">
        <f t="shared" ca="1" si="81"/>
        <v>1054966.6358237471</v>
      </c>
    </row>
    <row r="165" spans="2:11">
      <c r="B165" s="50" t="s">
        <v>139</v>
      </c>
      <c r="C165" s="633"/>
      <c r="D165" s="633"/>
      <c r="E165" s="633"/>
      <c r="F165" s="634"/>
    </row>
    <row r="166" spans="2:11">
      <c r="B166" s="49" t="s">
        <v>140</v>
      </c>
      <c r="C166" s="635"/>
      <c r="D166" s="635"/>
      <c r="E166" s="635"/>
      <c r="F166" s="636">
        <v>-274126</v>
      </c>
      <c r="G166" s="604">
        <f>-'Supporting Schedules'!F7</f>
        <v>-339000</v>
      </c>
      <c r="H166" s="604">
        <f>-'Supporting Schedules'!G7</f>
        <v>-416529.70009475772</v>
      </c>
      <c r="I166" s="604">
        <f>-'Supporting Schedules'!H7</f>
        <v>-432572.24649506871</v>
      </c>
      <c r="J166" s="604">
        <f>-'Supporting Schedules'!I7</f>
        <v>-438041.91517324612</v>
      </c>
      <c r="K166" s="604">
        <f>-'Supporting Schedules'!J7</f>
        <v>-450764.87076382071</v>
      </c>
    </row>
    <row r="167" spans="2:11" ht="15" customHeight="1">
      <c r="B167" s="410" t="s">
        <v>141</v>
      </c>
      <c r="C167" s="637"/>
      <c r="D167" s="637"/>
      <c r="E167" s="637"/>
      <c r="F167" s="638">
        <f>F166</f>
        <v>-274126</v>
      </c>
      <c r="G167" s="639">
        <f>G166</f>
        <v>-339000</v>
      </c>
      <c r="H167" s="639">
        <f t="shared" ref="H167:K167" si="82">H166</f>
        <v>-416529.70009475772</v>
      </c>
      <c r="I167" s="639">
        <f t="shared" si="82"/>
        <v>-432572.24649506871</v>
      </c>
      <c r="J167" s="639">
        <f t="shared" si="82"/>
        <v>-438041.91517324612</v>
      </c>
      <c r="K167" s="639">
        <f t="shared" si="82"/>
        <v>-450764.87076382071</v>
      </c>
    </row>
    <row r="168" spans="2:11">
      <c r="B168" s="50" t="s">
        <v>142</v>
      </c>
      <c r="C168" s="633"/>
      <c r="D168" s="633"/>
      <c r="E168" s="633"/>
      <c r="F168" s="634"/>
    </row>
    <row r="169" spans="2:11">
      <c r="B169" s="49" t="s">
        <v>143</v>
      </c>
      <c r="C169" s="635"/>
      <c r="D169" s="635"/>
      <c r="E169" s="635"/>
      <c r="F169" s="636">
        <v>43824</v>
      </c>
      <c r="G169" s="640">
        <f>'Supporting Schedules'!F50</f>
        <v>992579</v>
      </c>
      <c r="H169" s="640">
        <f>'Supporting Schedules'!G50</f>
        <v>0</v>
      </c>
      <c r="I169" s="640">
        <f>'Supporting Schedules'!H50</f>
        <v>0</v>
      </c>
      <c r="J169" s="640">
        <f>'Supporting Schedules'!I50</f>
        <v>0</v>
      </c>
      <c r="K169" s="640">
        <f>'Supporting Schedules'!J50</f>
        <v>0</v>
      </c>
    </row>
    <row r="170" spans="2:11">
      <c r="B170" s="49" t="s">
        <v>144</v>
      </c>
      <c r="C170" s="635"/>
      <c r="D170" s="635"/>
      <c r="E170" s="635"/>
      <c r="F170" s="636">
        <v>-142133</v>
      </c>
      <c r="G170" s="641">
        <f>'Supporting Schedules'!F51+'Supporting Schedules'!F48</f>
        <v>-24407</v>
      </c>
      <c r="H170" s="641">
        <f>'Supporting Schedules'!G51+'Supporting Schedules'!G48</f>
        <v>0</v>
      </c>
      <c r="I170" s="641">
        <f>'Supporting Schedules'!H51+'Supporting Schedules'!H48</f>
        <v>-198072</v>
      </c>
      <c r="J170" s="641">
        <f>'Supporting Schedules'!I51+'Supporting Schedules'!I48</f>
        <v>0</v>
      </c>
      <c r="K170" s="641">
        <f>'Supporting Schedules'!J51+'Supporting Schedules'!J48</f>
        <v>-577949</v>
      </c>
    </row>
    <row r="171" spans="2:11">
      <c r="B171" s="49" t="s">
        <v>145</v>
      </c>
      <c r="C171" s="635"/>
      <c r="D171" s="635"/>
      <c r="E171" s="635"/>
      <c r="F171" s="636">
        <v>620601</v>
      </c>
      <c r="G171" s="641">
        <f>'Supporting Schedules'!F45</f>
        <v>895008</v>
      </c>
      <c r="H171" s="641">
        <f>'Supporting Schedules'!G45</f>
        <v>0</v>
      </c>
      <c r="I171" s="641">
        <f>'Supporting Schedules'!H45</f>
        <v>0</v>
      </c>
      <c r="J171" s="641">
        <f>'Supporting Schedules'!I45</f>
        <v>0</v>
      </c>
      <c r="K171" s="641">
        <f>'Supporting Schedules'!J45</f>
        <v>0</v>
      </c>
    </row>
    <row r="172" spans="2:11">
      <c r="B172" s="49" t="s">
        <v>146</v>
      </c>
      <c r="C172" s="635"/>
      <c r="D172" s="635"/>
      <c r="E172" s="635"/>
      <c r="F172" s="636">
        <v>-515424</v>
      </c>
      <c r="G172" s="641">
        <f>'Supporting Schedules'!F46</f>
        <v>-160000</v>
      </c>
      <c r="H172" s="641">
        <f>'Supporting Schedules'!G46</f>
        <v>-495774</v>
      </c>
      <c r="I172" s="641">
        <f>'Supporting Schedules'!H46</f>
        <v>-399234</v>
      </c>
      <c r="J172" s="641">
        <f>'Supporting Schedules'!I46</f>
        <v>0</v>
      </c>
      <c r="K172" s="641">
        <f>'Supporting Schedules'!J46</f>
        <v>0</v>
      </c>
    </row>
    <row r="173" spans="2:11">
      <c r="B173" s="49" t="s">
        <v>147</v>
      </c>
      <c r="C173" s="635"/>
      <c r="D173" s="635"/>
      <c r="E173" s="635"/>
      <c r="F173" s="636">
        <v>-167708</v>
      </c>
      <c r="G173" s="641">
        <f>-'Supporting Schedules'!F33</f>
        <v>-166666.66666666666</v>
      </c>
      <c r="H173" s="641">
        <f>-'Supporting Schedules'!G33</f>
        <v>-166666.66666666666</v>
      </c>
      <c r="I173" s="641">
        <f>-'Supporting Schedules'!H33</f>
        <v>-166666.66666666666</v>
      </c>
      <c r="J173" s="641">
        <f>-'Supporting Schedules'!I33</f>
        <v>0</v>
      </c>
      <c r="K173" s="641">
        <f>-'Supporting Schedules'!J33</f>
        <v>0</v>
      </c>
    </row>
    <row r="174" spans="2:11">
      <c r="B174" s="410" t="s">
        <v>148</v>
      </c>
      <c r="C174" s="637"/>
      <c r="D174" s="637"/>
      <c r="E174" s="637"/>
      <c r="F174" s="638">
        <v>-221360</v>
      </c>
      <c r="G174" s="642">
        <f>SUM(G169:G173)</f>
        <v>1536513.3333333333</v>
      </c>
      <c r="H174" s="642">
        <f>SUM(H169:H173)</f>
        <v>-662440.66666666663</v>
      </c>
      <c r="I174" s="642">
        <f>SUM(I169:I173)</f>
        <v>-763972.66666666663</v>
      </c>
      <c r="J174" s="642">
        <f>SUM(J169:J173)</f>
        <v>0</v>
      </c>
      <c r="K174" s="642">
        <f>SUM(K169:K173)</f>
        <v>-577949</v>
      </c>
    </row>
    <row r="175" spans="2:11" ht="17.100000000000001" thickBot="1">
      <c r="B175" s="643" t="s">
        <v>149</v>
      </c>
      <c r="C175" s="644"/>
      <c r="D175" s="644"/>
      <c r="E175" s="644"/>
      <c r="F175" s="645">
        <v>-12648</v>
      </c>
      <c r="G175" s="646">
        <f>G164+G167+G174</f>
        <v>1986921.9955126485</v>
      </c>
      <c r="H175" s="646">
        <f ca="1">H164+H167+H174</f>
        <v>-207818.72139914765</v>
      </c>
      <c r="I175" s="646">
        <f ca="1">I164+I167+I174</f>
        <v>-263608.21855718008</v>
      </c>
      <c r="J175" s="646">
        <f ca="1">J164+J167+J174</f>
        <v>556377.77121648309</v>
      </c>
      <c r="K175" s="646">
        <f ca="1">K164+K167+K174</f>
        <v>26252.765059926431</v>
      </c>
    </row>
    <row r="176" spans="2:11" ht="17.100000000000001" thickTop="1">
      <c r="B176" s="49" t="s">
        <v>150</v>
      </c>
      <c r="C176" s="635"/>
      <c r="D176" s="635"/>
      <c r="E176" s="635"/>
      <c r="F176" s="636">
        <v>81720</v>
      </c>
      <c r="G176" s="641">
        <f>F95</f>
        <v>68906</v>
      </c>
      <c r="H176" s="641">
        <f t="shared" ref="H176:K176" si="83">G95</f>
        <v>2055827.9955126485</v>
      </c>
      <c r="I176" s="641">
        <f t="shared" ca="1" si="83"/>
        <v>1848009.274113501</v>
      </c>
      <c r="J176" s="641">
        <f t="shared" ca="1" si="83"/>
        <v>1584401.0555563208</v>
      </c>
      <c r="K176" s="641">
        <f t="shared" ca="1" si="83"/>
        <v>2140778.8267728039</v>
      </c>
    </row>
    <row r="177" spans="2:11">
      <c r="B177" s="49" t="s">
        <v>151</v>
      </c>
      <c r="C177" s="631"/>
      <c r="D177" s="631"/>
      <c r="E177" s="631"/>
      <c r="F177" s="632">
        <f>F95</f>
        <v>68906</v>
      </c>
      <c r="G177" s="641">
        <f>SUM(G175:G176)</f>
        <v>2055827.9955126485</v>
      </c>
      <c r="H177" s="641">
        <f t="shared" ref="H177:K177" ca="1" si="84">SUM(H175:H176)</f>
        <v>1848009.274113501</v>
      </c>
      <c r="I177" s="641">
        <f t="shared" ca="1" si="84"/>
        <v>1584401.0555563208</v>
      </c>
      <c r="J177" s="641">
        <f t="shared" ca="1" si="84"/>
        <v>2140778.8267728039</v>
      </c>
      <c r="K177" s="641">
        <f t="shared" ca="1" si="84"/>
        <v>2167031.5918327305</v>
      </c>
    </row>
    <row r="181" spans="2:11">
      <c r="G181" s="47"/>
    </row>
  </sheetData>
  <pageMargins left="0.7" right="0.7" top="0.75" bottom="0.75" header="0.3" footer="0.3"/>
  <pageSetup orientation="portrait" r:id="rId1"/>
  <ignoredErrors>
    <ignoredError sqref="H34:K34 G126:K126 H9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B2:BH115"/>
  <sheetViews>
    <sheetView showGridLines="0" topLeftCell="A14" zoomScale="111" zoomScaleNormal="70" workbookViewId="0">
      <selection activeCell="E29" sqref="E29"/>
    </sheetView>
  </sheetViews>
  <sheetFormatPr defaultColWidth="11" defaultRowHeight="15.95"/>
  <cols>
    <col min="1" max="1" width="3.625" customWidth="1"/>
    <col min="2" max="2" width="45.875" bestFit="1" customWidth="1"/>
    <col min="3" max="3" width="23.375" customWidth="1"/>
    <col min="4" max="6" width="14" bestFit="1" customWidth="1"/>
    <col min="7" max="7" width="14.625" bestFit="1" customWidth="1"/>
    <col min="9" max="9" width="9" bestFit="1" customWidth="1"/>
    <col min="10" max="10" width="11.375" customWidth="1"/>
    <col min="11" max="11" width="9.875" bestFit="1" customWidth="1"/>
    <col min="17" max="17" width="48.125" bestFit="1" customWidth="1"/>
    <col min="19" max="19" width="48.125" bestFit="1" customWidth="1"/>
    <col min="20" max="20" width="9.875" bestFit="1" customWidth="1"/>
    <col min="59" max="59" width="36.625" bestFit="1" customWidth="1"/>
    <col min="60" max="60" width="9" bestFit="1" customWidth="1"/>
  </cols>
  <sheetData>
    <row r="2" spans="2:17">
      <c r="B2" s="536" t="s">
        <v>152</v>
      </c>
      <c r="C2" s="537"/>
      <c r="D2" s="537"/>
      <c r="E2" s="537"/>
      <c r="F2" s="537"/>
      <c r="G2" s="537"/>
    </row>
    <row r="4" spans="2:17">
      <c r="B4" t="s">
        <v>153</v>
      </c>
      <c r="C4" s="45" t="s">
        <v>3</v>
      </c>
    </row>
    <row r="5" spans="2:17">
      <c r="B5" t="s">
        <v>154</v>
      </c>
      <c r="C5" s="45" t="s">
        <v>155</v>
      </c>
    </row>
    <row r="6" spans="2:17">
      <c r="B6" t="s">
        <v>156</v>
      </c>
      <c r="C6" s="126">
        <v>44897</v>
      </c>
      <c r="K6" t="s">
        <v>11</v>
      </c>
    </row>
    <row r="7" spans="2:17">
      <c r="B7" t="s">
        <v>157</v>
      </c>
      <c r="C7" s="44">
        <f>YEARFRAC(C6,G21)</f>
        <v>4.0805555555555557</v>
      </c>
    </row>
    <row r="8" spans="2:17">
      <c r="B8" t="s">
        <v>158</v>
      </c>
      <c r="C8" s="38">
        <f>'WACC '!C19</f>
        <v>8.4272349830539411E-2</v>
      </c>
    </row>
    <row r="9" spans="2:17">
      <c r="B9" t="s">
        <v>159</v>
      </c>
      <c r="C9" s="163">
        <f>'Operating Model'!G90</f>
        <v>0.2</v>
      </c>
      <c r="I9" t="s">
        <v>11</v>
      </c>
    </row>
    <row r="10" spans="2:17">
      <c r="B10" t="s">
        <v>160</v>
      </c>
      <c r="C10" s="163">
        <v>2.5000000000000001E-2</v>
      </c>
      <c r="E10" s="39"/>
    </row>
    <row r="11" spans="2:17">
      <c r="B11" t="s">
        <v>161</v>
      </c>
      <c r="C11" s="350">
        <v>13</v>
      </c>
      <c r="G11" t="s">
        <v>11</v>
      </c>
    </row>
    <row r="12" spans="2:17">
      <c r="B12" t="s">
        <v>162</v>
      </c>
      <c r="C12" s="44">
        <f>'WACC '!C30</f>
        <v>162236.32760921179</v>
      </c>
      <c r="I12" s="12"/>
      <c r="K12" s="12"/>
    </row>
    <row r="13" spans="2:17">
      <c r="B13" t="s">
        <v>163</v>
      </c>
      <c r="C13" s="351">
        <f>'WACC '!C26</f>
        <v>63.18</v>
      </c>
      <c r="I13" s="12"/>
      <c r="K13" s="12"/>
    </row>
    <row r="14" spans="2:17">
      <c r="C14" s="46"/>
      <c r="I14" s="12"/>
      <c r="Q14" s="12"/>
    </row>
    <row r="15" spans="2:17">
      <c r="B15" s="12" t="s">
        <v>164</v>
      </c>
      <c r="C15" s="348" t="s">
        <v>165</v>
      </c>
      <c r="I15" s="12"/>
    </row>
    <row r="16" spans="2:17">
      <c r="B16" t="s">
        <v>166</v>
      </c>
      <c r="C16" s="352">
        <f ca="1">OFFSET($BH$104,MATCH(C$15,BG$104:BG$115,0)+MATCH(B$16,BG$104:BG$106,0)-2,0)</f>
        <v>125.81125590443767</v>
      </c>
      <c r="D16" s="39"/>
      <c r="I16" s="12"/>
    </row>
    <row r="17" spans="2:14">
      <c r="B17" t="s">
        <v>167</v>
      </c>
      <c r="C17" s="349">
        <f ca="1">OFFSET($BH$104,MATCH(C$15,BG$104:BG$115,0)+MATCH(B$16,BG$104:BG$106,0)-1,0)</f>
        <v>0.9913145917131635</v>
      </c>
      <c r="I17" s="12"/>
    </row>
    <row r="18" spans="2:14">
      <c r="C18" s="46"/>
      <c r="F18" t="s">
        <v>11</v>
      </c>
      <c r="L18" s="126"/>
    </row>
    <row r="19" spans="2:14">
      <c r="B19" s="439" t="s">
        <v>168</v>
      </c>
      <c r="C19" s="440"/>
      <c r="D19" s="440"/>
      <c r="E19" s="440"/>
      <c r="F19" s="440"/>
      <c r="G19" s="441"/>
      <c r="H19" s="438"/>
      <c r="I19" s="437"/>
      <c r="J19" s="437"/>
      <c r="K19" s="437"/>
      <c r="L19" s="437"/>
    </row>
    <row r="20" spans="2:14">
      <c r="B20" s="37"/>
      <c r="C20" s="120" t="s">
        <v>169</v>
      </c>
      <c r="D20" s="120" t="s">
        <v>170</v>
      </c>
      <c r="E20" s="120" t="s">
        <v>171</v>
      </c>
      <c r="F20" s="120" t="s">
        <v>172</v>
      </c>
      <c r="G20" s="120" t="s">
        <v>173</v>
      </c>
    </row>
    <row r="21" spans="2:14">
      <c r="B21" s="121" t="s">
        <v>174</v>
      </c>
      <c r="C21" s="122">
        <v>44926</v>
      </c>
      <c r="D21" s="122">
        <v>45291</v>
      </c>
      <c r="E21" s="122">
        <v>45657</v>
      </c>
      <c r="F21" s="122">
        <v>46022</v>
      </c>
      <c r="G21" s="122">
        <v>46387</v>
      </c>
    </row>
    <row r="22" spans="2:14">
      <c r="B22" s="123" t="s">
        <v>175</v>
      </c>
      <c r="C22" s="68">
        <f>'Operating Model'!G39</f>
        <v>1190675.9728609473</v>
      </c>
      <c r="D22" s="68">
        <f ca="1">'Operating Model'!H39</f>
        <v>1470011.3799222517</v>
      </c>
      <c r="E22" s="68">
        <f ca="1">'Operating Model'!I39</f>
        <v>1784812.9934196435</v>
      </c>
      <c r="F22" s="68">
        <f ca="1">'Operating Model'!J39</f>
        <v>1867533.7545392301</v>
      </c>
      <c r="G22" s="68">
        <f ca="1">'Operating Model'!K39</f>
        <v>1970753.3604520501</v>
      </c>
    </row>
    <row r="23" spans="2:14">
      <c r="B23" s="123" t="s">
        <v>159</v>
      </c>
      <c r="C23" s="68">
        <f>$C$9*C22</f>
        <v>238135.19457218947</v>
      </c>
      <c r="D23" s="68">
        <f ca="1">$C$9*D22</f>
        <v>294002.27598445036</v>
      </c>
      <c r="E23" s="68">
        <f ca="1">$C$9*E22</f>
        <v>356962.59868392872</v>
      </c>
      <c r="F23" s="68">
        <f ca="1">$C$9*F22</f>
        <v>373506.75090784603</v>
      </c>
      <c r="G23" s="68">
        <f ca="1">$C$9*G22</f>
        <v>394150.67209041002</v>
      </c>
    </row>
    <row r="24" spans="2:14">
      <c r="B24" s="123" t="s">
        <v>176</v>
      </c>
      <c r="C24" s="70">
        <f>C22-C23</f>
        <v>952540.77828875778</v>
      </c>
      <c r="D24" s="70">
        <f ca="1">D22-D23</f>
        <v>1176009.1039378014</v>
      </c>
      <c r="E24" s="70">
        <f ca="1">E22-E23</f>
        <v>1427850.3947357149</v>
      </c>
      <c r="F24" s="70">
        <f ca="1">F22-F23</f>
        <v>1494027.0036313841</v>
      </c>
      <c r="G24" s="70">
        <f ca="1">G22-G23</f>
        <v>1576602.6883616401</v>
      </c>
    </row>
    <row r="25" spans="2:14">
      <c r="B25" s="123" t="s">
        <v>177</v>
      </c>
      <c r="C25" s="68">
        <f>'Supporting Schedules'!F27</f>
        <v>347489.96013573196</v>
      </c>
      <c r="D25" s="68">
        <f>'Supporting Schedules'!G27</f>
        <v>398471.77240499872</v>
      </c>
      <c r="E25" s="68">
        <f>'Supporting Schedules'!H27</f>
        <v>226486.7843862818</v>
      </c>
      <c r="F25" s="68">
        <f>'Supporting Schedules'!I27</f>
        <v>262309.00485810399</v>
      </c>
      <c r="G25" s="68">
        <f>'Supporting Schedules'!J27</f>
        <v>299171.68402675772</v>
      </c>
    </row>
    <row r="26" spans="2:14">
      <c r="B26" s="123" t="s">
        <v>178</v>
      </c>
      <c r="C26" s="68">
        <f>SUM('Operating Model'!G155:G160,'Operating Model'!G162)</f>
        <v>-52820.379073873148</v>
      </c>
      <c r="D26" s="68">
        <f>SUM('Operating Model'!H155:H160,'Operating Model'!H162)</f>
        <v>-44624.33170133087</v>
      </c>
      <c r="E26" s="68">
        <f>SUM('Operating Model'!I155:I160,'Operating Model'!I162)</f>
        <v>-21753.305518136163</v>
      </c>
      <c r="F26" s="68">
        <f>SUM('Operating Model'!J155:J160,'Operating Model'!J162)</f>
        <v>-12665.041101695795</v>
      </c>
      <c r="G26" s="68">
        <f>SUM('Operating Model'!K155:K160,'Operating Model'!K162)</f>
        <v>-20159.836281479518</v>
      </c>
    </row>
    <row r="27" spans="2:14" ht="17.100000000000001" thickBot="1">
      <c r="B27" s="123" t="s">
        <v>179</v>
      </c>
      <c r="C27" s="68">
        <f>-'Supporting Schedules'!F7</f>
        <v>-339000</v>
      </c>
      <c r="D27" s="68">
        <f>-'Supporting Schedules'!G7</f>
        <v>-416529.70009475772</v>
      </c>
      <c r="E27" s="68">
        <f>-'Supporting Schedules'!H7</f>
        <v>-432572.24649506871</v>
      </c>
      <c r="F27" s="68">
        <f>-'Supporting Schedules'!I7</f>
        <v>-438041.91517324612</v>
      </c>
      <c r="G27" s="68">
        <f>-'Supporting Schedules'!J7</f>
        <v>-450764.87076382071</v>
      </c>
    </row>
    <row r="28" spans="2:14" ht="17.100000000000001" thickTop="1">
      <c r="B28" s="123" t="s">
        <v>180</v>
      </c>
      <c r="C28" s="145">
        <f>SUM(C24:C27)</f>
        <v>908210.35935061658</v>
      </c>
      <c r="D28" s="145">
        <f ca="1">SUM(D24:D27)</f>
        <v>1113326.8445467115</v>
      </c>
      <c r="E28" s="145">
        <f ca="1">SUM(E24:E27)</f>
        <v>1200011.6271087918</v>
      </c>
      <c r="F28" s="145">
        <f ca="1">SUM(F24:F27)</f>
        <v>1305629.0522145464</v>
      </c>
      <c r="G28" s="145">
        <f ca="1">SUM(G24:G27)</f>
        <v>1404849.6653430974</v>
      </c>
    </row>
    <row r="29" spans="2:14">
      <c r="B29" s="123"/>
      <c r="C29" s="71"/>
      <c r="D29" s="71"/>
      <c r="E29" s="71"/>
      <c r="F29" s="71"/>
      <c r="G29" s="71"/>
    </row>
    <row r="30" spans="2:14">
      <c r="B30" t="s">
        <v>181</v>
      </c>
      <c r="C30" s="71">
        <f>C28/(1+$C$8)^YEARFRAC($C$6,C21)</f>
        <v>902310.18451404374</v>
      </c>
      <c r="D30" s="71">
        <f ca="1">D28/(1+$C$8)^YEARFRAC($C$6,D21)</f>
        <v>1020125.7403135409</v>
      </c>
      <c r="E30" s="71">
        <f ca="1">E28/(1+$C$8)^YEARFRAC($C$6,E21)</f>
        <v>1014093.7269391287</v>
      </c>
      <c r="F30" s="71">
        <f ca="1">F28/(1+$C$8)^YEARFRAC($C$6,F21)</f>
        <v>1017592.8915383216</v>
      </c>
      <c r="G30" s="71">
        <f ca="1">G28/(1+$C$8)^YEARFRAC($C$6,G21)</f>
        <v>1009824.0943685067</v>
      </c>
      <c r="N30" t="s">
        <v>11</v>
      </c>
    </row>
    <row r="31" spans="2:14">
      <c r="C31" s="71"/>
      <c r="D31" s="71"/>
      <c r="E31" s="71"/>
      <c r="F31" s="71"/>
      <c r="G31" s="71"/>
    </row>
    <row r="32" spans="2:14">
      <c r="B32" s="123" t="s">
        <v>182</v>
      </c>
      <c r="C32" s="68">
        <f ca="1">SUM(C30:G30)</f>
        <v>4963946.6376735419</v>
      </c>
      <c r="D32" s="71"/>
      <c r="E32" s="71"/>
      <c r="F32" s="71"/>
      <c r="G32" s="71"/>
    </row>
    <row r="36" spans="2:12">
      <c r="B36" s="442" t="s">
        <v>183</v>
      </c>
      <c r="C36" s="443"/>
      <c r="G36" s="655" t="s">
        <v>184</v>
      </c>
      <c r="H36" s="655"/>
      <c r="I36" s="655"/>
      <c r="J36" s="655"/>
      <c r="K36" s="655"/>
      <c r="L36" s="655"/>
    </row>
    <row r="37" spans="2:12">
      <c r="B37" t="s">
        <v>185</v>
      </c>
      <c r="C37" s="68">
        <f ca="1">G28</f>
        <v>1404849.6653430974</v>
      </c>
      <c r="G37" s="655" t="s">
        <v>186</v>
      </c>
      <c r="H37" s="655"/>
      <c r="I37" s="655"/>
      <c r="J37" s="655"/>
      <c r="K37" s="655"/>
      <c r="L37" s="655"/>
    </row>
    <row r="38" spans="2:12">
      <c r="B38" t="s">
        <v>158</v>
      </c>
      <c r="C38" s="125">
        <f>C8</f>
        <v>8.4272349830539411E-2</v>
      </c>
      <c r="G38" s="72">
        <f ca="1">C46</f>
        <v>119.28721163575152</v>
      </c>
      <c r="H38" s="38">
        <f>I38-0.005</f>
        <v>7.4272349830539403E-2</v>
      </c>
      <c r="I38" s="38">
        <f>J38-0.005</f>
        <v>7.9272349830539407E-2</v>
      </c>
      <c r="J38" s="38">
        <v>8.4272349830539411E-2</v>
      </c>
      <c r="K38" s="38">
        <f>J38+0.005</f>
        <v>8.9272349830539416E-2</v>
      </c>
      <c r="L38" s="38">
        <f>K38+0.005</f>
        <v>9.427234983053942E-2</v>
      </c>
    </row>
    <row r="39" spans="2:12">
      <c r="B39" t="s">
        <v>187</v>
      </c>
      <c r="C39" s="125">
        <f>C10</f>
        <v>2.5000000000000001E-2</v>
      </c>
      <c r="G39" s="38">
        <f>G40-0.005</f>
        <v>1.4999999999999999E-2</v>
      </c>
      <c r="H39" s="46">
        <f t="dataTable" ref="H39:L43" dt2D="1" dtr="1" r1="C38" r2="C39" ca="1"/>
        <v>118.2370758056028</v>
      </c>
      <c r="I39" s="46">
        <v>109.94511300658201</v>
      </c>
      <c r="J39" s="46">
        <v>102.85015923342873</v>
      </c>
      <c r="K39" s="46">
        <v>96.71046724872582</v>
      </c>
      <c r="L39" s="46">
        <v>91.345281380951192</v>
      </c>
    </row>
    <row r="40" spans="2:12">
      <c r="B40" s="491" t="s">
        <v>188</v>
      </c>
      <c r="C40" s="146">
        <f ca="1">(C37*(1+C39))/(C38-C39)</f>
        <v>24294142.396810222</v>
      </c>
      <c r="G40" s="38">
        <f>G41-0.005</f>
        <v>0.02</v>
      </c>
      <c r="H40" s="46">
        <v>128.63032291409928</v>
      </c>
      <c r="I40" s="46">
        <v>118.76214372067719</v>
      </c>
      <c r="J40" s="46">
        <v>110.42933381427206</v>
      </c>
      <c r="K40" s="46">
        <v>103.29942952992096</v>
      </c>
      <c r="L40" s="46">
        <v>97.129492757116097</v>
      </c>
    </row>
    <row r="41" spans="2:12">
      <c r="B41" s="492" t="s">
        <v>189</v>
      </c>
      <c r="C41" s="147">
        <f ca="1">C40/(1+C8)^C7</f>
        <v>17462943.508853622</v>
      </c>
      <c r="G41" s="38">
        <v>2.5000000000000001E-2</v>
      </c>
      <c r="H41" s="46">
        <v>141.13291677472785</v>
      </c>
      <c r="I41" s="46">
        <v>129.20376425659236</v>
      </c>
      <c r="J41" s="46">
        <v>119.28721163575152</v>
      </c>
      <c r="K41" s="46">
        <v>110.91355462196206</v>
      </c>
      <c r="L41" s="46">
        <v>103.74869982641316</v>
      </c>
    </row>
    <row r="42" spans="2:12">
      <c r="B42" s="12" t="s">
        <v>190</v>
      </c>
      <c r="C42" s="68">
        <f ca="1">C32+C41</f>
        <v>22426890.146527164</v>
      </c>
      <c r="G42" s="38">
        <f>G41+0.005</f>
        <v>3.0000000000000002E-2</v>
      </c>
      <c r="H42" s="46">
        <v>156.45952921771868</v>
      </c>
      <c r="I42" s="46">
        <v>141.7645491051143</v>
      </c>
      <c r="J42" s="46">
        <v>129.77720559908548</v>
      </c>
      <c r="K42" s="46">
        <v>119.81227955082589</v>
      </c>
      <c r="L42" s="46">
        <v>111.39777542965209</v>
      </c>
    </row>
    <row r="43" spans="2:12">
      <c r="B43" s="492" t="s">
        <v>191</v>
      </c>
      <c r="C43" s="493">
        <f>C67</f>
        <v>3074171</v>
      </c>
      <c r="G43" s="38">
        <f>G42+0.005</f>
        <v>3.5000000000000003E-2</v>
      </c>
      <c r="H43" s="46">
        <v>175.68878881809258</v>
      </c>
      <c r="I43" s="46">
        <v>157.16249640302067</v>
      </c>
      <c r="J43" s="46">
        <v>142.39618143550072</v>
      </c>
      <c r="K43" s="46">
        <v>130.35064694157856</v>
      </c>
      <c r="L43" s="46">
        <v>120.33734746590025</v>
      </c>
    </row>
    <row r="44" spans="2:12">
      <c r="B44" s="12" t="s">
        <v>192</v>
      </c>
      <c r="C44" s="68">
        <f ca="1">C42-C43</f>
        <v>19352719.146527164</v>
      </c>
    </row>
    <row r="45" spans="2:12" ht="17.100000000000001" thickBot="1">
      <c r="B45" s="124" t="s">
        <v>193</v>
      </c>
      <c r="C45" s="144">
        <f>C12</f>
        <v>162236.32760921179</v>
      </c>
    </row>
    <row r="46" spans="2:12" ht="17.100000000000001" thickTop="1">
      <c r="B46" s="12" t="s">
        <v>194</v>
      </c>
      <c r="C46" s="46">
        <f ca="1">C44/C45</f>
        <v>119.28721163575152</v>
      </c>
    </row>
    <row r="47" spans="2:12" ht="14.1" customHeight="1"/>
    <row r="48" spans="2:12" ht="14.1" customHeight="1">
      <c r="B48" s="442" t="s">
        <v>195</v>
      </c>
      <c r="C48" s="444"/>
      <c r="G48" s="655" t="s">
        <v>184</v>
      </c>
      <c r="H48" s="655"/>
      <c r="I48" s="655"/>
      <c r="J48" s="655"/>
      <c r="K48" s="655"/>
      <c r="L48" s="655"/>
    </row>
    <row r="49" spans="2:12">
      <c r="B49" s="139" t="s">
        <v>196</v>
      </c>
      <c r="C49" s="68">
        <f ca="1">G22+G25</f>
        <v>2269925.0444788076</v>
      </c>
      <c r="G49" s="655" t="s">
        <v>197</v>
      </c>
      <c r="H49" s="655"/>
      <c r="I49" s="655"/>
      <c r="J49" s="655"/>
      <c r="K49" s="655"/>
      <c r="L49" s="655"/>
    </row>
    <row r="50" spans="2:12">
      <c r="B50" s="139" t="s">
        <v>161</v>
      </c>
      <c r="C50" s="128">
        <v>12</v>
      </c>
      <c r="G50" s="72">
        <f ca="1">C60</f>
        <v>132.33530017312381</v>
      </c>
      <c r="H50" s="38">
        <f>I50-0.005</f>
        <v>7.4272349830539403E-2</v>
      </c>
      <c r="I50" s="38">
        <f>J50-0.005</f>
        <v>7.9272349830539407E-2</v>
      </c>
      <c r="J50" s="38">
        <v>8.4272349830539411E-2</v>
      </c>
      <c r="K50" s="38">
        <f>J50+0.005</f>
        <v>8.9272349830539416E-2</v>
      </c>
      <c r="L50" s="38">
        <f>K50+0.005</f>
        <v>9.427234983053942E-2</v>
      </c>
    </row>
    <row r="51" spans="2:12">
      <c r="B51" s="139" t="s">
        <v>198</v>
      </c>
      <c r="C51" s="68">
        <f ca="1">C49*C50</f>
        <v>27239100.533745691</v>
      </c>
      <c r="D51" s="39"/>
      <c r="G51">
        <f>G52-1.5</f>
        <v>9</v>
      </c>
      <c r="H51" s="46">
        <f t="dataTable" ref="H51:L55" dt2D="1" dtr="1" r1="C52" r2="C50" ca="1"/>
        <v>105.65132721615045</v>
      </c>
      <c r="I51" s="46">
        <v>103.88691506764133</v>
      </c>
      <c r="J51" s="46">
        <v>102.16354739121942</v>
      </c>
      <c r="K51" s="46">
        <v>100.48008667726523</v>
      </c>
      <c r="L51" s="46">
        <v>98.835431959001681</v>
      </c>
    </row>
    <row r="52" spans="2:12">
      <c r="B52" s="139" t="s">
        <v>199</v>
      </c>
      <c r="C52" s="125">
        <f>C8</f>
        <v>8.4272349830539411E-2</v>
      </c>
      <c r="G52">
        <f>G53-1.5</f>
        <v>10.5</v>
      </c>
      <c r="H52" s="46">
        <v>121.31850024459112</v>
      </c>
      <c r="I52" s="46">
        <v>119.26001940466384</v>
      </c>
      <c r="J52" s="46">
        <v>117.24942378217162</v>
      </c>
      <c r="K52" s="46">
        <v>115.28538628255838</v>
      </c>
      <c r="L52" s="46">
        <v>113.36662244458425</v>
      </c>
    </row>
    <row r="53" spans="2:12">
      <c r="B53" s="140" t="s">
        <v>200</v>
      </c>
      <c r="C53" s="153">
        <f>C7</f>
        <v>4.0805555555555557</v>
      </c>
      <c r="G53">
        <v>12</v>
      </c>
      <c r="H53" s="46">
        <v>136.98567327303184</v>
      </c>
      <c r="I53" s="46">
        <v>134.63312374168635</v>
      </c>
      <c r="J53" s="46">
        <v>132.33530017312381</v>
      </c>
      <c r="K53" s="46">
        <v>130.09068588785155</v>
      </c>
      <c r="L53" s="46">
        <v>127.89781293016682</v>
      </c>
    </row>
    <row r="54" spans="2:12">
      <c r="B54" s="139" t="s">
        <v>201</v>
      </c>
      <c r="C54" s="68">
        <f ca="1">C51/(1+C52)^C53</f>
        <v>19579817.475476757</v>
      </c>
      <c r="G54">
        <f>G53+1.5</f>
        <v>13.5</v>
      </c>
      <c r="H54" s="46">
        <v>152.65284630147252</v>
      </c>
      <c r="I54" s="46">
        <v>150.00622807870889</v>
      </c>
      <c r="J54" s="46">
        <v>147.42117656407603</v>
      </c>
      <c r="K54" s="46">
        <v>144.89598549314471</v>
      </c>
      <c r="L54" s="46">
        <v>142.42900341574941</v>
      </c>
    </row>
    <row r="55" spans="2:12">
      <c r="B55" s="140" t="s">
        <v>202</v>
      </c>
      <c r="C55" s="147">
        <f ca="1">C32</f>
        <v>4963946.6376735419</v>
      </c>
      <c r="G55">
        <f>G54+1.5</f>
        <v>15</v>
      </c>
      <c r="H55" s="46">
        <v>168.32001932991326</v>
      </c>
      <c r="I55" s="46">
        <v>165.37933241573143</v>
      </c>
      <c r="J55" s="46">
        <v>162.50705295502823</v>
      </c>
      <c r="K55" s="46">
        <v>159.70128509843789</v>
      </c>
      <c r="L55" s="46">
        <v>156.96019390133199</v>
      </c>
    </row>
    <row r="56" spans="2:12">
      <c r="B56" s="141" t="s">
        <v>203</v>
      </c>
      <c r="C56" s="68">
        <f ca="1">C54+C55</f>
        <v>24543764.113150299</v>
      </c>
    </row>
    <row r="57" spans="2:12">
      <c r="B57" s="142" t="s">
        <v>204</v>
      </c>
      <c r="C57" s="154">
        <f>C67</f>
        <v>3074171</v>
      </c>
    </row>
    <row r="58" spans="2:12">
      <c r="B58" s="141" t="s">
        <v>192</v>
      </c>
      <c r="C58" s="68">
        <f ca="1">C56-C57</f>
        <v>21469593.113150299</v>
      </c>
    </row>
    <row r="59" spans="2:12" ht="17.100000000000001" thickBot="1">
      <c r="B59" s="143" t="s">
        <v>193</v>
      </c>
      <c r="C59" s="144">
        <f>C12</f>
        <v>162236.32760921179</v>
      </c>
    </row>
    <row r="60" spans="2:12" ht="17.100000000000001" thickTop="1">
      <c r="B60" s="141" t="s">
        <v>205</v>
      </c>
      <c r="C60" s="46">
        <f ca="1">C58/C59</f>
        <v>132.33530017312381</v>
      </c>
      <c r="D60" t="s">
        <v>206</v>
      </c>
    </row>
    <row r="64" spans="2:12">
      <c r="B64" s="494" t="s">
        <v>207</v>
      </c>
      <c r="C64" s="494"/>
    </row>
    <row r="65" spans="2:3">
      <c r="B65" t="s">
        <v>208</v>
      </c>
      <c r="C65" s="69">
        <f>'WACC '!C17</f>
        <v>3220901</v>
      </c>
    </row>
    <row r="66" spans="2:3">
      <c r="B66" t="s">
        <v>209</v>
      </c>
      <c r="C66" s="46">
        <v>146730</v>
      </c>
    </row>
    <row r="67" spans="2:3">
      <c r="B67" s="12" t="s">
        <v>210</v>
      </c>
      <c r="C67" s="46">
        <f>C65-C66</f>
        <v>3074171</v>
      </c>
    </row>
    <row r="100" spans="59:60">
      <c r="BG100" s="12" t="s">
        <v>211</v>
      </c>
    </row>
    <row r="101" spans="59:60">
      <c r="BG101" s="12" t="s">
        <v>212</v>
      </c>
    </row>
    <row r="102" spans="59:60">
      <c r="BG102" s="12" t="s">
        <v>165</v>
      </c>
    </row>
    <row r="104" spans="59:60">
      <c r="BG104" s="12" t="s">
        <v>211</v>
      </c>
    </row>
    <row r="105" spans="59:60">
      <c r="BG105" t="s">
        <v>166</v>
      </c>
      <c r="BH105" s="72">
        <f ca="1">C46</f>
        <v>119.28721163575152</v>
      </c>
    </row>
    <row r="106" spans="59:60">
      <c r="BG106" t="s">
        <v>167</v>
      </c>
      <c r="BH106" s="163">
        <f ca="1">BH105/C13 - 1</f>
        <v>0.8880533655547882</v>
      </c>
    </row>
    <row r="108" spans="59:60">
      <c r="BG108" s="12" t="s">
        <v>212</v>
      </c>
      <c r="BH108">
        <v>5</v>
      </c>
    </row>
    <row r="109" spans="59:60">
      <c r="BG109" t="s">
        <v>213</v>
      </c>
      <c r="BH109" s="72">
        <f ca="1">C60</f>
        <v>132.33530017312381</v>
      </c>
    </row>
    <row r="110" spans="59:60">
      <c r="BG110" t="s">
        <v>214</v>
      </c>
      <c r="BH110" s="163">
        <f ca="1">BH109/C13 - 1</f>
        <v>1.0945758178715388</v>
      </c>
    </row>
    <row r="113" spans="59:60">
      <c r="BG113" s="12" t="s">
        <v>165</v>
      </c>
      <c r="BH113">
        <v>5</v>
      </c>
    </row>
    <row r="114" spans="59:60">
      <c r="BG114" t="s">
        <v>215</v>
      </c>
      <c r="BH114" s="72">
        <f ca="1">AVERAGE(BH105,BH109)</f>
        <v>125.81125590443767</v>
      </c>
    </row>
    <row r="115" spans="59:60">
      <c r="BG115" t="s">
        <v>216</v>
      </c>
      <c r="BH115" s="163">
        <f ca="1">AVERAGE(BH106,BH110)</f>
        <v>0.9913145917131635</v>
      </c>
    </row>
  </sheetData>
  <mergeCells count="4">
    <mergeCell ref="G36:L36"/>
    <mergeCell ref="G37:L37"/>
    <mergeCell ref="G48:L48"/>
    <mergeCell ref="G49:L49"/>
  </mergeCells>
  <phoneticPr fontId="7" type="noConversion"/>
  <conditionalFormatting sqref="H39:L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1:L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C15" xr:uid="{9AD6D4C9-B8B5-4F2E-BC54-D5CF8D8A6002}">
      <formula1>$BG$100:$BG$102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2:BR53"/>
  <sheetViews>
    <sheetView showGridLines="0" zoomScale="81" zoomScaleNormal="70" workbookViewId="0">
      <pane xSplit="1" ySplit="4" topLeftCell="B5" activePane="bottomRight" state="frozen"/>
      <selection pane="bottomRight" activeCell="A18" sqref="A18"/>
      <selection pane="bottomLeft" activeCell="A5" sqref="A5"/>
      <selection pane="topRight" activeCell="B1" sqref="B1"/>
    </sheetView>
  </sheetViews>
  <sheetFormatPr defaultColWidth="11" defaultRowHeight="15.95" outlineLevelRow="1" outlineLevelCol="1"/>
  <cols>
    <col min="1" max="1" width="29.875" bestFit="1" customWidth="1"/>
    <col min="2" max="2" width="15.375" bestFit="1" customWidth="1"/>
    <col min="3" max="6" width="15.375" hidden="1" customWidth="1" outlineLevel="1"/>
    <col min="7" max="7" width="15.375" style="243" bestFit="1" customWidth="1" collapsed="1"/>
    <col min="8" max="11" width="15.375" customWidth="1" outlineLevel="1"/>
    <col min="12" max="12" width="15.5" style="243" bestFit="1" customWidth="1"/>
    <col min="13" max="16" width="15.5" hidden="1" customWidth="1" outlineLevel="1"/>
    <col min="17" max="17" width="15.125" style="243" bestFit="1" customWidth="1" collapsed="1"/>
    <col min="18" max="20" width="15.125" customWidth="1" outlineLevel="1"/>
    <col min="21" max="21" width="15.125" style="243" customWidth="1" outlineLevel="1"/>
    <col min="22" max="22" width="15.125" style="30" bestFit="1" customWidth="1"/>
    <col min="23" max="26" width="15.125" hidden="1" customWidth="1" outlineLevel="1"/>
    <col min="27" max="27" width="15.375" style="285" bestFit="1" customWidth="1" collapsed="1"/>
    <col min="28" max="31" width="15.375" hidden="1" customWidth="1" outlineLevel="1"/>
    <col min="32" max="32" width="15.125" style="243" bestFit="1" customWidth="1" collapsed="1"/>
    <col min="33" max="36" width="15.125" hidden="1" customWidth="1" outlineLevel="1"/>
    <col min="37" max="37" width="15.125" style="243" bestFit="1" customWidth="1" collapsed="1"/>
    <col min="38" max="41" width="15.125" hidden="1" customWidth="1" outlineLevel="1"/>
    <col min="42" max="42" width="15" style="243" bestFit="1" customWidth="1" collapsed="1"/>
    <col min="43" max="43" width="7.625" customWidth="1"/>
    <col min="44" max="44" width="18.375" bestFit="1" customWidth="1"/>
    <col min="45" max="45" width="20.375" bestFit="1" customWidth="1"/>
    <col min="46" max="46" width="20.375" customWidth="1"/>
    <col min="47" max="51" width="13.625" customWidth="1"/>
    <col min="54" max="54" width="14.5" bestFit="1" customWidth="1"/>
    <col min="55" max="55" width="11.375" bestFit="1" customWidth="1"/>
    <col min="58" max="60" width="11" customWidth="1"/>
  </cols>
  <sheetData>
    <row r="2" spans="1:70" ht="21">
      <c r="A2" s="251" t="s">
        <v>217</v>
      </c>
    </row>
    <row r="3" spans="1:70">
      <c r="A3" s="503" t="s">
        <v>218</v>
      </c>
      <c r="B3" s="504" t="s">
        <v>219</v>
      </c>
      <c r="C3" s="505" t="s">
        <v>220</v>
      </c>
      <c r="D3" s="505"/>
      <c r="E3" s="505"/>
      <c r="F3" s="505"/>
      <c r="G3" s="506" t="s">
        <v>219</v>
      </c>
      <c r="H3" s="505" t="s">
        <v>221</v>
      </c>
      <c r="I3" s="505"/>
      <c r="J3" s="505"/>
      <c r="K3" s="505"/>
      <c r="L3" s="506" t="s">
        <v>219</v>
      </c>
      <c r="M3" s="505" t="s">
        <v>222</v>
      </c>
      <c r="N3" s="505"/>
      <c r="O3" s="505"/>
      <c r="P3" s="505"/>
      <c r="Q3" s="506" t="s">
        <v>219</v>
      </c>
      <c r="R3" s="507" t="s">
        <v>223</v>
      </c>
      <c r="S3" s="507"/>
      <c r="T3" s="507"/>
      <c r="U3" s="508"/>
      <c r="V3" s="509" t="s">
        <v>219</v>
      </c>
      <c r="W3" s="507" t="s">
        <v>224</v>
      </c>
      <c r="X3" s="507"/>
      <c r="Y3" s="507"/>
      <c r="Z3" s="507"/>
      <c r="AA3" s="506" t="s">
        <v>219</v>
      </c>
      <c r="AB3" s="507" t="s">
        <v>225</v>
      </c>
      <c r="AC3" s="507"/>
      <c r="AD3" s="507"/>
      <c r="AE3" s="507"/>
      <c r="AF3" s="506" t="s">
        <v>219</v>
      </c>
      <c r="AG3" s="507" t="s">
        <v>226</v>
      </c>
      <c r="AH3" s="507"/>
      <c r="AI3" s="507"/>
      <c r="AJ3" s="507"/>
      <c r="AK3" s="506" t="s">
        <v>219</v>
      </c>
      <c r="AL3" s="507" t="s">
        <v>227</v>
      </c>
      <c r="AM3" s="507"/>
      <c r="AN3" s="507"/>
      <c r="AO3" s="507"/>
      <c r="AP3" s="506" t="s">
        <v>219</v>
      </c>
    </row>
    <row r="4" spans="1:70">
      <c r="A4" s="510" t="s">
        <v>228</v>
      </c>
      <c r="B4" s="511" t="s">
        <v>229</v>
      </c>
      <c r="C4" s="504" t="s">
        <v>230</v>
      </c>
      <c r="D4" s="504" t="s">
        <v>231</v>
      </c>
      <c r="E4" s="504" t="s">
        <v>232</v>
      </c>
      <c r="F4" s="504" t="s">
        <v>233</v>
      </c>
      <c r="G4" s="506" t="s">
        <v>234</v>
      </c>
      <c r="H4" s="504" t="s">
        <v>230</v>
      </c>
      <c r="I4" s="504" t="s">
        <v>231</v>
      </c>
      <c r="J4" s="504" t="s">
        <v>232</v>
      </c>
      <c r="K4" s="504" t="s">
        <v>233</v>
      </c>
      <c r="L4" s="506" t="s">
        <v>235</v>
      </c>
      <c r="M4" s="504" t="s">
        <v>230</v>
      </c>
      <c r="N4" s="504" t="s">
        <v>231</v>
      </c>
      <c r="O4" s="504" t="s">
        <v>232</v>
      </c>
      <c r="P4" s="504" t="s">
        <v>233</v>
      </c>
      <c r="Q4" s="506" t="s">
        <v>236</v>
      </c>
      <c r="R4" s="504" t="s">
        <v>230</v>
      </c>
      <c r="S4" s="504" t="s">
        <v>231</v>
      </c>
      <c r="T4" s="504" t="s">
        <v>232</v>
      </c>
      <c r="U4" s="506" t="s">
        <v>237</v>
      </c>
      <c r="V4" s="509" t="s">
        <v>223</v>
      </c>
      <c r="W4" s="504" t="s">
        <v>230</v>
      </c>
      <c r="X4" s="504" t="s">
        <v>231</v>
      </c>
      <c r="Y4" s="504" t="s">
        <v>232</v>
      </c>
      <c r="Z4" s="504" t="s">
        <v>233</v>
      </c>
      <c r="AA4" s="512" t="s">
        <v>224</v>
      </c>
      <c r="AB4" s="504" t="s">
        <v>230</v>
      </c>
      <c r="AC4" s="504" t="s">
        <v>231</v>
      </c>
      <c r="AD4" s="504" t="s">
        <v>232</v>
      </c>
      <c r="AE4" s="504" t="s">
        <v>233</v>
      </c>
      <c r="AF4" s="506" t="s">
        <v>225</v>
      </c>
      <c r="AG4" s="504" t="s">
        <v>230</v>
      </c>
      <c r="AH4" s="504" t="s">
        <v>231</v>
      </c>
      <c r="AI4" s="504" t="s">
        <v>232</v>
      </c>
      <c r="AJ4" s="504" t="s">
        <v>233</v>
      </c>
      <c r="AK4" s="506" t="s">
        <v>226</v>
      </c>
      <c r="AL4" s="504" t="s">
        <v>230</v>
      </c>
      <c r="AM4" s="504" t="s">
        <v>231</v>
      </c>
      <c r="AN4" s="504" t="s">
        <v>232</v>
      </c>
      <c r="AO4" s="504" t="s">
        <v>233</v>
      </c>
      <c r="AP4" s="506" t="s">
        <v>227</v>
      </c>
      <c r="BE4" s="118"/>
    </row>
    <row r="5" spans="1:70">
      <c r="BE5" s="118"/>
    </row>
    <row r="6" spans="1:70">
      <c r="A6" s="513" t="s">
        <v>238</v>
      </c>
      <c r="B6" s="514"/>
      <c r="C6" s="514"/>
      <c r="D6" s="514"/>
      <c r="E6" s="514"/>
      <c r="F6" s="514"/>
      <c r="G6" s="515"/>
      <c r="H6" s="514"/>
      <c r="I6" s="514"/>
      <c r="J6" s="514"/>
      <c r="K6" s="514"/>
      <c r="L6" s="515"/>
      <c r="M6" s="514"/>
      <c r="N6" s="514"/>
      <c r="O6" s="514"/>
      <c r="P6" s="514"/>
      <c r="Q6" s="515"/>
      <c r="R6" s="514"/>
      <c r="S6" s="514"/>
      <c r="T6" s="514"/>
      <c r="U6" s="515"/>
      <c r="V6" s="516"/>
      <c r="W6" s="517"/>
      <c r="X6" s="517"/>
      <c r="Y6" s="517"/>
      <c r="Z6" s="517"/>
      <c r="AA6" s="518"/>
      <c r="AB6" s="517"/>
      <c r="AC6" s="517"/>
      <c r="AD6" s="517"/>
      <c r="AE6" s="517"/>
      <c r="AF6" s="519"/>
      <c r="AG6" s="517"/>
      <c r="AH6" s="517"/>
      <c r="AI6" s="517"/>
      <c r="AJ6" s="517"/>
      <c r="AK6" s="519"/>
      <c r="AL6" s="517"/>
      <c r="AM6" s="517"/>
      <c r="AN6" s="517"/>
      <c r="AO6" s="517"/>
      <c r="AP6" s="519"/>
      <c r="BE6" s="118"/>
    </row>
    <row r="7" spans="1:70" s="16" customFormat="1">
      <c r="A7" s="339" t="s">
        <v>239</v>
      </c>
      <c r="C7" s="16">
        <v>278</v>
      </c>
      <c r="D7" s="16">
        <v>271</v>
      </c>
      <c r="E7" s="16">
        <v>260</v>
      </c>
      <c r="F7" s="16">
        <f>1080-SUM(C7:E7)</f>
        <v>271</v>
      </c>
      <c r="G7" s="268">
        <f>SUM(C7:F7)</f>
        <v>1080</v>
      </c>
      <c r="H7" s="16">
        <v>261</v>
      </c>
      <c r="I7" s="16">
        <v>261</v>
      </c>
      <c r="J7" s="16">
        <v>264</v>
      </c>
      <c r="K7" s="16">
        <f>1080-SUM(H7:J7)</f>
        <v>294</v>
      </c>
      <c r="L7" s="268">
        <f>SUM(H7:K7)</f>
        <v>1080</v>
      </c>
      <c r="M7" s="16">
        <v>274</v>
      </c>
      <c r="N7" s="16">
        <v>274</v>
      </c>
      <c r="O7" s="16">
        <v>275</v>
      </c>
      <c r="P7" s="16">
        <f>1100-SUM(M7:O7)</f>
        <v>277</v>
      </c>
      <c r="Q7" s="268">
        <f>SUM(M7:P7)</f>
        <v>1100</v>
      </c>
      <c r="R7" s="16">
        <v>278</v>
      </c>
      <c r="S7" s="16">
        <v>272</v>
      </c>
      <c r="T7" s="16">
        <v>247</v>
      </c>
      <c r="U7" s="268">
        <v>295</v>
      </c>
      <c r="V7" s="337">
        <f>V9+V14+V19</f>
        <v>1045.75</v>
      </c>
      <c r="W7" s="16">
        <f>$AA$7/4</f>
        <v>268</v>
      </c>
      <c r="X7" s="16">
        <f>$AA$7/4</f>
        <v>268</v>
      </c>
      <c r="Y7" s="16">
        <f>$AA$7/4</f>
        <v>268</v>
      </c>
      <c r="Z7" s="16">
        <f>$AA$7/4</f>
        <v>268</v>
      </c>
      <c r="AA7" s="287">
        <f>AA9+AA14+AA19</f>
        <v>1072</v>
      </c>
      <c r="AB7" s="16">
        <f>$AF$7/4</f>
        <v>291</v>
      </c>
      <c r="AC7" s="16">
        <f>$AF$7/4</f>
        <v>291</v>
      </c>
      <c r="AD7" s="16">
        <f>$AF$7/4</f>
        <v>291</v>
      </c>
      <c r="AE7" s="16">
        <f>$AF$7/4</f>
        <v>291</v>
      </c>
      <c r="AF7" s="268">
        <v>1164</v>
      </c>
      <c r="AG7" s="16">
        <f t="shared" ref="AG7:AP7" si="0">AG9+AG14+AG19</f>
        <v>301.92999999999995</v>
      </c>
      <c r="AH7" s="16">
        <f t="shared" si="0"/>
        <v>301.92999999999995</v>
      </c>
      <c r="AI7" s="16">
        <f t="shared" si="0"/>
        <v>301.92999999999995</v>
      </c>
      <c r="AJ7" s="16">
        <f t="shared" si="0"/>
        <v>301.92999999999995</v>
      </c>
      <c r="AK7" s="268">
        <f t="shared" si="0"/>
        <v>1207.7199999999998</v>
      </c>
      <c r="AL7" s="16">
        <f t="shared" si="0"/>
        <v>310.42579999999998</v>
      </c>
      <c r="AM7" s="16">
        <f t="shared" si="0"/>
        <v>310.42579999999998</v>
      </c>
      <c r="AN7" s="16">
        <f t="shared" si="0"/>
        <v>310.42579999999998</v>
      </c>
      <c r="AO7" s="16">
        <f t="shared" si="0"/>
        <v>310.42579999999998</v>
      </c>
      <c r="AP7" s="268">
        <f t="shared" si="0"/>
        <v>1241.7031999999999</v>
      </c>
      <c r="AS7"/>
      <c r="BE7" s="340"/>
    </row>
    <row r="8" spans="1:70">
      <c r="A8" s="12" t="s">
        <v>240</v>
      </c>
      <c r="C8" s="20"/>
      <c r="D8" s="20"/>
      <c r="E8" s="20"/>
      <c r="F8" s="20"/>
      <c r="G8" s="272"/>
      <c r="H8" s="20"/>
      <c r="I8" s="20"/>
      <c r="J8" s="20"/>
      <c r="K8" s="20"/>
      <c r="L8" s="272"/>
      <c r="M8" s="20"/>
      <c r="N8" s="20"/>
      <c r="O8" s="20"/>
      <c r="P8" s="20"/>
      <c r="Q8" s="272"/>
      <c r="R8" s="20"/>
      <c r="S8" s="20"/>
      <c r="T8" s="20"/>
      <c r="U8" s="272"/>
      <c r="V8" s="411"/>
      <c r="W8" s="20"/>
      <c r="X8" s="20"/>
      <c r="Y8" s="20"/>
      <c r="Z8" s="326"/>
      <c r="AA8" s="291"/>
      <c r="AB8" s="20"/>
      <c r="AC8" s="20"/>
      <c r="AD8" s="20"/>
      <c r="AE8" s="20"/>
      <c r="AF8" s="274"/>
      <c r="AG8" s="20"/>
      <c r="AH8" s="20"/>
      <c r="AI8" s="20"/>
      <c r="AJ8" s="20"/>
      <c r="AK8" s="258"/>
      <c r="AL8" s="20"/>
      <c r="AM8" s="20"/>
      <c r="AN8" s="20"/>
      <c r="AO8" s="20"/>
      <c r="AP8" s="258"/>
      <c r="AQ8" s="42" t="s">
        <v>241</v>
      </c>
      <c r="BE8" s="118"/>
      <c r="BF8" s="16"/>
      <c r="BG8" s="16"/>
      <c r="BH8" s="16"/>
    </row>
    <row r="9" spans="1:70" s="16" customFormat="1">
      <c r="A9" s="16" t="s">
        <v>242</v>
      </c>
      <c r="B9" s="280" t="s">
        <v>243</v>
      </c>
      <c r="C9" s="273">
        <v>55.397940140845073</v>
      </c>
      <c r="D9" s="245">
        <v>57.755299295774648</v>
      </c>
      <c r="E9" s="245">
        <v>60.112658450704231</v>
      </c>
      <c r="F9" s="245">
        <v>62.470017605633807</v>
      </c>
      <c r="G9" s="260">
        <v>235.73591549295776</v>
      </c>
      <c r="H9" s="245">
        <v>40.442149929278642</v>
      </c>
      <c r="I9" s="245">
        <v>40.442149929278642</v>
      </c>
      <c r="J9" s="245">
        <v>60.663224893917956</v>
      </c>
      <c r="K9" s="245">
        <v>60.663224893917956</v>
      </c>
      <c r="L9" s="260">
        <v>202.2107496463932</v>
      </c>
      <c r="M9" s="245">
        <f>M11/M10</f>
        <v>35.442444649446486</v>
      </c>
      <c r="N9" s="245">
        <f>N11/N10</f>
        <v>40.270676369863018</v>
      </c>
      <c r="O9" s="245">
        <f>O11/O10</f>
        <v>38.179431162407255</v>
      </c>
      <c r="P9" s="245">
        <f>P11/P10</f>
        <v>37.736538176426983</v>
      </c>
      <c r="Q9" s="260">
        <v>151.72259136212625</v>
      </c>
      <c r="R9" s="281">
        <f>R11/R10</f>
        <v>34.226430868167199</v>
      </c>
      <c r="S9" s="281">
        <f>S11/S10</f>
        <v>31.098279181708786</v>
      </c>
      <c r="T9" s="281">
        <f>T11/T10</f>
        <v>43.102902654867265</v>
      </c>
      <c r="U9" s="268">
        <v>45</v>
      </c>
      <c r="V9" s="337">
        <f>SUM(R9:U9)</f>
        <v>153.42761270474324</v>
      </c>
      <c r="W9" s="16">
        <f>$AA$9/4</f>
        <v>50</v>
      </c>
      <c r="X9" s="16">
        <f>$AA$9/4</f>
        <v>50</v>
      </c>
      <c r="Y9" s="16">
        <f>$AA$9/4</f>
        <v>50</v>
      </c>
      <c r="Z9" s="16">
        <f>$AA$9/4</f>
        <v>50</v>
      </c>
      <c r="AA9" s="287">
        <v>200</v>
      </c>
      <c r="AB9" s="16">
        <f>$AF$9/4</f>
        <v>53</v>
      </c>
      <c r="AC9" s="16">
        <f>$AF$9/4</f>
        <v>53</v>
      </c>
      <c r="AD9" s="16">
        <f>$AF$9/4</f>
        <v>53</v>
      </c>
      <c r="AE9" s="16">
        <f>$AF$9/4</f>
        <v>53</v>
      </c>
      <c r="AF9" s="268">
        <f>AA9*(1+$AQ$9)</f>
        <v>212</v>
      </c>
      <c r="AG9" s="16">
        <f>$AK$9/4</f>
        <v>56.18</v>
      </c>
      <c r="AH9" s="16">
        <f>$AK$9/4</f>
        <v>56.18</v>
      </c>
      <c r="AI9" s="16">
        <f>$AK$9/4</f>
        <v>56.18</v>
      </c>
      <c r="AJ9" s="16">
        <f>$AK$9/4</f>
        <v>56.18</v>
      </c>
      <c r="AK9" s="268">
        <f>AF9*(1+$AQ$9)</f>
        <v>224.72</v>
      </c>
      <c r="AL9" s="16">
        <f>$AP$9/4</f>
        <v>59.550800000000002</v>
      </c>
      <c r="AM9" s="16">
        <f>$AP$9/4</f>
        <v>59.550800000000002</v>
      </c>
      <c r="AN9" s="16">
        <f>$AP$9/4</f>
        <v>59.550800000000002</v>
      </c>
      <c r="AO9" s="16">
        <f>$AP$9/4</f>
        <v>59.550800000000002</v>
      </c>
      <c r="AP9" s="268">
        <f>AK9*(1+$AQ$9)</f>
        <v>238.20320000000001</v>
      </c>
      <c r="AQ9" s="131">
        <v>0.06</v>
      </c>
      <c r="BE9" s="338"/>
    </row>
    <row r="10" spans="1:70">
      <c r="A10" s="20" t="s">
        <v>244</v>
      </c>
      <c r="B10" s="252" t="s">
        <v>243</v>
      </c>
      <c r="C10" s="244">
        <f>C11/C9</f>
        <v>604.75533774041401</v>
      </c>
      <c r="D10" s="244">
        <f>D11/D9</f>
        <v>564.16987527210006</v>
      </c>
      <c r="E10" s="244">
        <f>E11/E9</f>
        <v>551.96361057978277</v>
      </c>
      <c r="F10" s="244">
        <f>F11/F9</f>
        <v>554.37794525091897</v>
      </c>
      <c r="G10" s="259">
        <v>568</v>
      </c>
      <c r="H10" s="244">
        <f>H11/H9</f>
        <v>802.03451242629217</v>
      </c>
      <c r="I10" s="244">
        <f>I11/I9</f>
        <v>844.33889048215281</v>
      </c>
      <c r="J10" s="244">
        <f>J11/J9</f>
        <v>577.30264194232086</v>
      </c>
      <c r="K10" s="244">
        <f>K11/K9</f>
        <v>681.78175611871609</v>
      </c>
      <c r="L10" s="259">
        <v>707</v>
      </c>
      <c r="M10" s="244">
        <v>1084</v>
      </c>
      <c r="N10" s="244">
        <v>1168</v>
      </c>
      <c r="O10" s="244">
        <v>1213</v>
      </c>
      <c r="P10" s="244">
        <v>1349</v>
      </c>
      <c r="Q10" s="259">
        <v>1204</v>
      </c>
      <c r="R10" s="282">
        <v>1555</v>
      </c>
      <c r="S10" s="282">
        <v>1662</v>
      </c>
      <c r="T10" s="282">
        <v>1130</v>
      </c>
      <c r="U10" s="422">
        <v>925</v>
      </c>
      <c r="V10" s="411">
        <f>AVERAGE(R10:U10)</f>
        <v>1318</v>
      </c>
      <c r="W10" s="20">
        <v>875</v>
      </c>
      <c r="X10" s="20">
        <v>850</v>
      </c>
      <c r="Y10" s="20">
        <v>825</v>
      </c>
      <c r="Z10" s="20">
        <v>800</v>
      </c>
      <c r="AA10" s="286">
        <f>AVERAGE(W10:Z10)</f>
        <v>837.5</v>
      </c>
      <c r="AB10" s="20">
        <v>800</v>
      </c>
      <c r="AC10" s="20">
        <v>800</v>
      </c>
      <c r="AD10" s="20">
        <v>800</v>
      </c>
      <c r="AE10" s="20">
        <v>800</v>
      </c>
      <c r="AF10" s="272">
        <f>AVERAGE(AB10:AE10)</f>
        <v>800</v>
      </c>
      <c r="AG10" s="20">
        <v>775</v>
      </c>
      <c r="AH10" s="20">
        <v>750</v>
      </c>
      <c r="AI10" s="20">
        <v>725</v>
      </c>
      <c r="AJ10" s="20">
        <v>700</v>
      </c>
      <c r="AK10" s="272">
        <f>AVERAGE(AG10:AJ10)</f>
        <v>737.5</v>
      </c>
      <c r="AL10" s="20">
        <f>AVERAGE($G$10,$L$10)</f>
        <v>637.5</v>
      </c>
      <c r="AM10" s="20">
        <f>AVERAGE($G$10,$L$10)</f>
        <v>637.5</v>
      </c>
      <c r="AN10" s="20">
        <f>AVERAGE($G$10,$L$10)</f>
        <v>637.5</v>
      </c>
      <c r="AO10" s="20">
        <f>AVERAGE($G$10,$L$10)</f>
        <v>637.5</v>
      </c>
      <c r="AP10" s="272">
        <f>AVERAGE(AL10:AO10)</f>
        <v>637.5</v>
      </c>
      <c r="AQ10" s="130"/>
      <c r="AS10" s="14"/>
      <c r="AT10" s="14"/>
      <c r="BE10" s="118"/>
      <c r="BN10" s="16" t="s">
        <v>245</v>
      </c>
      <c r="BO10" s="38">
        <v>0.3785</v>
      </c>
    </row>
    <row r="11" spans="1:70">
      <c r="A11" s="270" t="s">
        <v>246</v>
      </c>
      <c r="B11" s="252" t="s">
        <v>243</v>
      </c>
      <c r="C11" s="244">
        <f>C23*0.12</f>
        <v>33502.199999999997</v>
      </c>
      <c r="D11" s="244">
        <v>32583.799999999988</v>
      </c>
      <c r="E11" s="244">
        <f>E23*0.12</f>
        <v>33180</v>
      </c>
      <c r="F11" s="244">
        <f>F23*0.12</f>
        <v>34632</v>
      </c>
      <c r="G11" s="259">
        <v>133898</v>
      </c>
      <c r="H11" s="244">
        <f>H23*0.12</f>
        <v>32436</v>
      </c>
      <c r="I11" s="244">
        <v>34146.880000000005</v>
      </c>
      <c r="J11" s="244">
        <f>J23*0.12</f>
        <v>35021.040000000001</v>
      </c>
      <c r="K11" s="244">
        <f>K23*0.12</f>
        <v>41359.08</v>
      </c>
      <c r="L11" s="259">
        <v>142963</v>
      </c>
      <c r="M11" s="244">
        <v>38419.609999999993</v>
      </c>
      <c r="N11" s="244">
        <v>47036.15</v>
      </c>
      <c r="O11" s="244">
        <v>46311.65</v>
      </c>
      <c r="P11" s="244">
        <v>50906.590000000004</v>
      </c>
      <c r="Q11" s="259">
        <v>182674</v>
      </c>
      <c r="R11" s="283">
        <f>R23*0.15</f>
        <v>53222.1</v>
      </c>
      <c r="S11" s="283">
        <f>S23*0.14</f>
        <v>51685.340000000004</v>
      </c>
      <c r="T11" s="283">
        <f>T23*0.14</f>
        <v>48706.280000000006</v>
      </c>
      <c r="U11" s="284">
        <f>U10*U9</f>
        <v>41625</v>
      </c>
      <c r="V11" s="412">
        <f>SUM(R11:U11)</f>
        <v>195238.72</v>
      </c>
      <c r="W11" s="283">
        <f>W10*W9</f>
        <v>43750</v>
      </c>
      <c r="X11" s="283">
        <f>X10*X9</f>
        <v>42500</v>
      </c>
      <c r="Y11" s="283">
        <f>Y10*Y9</f>
        <v>41250</v>
      </c>
      <c r="Z11" s="283">
        <f>Z10*Z9</f>
        <v>40000</v>
      </c>
      <c r="AA11" s="295">
        <f>SUM(W11:Z11)</f>
        <v>167500</v>
      </c>
      <c r="AB11" s="296">
        <f>AB9*AB10</f>
        <v>42400</v>
      </c>
      <c r="AC11" s="296">
        <f>AC9*AC10</f>
        <v>42400</v>
      </c>
      <c r="AD11" s="296">
        <f>AD9*AD10</f>
        <v>42400</v>
      </c>
      <c r="AE11" s="296">
        <f>AE9*AE10</f>
        <v>42400</v>
      </c>
      <c r="AF11" s="284">
        <f>SUM(AB11:AE11)</f>
        <v>169600</v>
      </c>
      <c r="AG11" s="296">
        <f>AG10*AG9</f>
        <v>43539.5</v>
      </c>
      <c r="AH11" s="296">
        <f>AH10*AH9</f>
        <v>42135</v>
      </c>
      <c r="AI11" s="296">
        <f>AI10*AI9</f>
        <v>40730.5</v>
      </c>
      <c r="AJ11" s="296">
        <f>AJ10*AJ9</f>
        <v>39326</v>
      </c>
      <c r="AK11" s="284">
        <f>SUM(AG11:AJ11)</f>
        <v>165731</v>
      </c>
      <c r="AL11" s="296">
        <f>AL10*AL9</f>
        <v>37963.635000000002</v>
      </c>
      <c r="AM11" s="283">
        <f>AM10*AM9</f>
        <v>37963.635000000002</v>
      </c>
      <c r="AN11" s="296">
        <f>AN10*AN9</f>
        <v>37963.635000000002</v>
      </c>
      <c r="AO11" s="296">
        <f>AO10*AO9</f>
        <v>37963.635000000002</v>
      </c>
      <c r="AP11" s="284">
        <f>SUM(AL11:AO11)</f>
        <v>151854.54</v>
      </c>
      <c r="AQ11" s="131"/>
      <c r="AS11" s="48"/>
      <c r="AT11" s="48"/>
      <c r="BE11" s="118"/>
      <c r="BN11" s="41"/>
      <c r="BO11" s="41">
        <f>BO14/BO10</f>
        <v>317040.95112285338</v>
      </c>
      <c r="BP11" s="116" t="s">
        <v>244</v>
      </c>
    </row>
    <row r="12" spans="1:70">
      <c r="A12" s="270"/>
      <c r="B12" s="20"/>
      <c r="C12" s="244"/>
      <c r="D12" s="244" t="s">
        <v>11</v>
      </c>
      <c r="E12" s="244"/>
      <c r="F12" s="244"/>
      <c r="G12" s="271"/>
      <c r="H12" s="244"/>
      <c r="I12" s="244"/>
      <c r="J12" s="244" t="s">
        <v>11</v>
      </c>
      <c r="K12" s="244"/>
      <c r="L12" s="341"/>
      <c r="M12" s="279"/>
      <c r="N12" s="279"/>
      <c r="O12" s="279"/>
      <c r="P12" s="279"/>
      <c r="Q12" s="341"/>
      <c r="R12" s="342"/>
      <c r="S12" s="342"/>
      <c r="T12" s="342"/>
      <c r="U12" s="423"/>
      <c r="V12" s="413"/>
      <c r="W12" s="366"/>
      <c r="X12" s="366"/>
      <c r="Y12" s="366"/>
      <c r="Z12" s="366"/>
      <c r="AA12" s="363"/>
      <c r="AB12" s="367"/>
      <c r="AC12" s="367"/>
      <c r="AD12" s="367"/>
      <c r="AE12" s="163"/>
      <c r="AF12" s="361"/>
      <c r="AG12" s="366"/>
      <c r="AH12" s="365"/>
      <c r="AI12" s="366"/>
      <c r="AJ12" s="366"/>
      <c r="AK12" s="361"/>
      <c r="AL12" s="366"/>
      <c r="AM12" s="366"/>
      <c r="AN12" s="366"/>
      <c r="AO12" s="366"/>
      <c r="AP12" s="361"/>
      <c r="AS12" s="16"/>
      <c r="AT12" s="16"/>
      <c r="BE12" s="118"/>
      <c r="BN12" s="109" t="s">
        <v>247</v>
      </c>
      <c r="BO12" s="115">
        <f>BO14/BO10</f>
        <v>317040.95112285338</v>
      </c>
      <c r="BP12" s="117">
        <f>BO12/BO13</f>
        <v>6892.1945896272473</v>
      </c>
    </row>
    <row r="13" spans="1:70">
      <c r="A13" s="270" t="s">
        <v>248</v>
      </c>
      <c r="B13" s="20"/>
      <c r="C13" s="244"/>
      <c r="D13" s="244"/>
      <c r="E13" s="244"/>
      <c r="F13" s="244"/>
      <c r="G13" s="271"/>
      <c r="H13" s="244"/>
      <c r="I13" s="244"/>
      <c r="J13" s="244"/>
      <c r="K13" s="244"/>
      <c r="L13" s="271"/>
      <c r="M13" s="327"/>
      <c r="N13" s="327"/>
      <c r="O13" s="327"/>
      <c r="P13" s="327"/>
      <c r="Q13" s="271"/>
      <c r="R13" s="20"/>
      <c r="S13" s="20"/>
      <c r="T13" s="20"/>
      <c r="U13" s="272"/>
      <c r="V13" s="411"/>
      <c r="W13" s="20" t="s">
        <v>11</v>
      </c>
      <c r="X13" s="20"/>
      <c r="Y13" s="20" t="s">
        <v>11</v>
      </c>
      <c r="Z13" s="20"/>
      <c r="AA13" s="286"/>
      <c r="AB13" s="20"/>
      <c r="AC13" s="20"/>
      <c r="AD13" s="20"/>
      <c r="AE13" s="20"/>
      <c r="AF13" s="272"/>
      <c r="AG13" s="20"/>
      <c r="AH13" s="20"/>
      <c r="AI13" s="20"/>
      <c r="AJ13" s="20"/>
      <c r="AK13" s="272"/>
      <c r="AL13" s="20"/>
      <c r="AM13" s="20"/>
      <c r="AN13" s="20"/>
      <c r="AO13" s="20"/>
      <c r="AP13" s="272"/>
      <c r="AQ13" s="42" t="s">
        <v>241</v>
      </c>
      <c r="AS13" s="269" t="s">
        <v>11</v>
      </c>
      <c r="AT13" s="269"/>
      <c r="AU13" s="269"/>
      <c r="AV13" s="269"/>
      <c r="AW13" s="269"/>
      <c r="AX13" s="269"/>
      <c r="AY13" s="269"/>
      <c r="BE13" s="118"/>
      <c r="BN13" s="110" t="s">
        <v>249</v>
      </c>
      <c r="BO13" s="111">
        <v>46</v>
      </c>
      <c r="BP13" s="41" t="s">
        <v>11</v>
      </c>
    </row>
    <row r="14" spans="1:70" s="16" customFormat="1">
      <c r="A14" s="16" t="s">
        <v>242</v>
      </c>
      <c r="B14" s="280" t="s">
        <v>243</v>
      </c>
      <c r="C14" s="245">
        <v>24.180916024999998</v>
      </c>
      <c r="D14" s="245">
        <v>25.209891174999999</v>
      </c>
      <c r="E14" s="245">
        <v>26.238866325</v>
      </c>
      <c r="F14" s="245">
        <v>27.267841475000001</v>
      </c>
      <c r="G14" s="260">
        <v>102.897515</v>
      </c>
      <c r="H14" s="245">
        <v>25.617754199999997</v>
      </c>
      <c r="I14" s="245">
        <v>26.707871399999998</v>
      </c>
      <c r="J14" s="245">
        <v>27.7979886</v>
      </c>
      <c r="K14" s="245">
        <v>28.888105800000002</v>
      </c>
      <c r="L14" s="260">
        <v>109</v>
      </c>
      <c r="M14" s="245">
        <v>27</v>
      </c>
      <c r="N14" s="245">
        <f>$Q$14/4</f>
        <v>27.5</v>
      </c>
      <c r="O14" s="245">
        <f>$Q$14/4</f>
        <v>27.5</v>
      </c>
      <c r="P14" s="245">
        <f>$Q$14/4</f>
        <v>27.5</v>
      </c>
      <c r="Q14" s="260">
        <v>110</v>
      </c>
      <c r="R14" s="281">
        <f>$V$14/4</f>
        <v>28.75</v>
      </c>
      <c r="S14" s="281">
        <f>$V$14/4</f>
        <v>28.75</v>
      </c>
      <c r="T14" s="281">
        <f>$V$14/4</f>
        <v>28.75</v>
      </c>
      <c r="U14" s="424">
        <f>$V$14/4</f>
        <v>28.75</v>
      </c>
      <c r="V14" s="337">
        <v>115</v>
      </c>
      <c r="W14" s="16">
        <v>29</v>
      </c>
      <c r="X14" s="16">
        <v>41</v>
      </c>
      <c r="Y14" s="16">
        <v>41</v>
      </c>
      <c r="Z14" s="16">
        <v>41</v>
      </c>
      <c r="AA14" s="287">
        <f>SUM(W14:Z14)</f>
        <v>152</v>
      </c>
      <c r="AB14" s="16">
        <f>$AF$14/4</f>
        <v>40.75</v>
      </c>
      <c r="AC14" s="16">
        <f>$AF$14/4</f>
        <v>40.75</v>
      </c>
      <c r="AD14" s="16">
        <f>$AF$14/4</f>
        <v>40.75</v>
      </c>
      <c r="AE14" s="16">
        <f>$AF$14/4</f>
        <v>40.75</v>
      </c>
      <c r="AF14" s="268">
        <f>V14+48</f>
        <v>163</v>
      </c>
      <c r="AG14" s="16">
        <f>$AK$14/4</f>
        <v>40.75</v>
      </c>
      <c r="AH14" s="16">
        <f>$AK$14/4</f>
        <v>40.75</v>
      </c>
      <c r="AI14" s="16">
        <f>$AK$14/4</f>
        <v>40.75</v>
      </c>
      <c r="AJ14" s="16">
        <f>$AK$14/4</f>
        <v>40.75</v>
      </c>
      <c r="AK14" s="268">
        <f>AF14*(1+$AQ$14)</f>
        <v>163</v>
      </c>
      <c r="AL14" s="16">
        <f>$AP$14/4</f>
        <v>40.75</v>
      </c>
      <c r="AM14" s="16">
        <f>$AP$14/4</f>
        <v>40.75</v>
      </c>
      <c r="AN14" s="16">
        <f>$AP$14/4</f>
        <v>40.75</v>
      </c>
      <c r="AO14" s="16">
        <f>$AP$14/4</f>
        <v>40.75</v>
      </c>
      <c r="AP14" s="268">
        <f>AK14*(1+$AQ$14)</f>
        <v>163</v>
      </c>
      <c r="AQ14" s="163">
        <v>0</v>
      </c>
      <c r="AR14"/>
      <c r="AT14" s="253"/>
      <c r="AU14" s="253"/>
      <c r="AV14" s="253"/>
      <c r="AW14" s="253"/>
      <c r="BN14" s="112" t="s">
        <v>250</v>
      </c>
      <c r="BO14" s="337">
        <v>120000</v>
      </c>
    </row>
    <row r="15" spans="1:70">
      <c r="A15" s="20" t="s">
        <v>244</v>
      </c>
      <c r="B15" s="252" t="s">
        <v>243</v>
      </c>
      <c r="C15" s="244">
        <f>C16/C14</f>
        <v>9236.5400785101156</v>
      </c>
      <c r="D15" s="244">
        <f>D16/D14</f>
        <v>8700.2755576155323</v>
      </c>
      <c r="E15" s="244">
        <f>E16/E14</f>
        <v>8430.2422696229041</v>
      </c>
      <c r="F15" s="244">
        <f>F16/F14</f>
        <v>8467.1168494095109</v>
      </c>
      <c r="G15" s="259">
        <f>AVERAGE(C15:F15)</f>
        <v>8708.5436887895157</v>
      </c>
      <c r="H15" s="244">
        <f>H16/H14</f>
        <v>8441.0209541318818</v>
      </c>
      <c r="I15" s="244">
        <f>I16/I14</f>
        <v>8330.3980563572713</v>
      </c>
      <c r="J15" s="244">
        <f>J16/J14</f>
        <v>8398.9386196093346</v>
      </c>
      <c r="K15" s="244">
        <f>K16/K14</f>
        <v>9544.6618033363757</v>
      </c>
      <c r="L15" s="259">
        <f>AVERAGE(H15:K15)</f>
        <v>8678.7548583587159</v>
      </c>
      <c r="M15" s="244">
        <f>M16/M14</f>
        <v>8676.5218518518523</v>
      </c>
      <c r="N15" s="244">
        <f>N16/N14</f>
        <v>8609.369090909091</v>
      </c>
      <c r="O15" s="244">
        <f>O16/O14</f>
        <v>8466.3509090909083</v>
      </c>
      <c r="P15" s="244">
        <f>P16/P14</f>
        <v>9373.4039999999986</v>
      </c>
      <c r="Q15" s="259">
        <f>AVERAGE(M15:P15)</f>
        <v>8781.4114629629621</v>
      </c>
      <c r="R15" s="282">
        <f>R16/R14</f>
        <v>9379.4309565217391</v>
      </c>
      <c r="S15" s="282">
        <f>S16/S14</f>
        <v>9759.2194782608694</v>
      </c>
      <c r="T15" s="282">
        <f>T16/T14</f>
        <v>9317.7231304347824</v>
      </c>
      <c r="U15" s="422">
        <f>AVERAGE($R$15:$T$15)</f>
        <v>9485.4578550724636</v>
      </c>
      <c r="V15" s="411">
        <f>AVERAGE(R15:U15)</f>
        <v>9485.4578550724636</v>
      </c>
      <c r="W15" s="20">
        <v>9400</v>
      </c>
      <c r="X15" s="20">
        <v>9400</v>
      </c>
      <c r="Y15" s="20">
        <v>9400</v>
      </c>
      <c r="Z15" s="20">
        <v>9400</v>
      </c>
      <c r="AA15" s="286">
        <f>AVERAGE(W15:Z15)</f>
        <v>9400</v>
      </c>
      <c r="AB15" s="20">
        <v>9400</v>
      </c>
      <c r="AC15" s="20">
        <v>9400</v>
      </c>
      <c r="AD15" s="20">
        <v>9400</v>
      </c>
      <c r="AE15" s="20">
        <v>9400</v>
      </c>
      <c r="AF15" s="272">
        <f>AVERAGE(AB15:AE15)</f>
        <v>9400</v>
      </c>
      <c r="AG15" s="20">
        <v>9000</v>
      </c>
      <c r="AH15" s="20">
        <v>9000</v>
      </c>
      <c r="AI15" s="20">
        <v>9000</v>
      </c>
      <c r="AJ15" s="20">
        <v>9000</v>
      </c>
      <c r="AK15" s="272">
        <f>AVERAGE(AG15:AJ15)</f>
        <v>9000</v>
      </c>
      <c r="AL15" s="20">
        <v>9250</v>
      </c>
      <c r="AM15" s="20">
        <v>9250</v>
      </c>
      <c r="AN15" s="20">
        <v>9250</v>
      </c>
      <c r="AO15" s="20">
        <v>9250</v>
      </c>
      <c r="AP15" s="398">
        <f>AVERAGE(AL15:AO15)</f>
        <v>9250</v>
      </c>
      <c r="AQ15" s="43"/>
      <c r="AR15" s="20"/>
      <c r="AT15" s="163"/>
      <c r="AU15" s="163"/>
      <c r="AV15" s="163"/>
      <c r="AW15" s="163"/>
      <c r="AX15" s="163"/>
      <c r="BN15" s="113" t="s">
        <v>251</v>
      </c>
      <c r="BO15" s="114">
        <f>BO14/BO13</f>
        <v>2608.695652173913</v>
      </c>
      <c r="BR15" s="16"/>
    </row>
    <row r="16" spans="1:70">
      <c r="A16" s="270" t="s">
        <v>252</v>
      </c>
      <c r="B16" s="252" t="s">
        <v>243</v>
      </c>
      <c r="C16" s="244">
        <f>C23*0.8</f>
        <v>223348</v>
      </c>
      <c r="D16" s="244">
        <v>219333</v>
      </c>
      <c r="E16" s="244">
        <f>E23*0.8</f>
        <v>221200</v>
      </c>
      <c r="F16" s="244">
        <f>F23*0.8</f>
        <v>230880</v>
      </c>
      <c r="G16" s="259">
        <v>894761</v>
      </c>
      <c r="H16" s="244">
        <f>H23*0.8</f>
        <v>216240</v>
      </c>
      <c r="I16" s="244">
        <v>222487.19999999995</v>
      </c>
      <c r="J16" s="244">
        <f>J23*0.8</f>
        <v>233473.6</v>
      </c>
      <c r="K16" s="244">
        <f>K23*0.8</f>
        <v>275727.2</v>
      </c>
      <c r="L16" s="259">
        <v>947928</v>
      </c>
      <c r="M16" s="244">
        <v>234266.09</v>
      </c>
      <c r="N16" s="244">
        <v>236757.65</v>
      </c>
      <c r="O16" s="244">
        <v>232824.65</v>
      </c>
      <c r="P16" s="244">
        <v>257768.61</v>
      </c>
      <c r="Q16" s="259">
        <v>961617</v>
      </c>
      <c r="R16" s="283">
        <v>269658.64</v>
      </c>
      <c r="S16" s="283">
        <v>280577.56</v>
      </c>
      <c r="T16" s="283">
        <v>267884.53999999998</v>
      </c>
      <c r="U16" s="284">
        <f>U14*U15</f>
        <v>272706.91333333333</v>
      </c>
      <c r="V16" s="412">
        <f>SUM(R16:U16)</f>
        <v>1090827.6533333333</v>
      </c>
      <c r="W16" s="283">
        <f>W14*W15</f>
        <v>272600</v>
      </c>
      <c r="X16" s="283">
        <f>X14*X15</f>
        <v>385400</v>
      </c>
      <c r="Y16" s="283">
        <f>Y14*Y15</f>
        <v>385400</v>
      </c>
      <c r="Z16" s="283">
        <f>Z14*Z15</f>
        <v>385400</v>
      </c>
      <c r="AA16" s="295">
        <f>SUM(W16:Z16)</f>
        <v>1428800</v>
      </c>
      <c r="AB16" s="296">
        <f>AB14*AB15</f>
        <v>383050</v>
      </c>
      <c r="AC16" s="296">
        <f>AC14*AC15</f>
        <v>383050</v>
      </c>
      <c r="AD16" s="296">
        <f>AD14*AD15</f>
        <v>383050</v>
      </c>
      <c r="AE16" s="296">
        <f>AE14*AE15</f>
        <v>383050</v>
      </c>
      <c r="AF16" s="284">
        <f>SUM(AB16:AE16)</f>
        <v>1532200</v>
      </c>
      <c r="AG16" s="296">
        <f>AG15*AG14</f>
        <v>366750</v>
      </c>
      <c r="AH16" s="296">
        <f>AH15*AH14</f>
        <v>366750</v>
      </c>
      <c r="AI16" s="296">
        <f>AI15*AI14</f>
        <v>366750</v>
      </c>
      <c r="AJ16" s="296">
        <f>AJ15*AJ14</f>
        <v>366750</v>
      </c>
      <c r="AK16" s="284">
        <f>SUM(AG16:AJ16)</f>
        <v>1467000</v>
      </c>
      <c r="AL16" s="283">
        <f>AL15*AL14</f>
        <v>376937.5</v>
      </c>
      <c r="AM16" s="283">
        <f>AM15*AM14</f>
        <v>376937.5</v>
      </c>
      <c r="AN16" s="283">
        <f>AN15*AN14</f>
        <v>376937.5</v>
      </c>
      <c r="AO16" s="283">
        <f>AO15*AO14</f>
        <v>376937.5</v>
      </c>
      <c r="AP16" s="284">
        <f>SUM(AL16:AO16)</f>
        <v>1507750</v>
      </c>
      <c r="AQ16" s="131"/>
      <c r="AT16" s="163"/>
      <c r="AU16" s="163"/>
      <c r="AV16" s="163"/>
      <c r="AW16" s="163"/>
      <c r="AX16" s="163"/>
      <c r="BO16">
        <v>2.6</v>
      </c>
      <c r="BQ16" s="16"/>
      <c r="BR16" s="16"/>
    </row>
    <row r="17" spans="1:70">
      <c r="A17" s="270"/>
      <c r="B17" s="20"/>
      <c r="C17" s="244"/>
      <c r="D17" s="244"/>
      <c r="E17" s="244"/>
      <c r="F17" s="244"/>
      <c r="G17" s="272"/>
      <c r="H17" s="244"/>
      <c r="I17" s="244"/>
      <c r="J17" s="244"/>
      <c r="K17" s="244"/>
      <c r="L17" s="341"/>
      <c r="M17" s="279"/>
      <c r="N17" s="279"/>
      <c r="O17" s="279"/>
      <c r="P17" s="279"/>
      <c r="Q17" s="368"/>
      <c r="R17" s="343"/>
      <c r="S17" s="343"/>
      <c r="T17" s="343"/>
      <c r="U17" s="423"/>
      <c r="V17" s="413"/>
      <c r="W17" s="362"/>
      <c r="X17" s="362"/>
      <c r="Y17" s="362"/>
      <c r="Z17" s="362"/>
      <c r="AA17" s="363"/>
      <c r="AB17" s="364"/>
      <c r="AC17" s="364"/>
      <c r="AD17" s="364"/>
      <c r="AE17" s="41"/>
      <c r="AF17" s="361"/>
      <c r="AG17" s="362"/>
      <c r="AH17" s="365"/>
      <c r="AI17" s="362"/>
      <c r="AJ17" s="362"/>
      <c r="AK17" s="361"/>
      <c r="AL17" s="362"/>
      <c r="AM17" s="362"/>
      <c r="AN17" s="362"/>
      <c r="AO17" s="362"/>
      <c r="AP17" s="361"/>
      <c r="AR17" s="41"/>
      <c r="AT17" s="370"/>
      <c r="AU17" s="370"/>
      <c r="AV17" s="370"/>
      <c r="AW17" s="370"/>
      <c r="AX17" s="163"/>
      <c r="AY17" s="163"/>
      <c r="BQ17" s="41"/>
      <c r="BR17" s="41"/>
    </row>
    <row r="18" spans="1:70">
      <c r="A18" s="270" t="s">
        <v>134</v>
      </c>
      <c r="B18" s="20"/>
      <c r="C18" s="244"/>
      <c r="D18" s="244"/>
      <c r="E18" s="244"/>
      <c r="F18" s="244"/>
      <c r="G18" s="272"/>
      <c r="H18" s="244"/>
      <c r="I18" s="244"/>
      <c r="J18" s="244" t="s">
        <v>11</v>
      </c>
      <c r="K18" s="244"/>
      <c r="L18" s="272"/>
      <c r="M18" s="244"/>
      <c r="N18" s="244"/>
      <c r="O18" s="244"/>
      <c r="P18" s="244"/>
      <c r="Q18" s="272"/>
      <c r="R18" s="282"/>
      <c r="S18" s="328"/>
      <c r="T18" s="282"/>
      <c r="U18" s="422"/>
      <c r="V18" s="411"/>
      <c r="W18" s="20"/>
      <c r="X18" s="20"/>
      <c r="Y18" s="20"/>
      <c r="Z18" s="20"/>
      <c r="AA18" s="293"/>
      <c r="AB18" s="294"/>
      <c r="AC18" s="294"/>
      <c r="AD18" s="294"/>
      <c r="AE18" s="294"/>
      <c r="AF18" s="272"/>
      <c r="AG18" s="20"/>
      <c r="AH18" s="20"/>
      <c r="AI18" s="20"/>
      <c r="AJ18" s="20"/>
      <c r="AK18" s="272"/>
      <c r="AL18" s="20"/>
      <c r="AM18" s="20"/>
      <c r="AN18" s="20"/>
      <c r="AO18" s="20"/>
      <c r="AP18" s="272"/>
      <c r="AQ18" s="42" t="s">
        <v>241</v>
      </c>
      <c r="AR18" s="41"/>
      <c r="AV18" s="38"/>
      <c r="AW18" s="39"/>
      <c r="AX18" s="39"/>
      <c r="AY18" s="163"/>
      <c r="BQ18" s="41"/>
      <c r="BR18" s="41"/>
    </row>
    <row r="19" spans="1:70" s="16" customFormat="1">
      <c r="A19" s="16" t="s">
        <v>253</v>
      </c>
      <c r="B19" s="280" t="s">
        <v>243</v>
      </c>
      <c r="C19" s="245">
        <v>174.2211438341549</v>
      </c>
      <c r="D19" s="245">
        <v>181.63480952922532</v>
      </c>
      <c r="E19" s="245">
        <v>189.04847522429577</v>
      </c>
      <c r="F19" s="245">
        <v>196.46214091936619</v>
      </c>
      <c r="G19" s="260">
        <f>1080-G14-G9</f>
        <v>741.36656950704219</v>
      </c>
      <c r="H19" s="245">
        <f>H7-H9-H14</f>
        <v>194.94009587072136</v>
      </c>
      <c r="I19" s="245">
        <f>I7-I9-I14</f>
        <v>193.84997867072138</v>
      </c>
      <c r="J19" s="245">
        <f>J7-J9-J14</f>
        <v>175.53878650608203</v>
      </c>
      <c r="K19" s="245">
        <f>K7-K9-K14</f>
        <v>204.44866930608202</v>
      </c>
      <c r="L19" s="260">
        <f>1100-L14-L9</f>
        <v>788.7892503536068</v>
      </c>
      <c r="M19" s="245">
        <v>211</v>
      </c>
      <c r="N19" s="245">
        <v>206</v>
      </c>
      <c r="O19" s="245">
        <v>209</v>
      </c>
      <c r="P19" s="245">
        <v>212</v>
      </c>
      <c r="Q19" s="260">
        <f>1100-Q9-Q14</f>
        <v>838.2774086378738</v>
      </c>
      <c r="R19" s="281">
        <f>R7-R9-R14</f>
        <v>215.0235691318328</v>
      </c>
      <c r="S19" s="281">
        <f>S7-S9-S14</f>
        <v>212.15172081829121</v>
      </c>
      <c r="T19" s="281">
        <f>T7-T9-T14</f>
        <v>175.14709734513275</v>
      </c>
      <c r="U19" s="424">
        <v>175</v>
      </c>
      <c r="V19" s="337">
        <f>SUM(R19:U19)</f>
        <v>777.3223872952567</v>
      </c>
      <c r="W19" s="16">
        <v>180</v>
      </c>
      <c r="X19" s="16">
        <v>180</v>
      </c>
      <c r="Y19" s="16">
        <v>180</v>
      </c>
      <c r="Z19" s="16">
        <v>180</v>
      </c>
      <c r="AA19" s="287">
        <f>SUM(W19:Z19)</f>
        <v>720</v>
      </c>
      <c r="AB19" s="16">
        <v>200</v>
      </c>
      <c r="AC19" s="16">
        <v>200</v>
      </c>
      <c r="AD19" s="16">
        <v>200</v>
      </c>
      <c r="AE19" s="16">
        <v>200</v>
      </c>
      <c r="AF19" s="268">
        <v>800</v>
      </c>
      <c r="AG19" s="16">
        <f>$AK$19/4</f>
        <v>204.99999999999997</v>
      </c>
      <c r="AH19" s="16">
        <f>$AK$19/4</f>
        <v>204.99999999999997</v>
      </c>
      <c r="AI19" s="16">
        <f>$AK$19/4</f>
        <v>204.99999999999997</v>
      </c>
      <c r="AJ19" s="16">
        <f>$AK$19/4</f>
        <v>204.99999999999997</v>
      </c>
      <c r="AK19" s="268">
        <f>AF19*(1+$AQ$19)</f>
        <v>819.99999999999989</v>
      </c>
      <c r="AL19" s="16">
        <f>$AP$19/4</f>
        <v>210.12499999999994</v>
      </c>
      <c r="AM19" s="16">
        <f>$AP$19/4</f>
        <v>210.12499999999994</v>
      </c>
      <c r="AN19" s="16">
        <f>$AP$19/4</f>
        <v>210.12499999999994</v>
      </c>
      <c r="AO19" s="16">
        <f>$AP$19/4</f>
        <v>210.12499999999994</v>
      </c>
      <c r="AP19" s="268">
        <f>AK19*(1+$AQ$19)</f>
        <v>840.49999999999977</v>
      </c>
      <c r="AQ19" s="163">
        <v>2.5000000000000001E-2</v>
      </c>
    </row>
    <row r="20" spans="1:70">
      <c r="A20" s="20" t="s">
        <v>244</v>
      </c>
      <c r="B20" s="252" t="s">
        <v>243</v>
      </c>
      <c r="C20" s="244">
        <f>C21/C19</f>
        <v>128.19798738814967</v>
      </c>
      <c r="D20" s="244">
        <f>D21/D19</f>
        <v>125.98466152666653</v>
      </c>
      <c r="E20" s="244">
        <f>E21/E19</f>
        <v>117.00702676261112</v>
      </c>
      <c r="F20" s="244">
        <f>F21/F19</f>
        <v>117.51882521465544</v>
      </c>
      <c r="G20" s="259">
        <f t="shared" ref="G20:Q20" si="1">G21/G19</f>
        <v>121.972049616598</v>
      </c>
      <c r="H20" s="244">
        <f>H21/H19</f>
        <v>110.92638435112093</v>
      </c>
      <c r="I20" s="244">
        <f>I21/I19</f>
        <v>115.0993162496022</v>
      </c>
      <c r="J20" s="244">
        <f>J21/J19</f>
        <v>132.74148958066689</v>
      </c>
      <c r="K20" s="244">
        <f>K21/K19</f>
        <v>134.86377824607223</v>
      </c>
      <c r="L20" s="259">
        <f t="shared" si="1"/>
        <v>120.19687129039546</v>
      </c>
      <c r="M20" s="244">
        <f>M21/M19</f>
        <v>120.28104265402844</v>
      </c>
      <c r="N20" s="244">
        <f>N21/N19</f>
        <v>161.34563106796116</v>
      </c>
      <c r="O20" s="244">
        <f>O21/O19</f>
        <v>156.5535885167464</v>
      </c>
      <c r="P20" s="244">
        <f>P21/P19</f>
        <v>169.81981132075472</v>
      </c>
      <c r="Q20" s="259">
        <f t="shared" si="1"/>
        <v>151.90436803839546</v>
      </c>
      <c r="R20" s="282">
        <f>R21/R19</f>
        <v>148.51051040093861</v>
      </c>
      <c r="S20" s="282">
        <f>S21/S19</f>
        <v>174.01744307141632</v>
      </c>
      <c r="T20" s="282">
        <f>T21/T19</f>
        <v>178.7707616889611</v>
      </c>
      <c r="U20" s="422">
        <v>180</v>
      </c>
      <c r="V20" s="411">
        <v>176.31432117230128</v>
      </c>
      <c r="W20" s="20">
        <v>175</v>
      </c>
      <c r="X20" s="20">
        <v>175</v>
      </c>
      <c r="Y20" s="20">
        <v>175</v>
      </c>
      <c r="Z20" s="20">
        <v>175</v>
      </c>
      <c r="AA20" s="286">
        <f>AVERAGE(W20:Z20)</f>
        <v>175</v>
      </c>
      <c r="AB20" s="20">
        <v>160</v>
      </c>
      <c r="AC20" s="20">
        <v>160</v>
      </c>
      <c r="AD20" s="20">
        <v>160</v>
      </c>
      <c r="AE20" s="20">
        <v>160</v>
      </c>
      <c r="AF20" s="272">
        <f>AVERAGE(AB20:AE20)</f>
        <v>160</v>
      </c>
      <c r="AG20" s="20">
        <f>AVERAGE($L$20,$Q$20)</f>
        <v>136.05061966439547</v>
      </c>
      <c r="AH20" s="20">
        <f>AVERAGE($L$20,$Q$20)</f>
        <v>136.05061966439547</v>
      </c>
      <c r="AI20" s="20">
        <f>AVERAGE($L$20,$Q$20)</f>
        <v>136.05061966439547</v>
      </c>
      <c r="AJ20" s="20">
        <f>AVERAGE($L$20,$Q$20)</f>
        <v>136.05061966439547</v>
      </c>
      <c r="AK20" s="272">
        <f>AVERAGE(AG20:AJ20)</f>
        <v>136.05061966439547</v>
      </c>
      <c r="AL20" s="20">
        <f>AVERAGE($Q$20,$L$20)</f>
        <v>136.05061966439547</v>
      </c>
      <c r="AM20" s="20">
        <f>AVERAGE($Q$20,$L$20)</f>
        <v>136.05061966439547</v>
      </c>
      <c r="AN20" s="20">
        <f>AVERAGE($Q$20,$L$20)</f>
        <v>136.05061966439547</v>
      </c>
      <c r="AO20" s="20">
        <f>AVERAGE($Q$20,$L$20)</f>
        <v>136.05061966439547</v>
      </c>
      <c r="AP20" s="272">
        <f>AVERAGE(AL20:AO20)</f>
        <v>136.05061966439547</v>
      </c>
      <c r="AS20" s="12"/>
      <c r="AT20" s="16"/>
      <c r="AU20" s="16"/>
      <c r="AV20" s="16"/>
      <c r="AW20" s="16"/>
      <c r="BN20">
        <v>317129.26</v>
      </c>
    </row>
    <row r="21" spans="1:70">
      <c r="A21" s="270" t="s">
        <v>254</v>
      </c>
      <c r="B21" s="252" t="s">
        <v>243</v>
      </c>
      <c r="C21" s="244">
        <f>C23*0.08</f>
        <v>22334.799999999999</v>
      </c>
      <c r="D21" s="244">
        <v>22883.199999999997</v>
      </c>
      <c r="E21" s="244">
        <f>E23*0.08</f>
        <v>22120</v>
      </c>
      <c r="F21" s="244">
        <f>F23*0.08</f>
        <v>23088</v>
      </c>
      <c r="G21" s="259">
        <v>90426</v>
      </c>
      <c r="H21" s="244">
        <f>H23*0.08</f>
        <v>21624</v>
      </c>
      <c r="I21" s="244">
        <f>I23*0.08</f>
        <v>22312</v>
      </c>
      <c r="J21" s="244">
        <v>23301.279999999999</v>
      </c>
      <c r="K21" s="244">
        <f>K23*0.08</f>
        <v>27572.720000000001</v>
      </c>
      <c r="L21" s="259">
        <v>94810</v>
      </c>
      <c r="M21" s="244">
        <v>25379.3</v>
      </c>
      <c r="N21" s="244">
        <v>33237.199999999997</v>
      </c>
      <c r="O21" s="244">
        <v>32719.7</v>
      </c>
      <c r="P21" s="244">
        <v>36001.800000000003</v>
      </c>
      <c r="Q21" s="259">
        <v>127338</v>
      </c>
      <c r="R21" s="283">
        <f>R23*0.09</f>
        <v>31933.26</v>
      </c>
      <c r="S21" s="283">
        <f>S23*0.1</f>
        <v>36918.1</v>
      </c>
      <c r="T21" s="283">
        <f>T23*0.09</f>
        <v>31311.18</v>
      </c>
      <c r="U21" s="284">
        <f>U20*U19</f>
        <v>31500</v>
      </c>
      <c r="V21" s="412">
        <f>SUM(R21:U21)</f>
        <v>131662.54</v>
      </c>
      <c r="W21" s="283">
        <f>W19*W20</f>
        <v>31500</v>
      </c>
      <c r="X21" s="283">
        <f>X19*X20</f>
        <v>31500</v>
      </c>
      <c r="Y21" s="283">
        <f>Y19*Y20</f>
        <v>31500</v>
      </c>
      <c r="Z21" s="283">
        <f>Z19*Z20</f>
        <v>31500</v>
      </c>
      <c r="AA21" s="295">
        <f>SUM(W21:Z21)</f>
        <v>126000</v>
      </c>
      <c r="AB21" s="296">
        <f>AB20*AB19</f>
        <v>32000</v>
      </c>
      <c r="AC21" s="296">
        <f t="shared" ref="AC21:AE21" si="2">AC20*AC19</f>
        <v>32000</v>
      </c>
      <c r="AD21" s="296">
        <f t="shared" si="2"/>
        <v>32000</v>
      </c>
      <c r="AE21" s="296">
        <f t="shared" si="2"/>
        <v>32000</v>
      </c>
      <c r="AF21" s="284">
        <f>SUM(AB21:AE21)</f>
        <v>128000</v>
      </c>
      <c r="AG21" s="296">
        <f>AG20*AG19</f>
        <v>27890.377031201067</v>
      </c>
      <c r="AH21" s="296">
        <f>AH20*AH19</f>
        <v>27890.377031201067</v>
      </c>
      <c r="AI21" s="296">
        <f>AI20*AI19</f>
        <v>27890.377031201067</v>
      </c>
      <c r="AJ21" s="296">
        <f>AJ20*AJ19</f>
        <v>27890.377031201067</v>
      </c>
      <c r="AK21" s="284">
        <f>SUM(AG21:AJ21)</f>
        <v>111561.50812480427</v>
      </c>
      <c r="AL21" s="296">
        <f>AL20*AL19</f>
        <v>28587.63645698109</v>
      </c>
      <c r="AM21" s="296">
        <f>AM20*AM19</f>
        <v>28587.63645698109</v>
      </c>
      <c r="AN21" s="296">
        <f>AN20*AN19</f>
        <v>28587.63645698109</v>
      </c>
      <c r="AO21" s="296">
        <f>AO20*AO19</f>
        <v>28587.63645698109</v>
      </c>
      <c r="AP21" s="284">
        <f>SUM(AL21:AO21)</f>
        <v>114350.54582792436</v>
      </c>
      <c r="AT21" s="339"/>
      <c r="AU21" s="339"/>
      <c r="AV21" s="339"/>
      <c r="AW21" s="339"/>
    </row>
    <row r="22" spans="1:70">
      <c r="A22" s="20"/>
      <c r="B22" s="20"/>
      <c r="C22" s="244"/>
      <c r="D22" s="244"/>
      <c r="E22" s="244"/>
      <c r="F22" s="244"/>
      <c r="G22" s="272"/>
      <c r="H22" s="244"/>
      <c r="I22" s="244"/>
      <c r="J22" s="244"/>
      <c r="K22" s="244"/>
      <c r="L22" s="341"/>
      <c r="M22" s="279"/>
      <c r="N22" s="279"/>
      <c r="O22" s="279"/>
      <c r="P22" s="279"/>
      <c r="Q22" s="341"/>
      <c r="R22" s="343"/>
      <c r="S22" s="343"/>
      <c r="T22" s="343"/>
      <c r="U22" s="423"/>
      <c r="V22" s="413"/>
      <c r="W22" s="362"/>
      <c r="X22" s="362"/>
      <c r="Y22" s="362"/>
      <c r="Z22" s="362"/>
      <c r="AA22" s="363"/>
      <c r="AB22" s="364"/>
      <c r="AC22" s="364"/>
      <c r="AD22" s="364"/>
      <c r="AE22" s="163"/>
      <c r="AF22" s="361"/>
      <c r="AG22" s="362"/>
      <c r="AH22" s="365"/>
      <c r="AI22" s="362"/>
      <c r="AJ22" s="362"/>
      <c r="AK22" s="361"/>
      <c r="AL22" s="362"/>
      <c r="AM22" s="362"/>
      <c r="AN22" s="362"/>
      <c r="AO22" s="362"/>
      <c r="AP22" s="361"/>
    </row>
    <row r="23" spans="1:70" s="12" customFormat="1">
      <c r="A23" s="270" t="s">
        <v>255</v>
      </c>
      <c r="B23" s="330" t="s">
        <v>243</v>
      </c>
      <c r="C23" s="331">
        <v>279185</v>
      </c>
      <c r="D23" s="331">
        <v>274800</v>
      </c>
      <c r="E23" s="331">
        <v>276500</v>
      </c>
      <c r="F23" s="331">
        <v>288600</v>
      </c>
      <c r="G23" s="332">
        <f>G21+G16+G11</f>
        <v>1119085</v>
      </c>
      <c r="H23" s="331">
        <v>270300</v>
      </c>
      <c r="I23" s="331">
        <v>278900</v>
      </c>
      <c r="J23" s="331">
        <v>291842</v>
      </c>
      <c r="K23" s="331">
        <v>344659</v>
      </c>
      <c r="L23" s="332">
        <f>L21+L16+L11</f>
        <v>1185701</v>
      </c>
      <c r="M23" s="331">
        <v>298065</v>
      </c>
      <c r="N23" s="331">
        <v>317031</v>
      </c>
      <c r="O23" s="331">
        <v>311856</v>
      </c>
      <c r="P23" s="331">
        <v>344677</v>
      </c>
      <c r="Q23" s="332">
        <f t="shared" ref="Q23" si="3">Q21+Q16+Q11</f>
        <v>1271629</v>
      </c>
      <c r="R23" s="333">
        <v>354814</v>
      </c>
      <c r="S23" s="333">
        <v>369181</v>
      </c>
      <c r="T23" s="333">
        <v>347902</v>
      </c>
      <c r="U23" s="334">
        <f t="shared" ref="U23:Z23" si="4">U21+U16+U11</f>
        <v>345831.91333333333</v>
      </c>
      <c r="V23" s="414">
        <f t="shared" si="4"/>
        <v>1417728.9133333333</v>
      </c>
      <c r="W23" s="333">
        <f t="shared" si="4"/>
        <v>347850</v>
      </c>
      <c r="X23" s="333">
        <f t="shared" si="4"/>
        <v>459400</v>
      </c>
      <c r="Y23" s="333">
        <f t="shared" si="4"/>
        <v>458150</v>
      </c>
      <c r="Z23" s="333">
        <f t="shared" si="4"/>
        <v>456900</v>
      </c>
      <c r="AA23" s="335">
        <f>SUM(W23:Z23)</f>
        <v>1722300</v>
      </c>
      <c r="AB23" s="336">
        <f>AB21+AB16+AB11</f>
        <v>457450</v>
      </c>
      <c r="AC23" s="336">
        <f>AC21+AC16+AC11</f>
        <v>457450</v>
      </c>
      <c r="AD23" s="336">
        <f>AD21+AD16+AD11</f>
        <v>457450</v>
      </c>
      <c r="AE23" s="336">
        <f>AE21+AE16+AE11</f>
        <v>457450</v>
      </c>
      <c r="AF23" s="334">
        <f>SUM(AB23:AE23)</f>
        <v>1829800</v>
      </c>
      <c r="AG23" s="336">
        <f>AG21+AG16+AG11</f>
        <v>438179.87703120109</v>
      </c>
      <c r="AH23" s="336">
        <f>AH21+AH16+AH11</f>
        <v>436775.37703120109</v>
      </c>
      <c r="AI23" s="336">
        <f>AI21+AI16+AI11</f>
        <v>435370.87703120109</v>
      </c>
      <c r="AJ23" s="336">
        <f>AJ21+AJ16+AJ11</f>
        <v>433966.37703120109</v>
      </c>
      <c r="AK23" s="334">
        <f>SUM(AG23:AJ23)</f>
        <v>1744292.5081248044</v>
      </c>
      <c r="AL23" s="336">
        <f>AL21+AL16+AL11</f>
        <v>443488.77145698108</v>
      </c>
      <c r="AM23" s="336">
        <f>AM21+AM16+AM11</f>
        <v>443488.77145698108</v>
      </c>
      <c r="AN23" s="336">
        <f>AN21+AN16+AN11</f>
        <v>443488.77145698108</v>
      </c>
      <c r="AO23" s="336">
        <f>AO21+AO16+AO11</f>
        <v>443488.77145698108</v>
      </c>
      <c r="AP23" s="334">
        <f>SUM(AL23:AO23)</f>
        <v>1773955.0858279243</v>
      </c>
    </row>
    <row r="24" spans="1:70">
      <c r="C24" s="163"/>
      <c r="D24" s="163"/>
      <c r="E24" s="163"/>
      <c r="F24" s="163"/>
      <c r="H24" s="163"/>
      <c r="I24" s="163"/>
      <c r="J24" s="163"/>
      <c r="K24" s="163"/>
      <c r="L24" s="258"/>
      <c r="M24" s="163"/>
      <c r="N24" s="163"/>
      <c r="O24" s="163"/>
      <c r="P24" s="163"/>
      <c r="Q24" s="347"/>
      <c r="R24" s="163"/>
      <c r="S24" s="163"/>
      <c r="T24" s="163"/>
      <c r="U24" s="347"/>
      <c r="V24" s="148"/>
      <c r="W24" s="38"/>
      <c r="X24" s="38"/>
      <c r="Y24" s="38"/>
      <c r="Z24" s="38"/>
      <c r="AA24" s="288"/>
      <c r="AB24" s="38"/>
      <c r="AC24" s="38"/>
      <c r="AD24" s="38"/>
      <c r="AE24" s="38"/>
      <c r="AF24" s="277"/>
      <c r="AG24" s="38"/>
      <c r="AH24" s="38"/>
      <c r="AI24" s="38"/>
      <c r="AJ24" s="38"/>
      <c r="AK24" s="277"/>
      <c r="AL24" s="38"/>
      <c r="AM24" s="38"/>
      <c r="AN24" s="38"/>
      <c r="AO24" s="38"/>
      <c r="AP24" s="277"/>
    </row>
    <row r="25" spans="1:70">
      <c r="A25" s="513" t="s">
        <v>256</v>
      </c>
      <c r="B25" s="520"/>
      <c r="C25" s="520"/>
      <c r="D25" s="520"/>
      <c r="E25" s="521"/>
      <c r="F25" s="520"/>
      <c r="G25" s="522"/>
      <c r="H25" s="523"/>
      <c r="I25" s="523"/>
      <c r="J25" s="524"/>
      <c r="K25" s="523"/>
      <c r="L25" s="522"/>
      <c r="M25" s="525"/>
      <c r="N25" s="525"/>
      <c r="O25" s="525"/>
      <c r="P25" s="525"/>
      <c r="Q25" s="522"/>
      <c r="R25" s="523"/>
      <c r="S25" s="523"/>
      <c r="T25" s="523"/>
      <c r="U25" s="522"/>
      <c r="V25" s="526"/>
      <c r="W25" s="527"/>
      <c r="X25" s="527"/>
      <c r="Y25" s="527"/>
      <c r="Z25" s="527"/>
      <c r="AA25" s="528"/>
      <c r="AB25" s="527"/>
      <c r="AC25" s="527"/>
      <c r="AD25" s="527"/>
      <c r="AE25" s="527"/>
      <c r="AF25" s="529"/>
      <c r="AG25" s="527"/>
      <c r="AH25" s="527"/>
      <c r="AI25" s="527"/>
      <c r="AJ25" s="527"/>
      <c r="AK25" s="529"/>
      <c r="AL25" s="527"/>
      <c r="AM25" s="527"/>
      <c r="AN25" s="527"/>
      <c r="AO25" s="527"/>
      <c r="AP25" s="530"/>
      <c r="AQ25" s="129"/>
      <c r="AR25" s="329"/>
      <c r="AS25" s="129"/>
      <c r="AT25" s="369"/>
      <c r="AU25" s="129"/>
      <c r="AV25" s="129"/>
      <c r="AW25" s="129"/>
      <c r="AX25" s="129"/>
      <c r="AY25" s="129"/>
    </row>
    <row r="26" spans="1:70">
      <c r="A26" s="513"/>
      <c r="B26" s="520"/>
      <c r="C26" s="520"/>
      <c r="D26" s="520"/>
      <c r="E26" s="521"/>
      <c r="F26" s="520"/>
      <c r="G26" s="522"/>
      <c r="H26" s="523"/>
      <c r="I26" s="523"/>
      <c r="J26" s="524"/>
      <c r="K26" s="523"/>
      <c r="L26" s="522"/>
      <c r="M26" s="531"/>
      <c r="N26" s="531"/>
      <c r="O26" s="531"/>
      <c r="P26" s="531"/>
      <c r="Q26" s="522"/>
      <c r="R26" s="523"/>
      <c r="S26" s="523"/>
      <c r="T26" s="523"/>
      <c r="U26" s="522"/>
      <c r="V26" s="526"/>
      <c r="W26" s="527"/>
      <c r="X26" s="527"/>
      <c r="Y26" s="527"/>
      <c r="Z26" s="527"/>
      <c r="AA26" s="532"/>
      <c r="AB26" s="527"/>
      <c r="AC26" s="527"/>
      <c r="AD26" s="527"/>
      <c r="AE26" s="527"/>
      <c r="AF26" s="533"/>
      <c r="AG26" s="527"/>
      <c r="AH26" s="527"/>
      <c r="AI26" s="527"/>
      <c r="AJ26" s="527" t="s">
        <v>11</v>
      </c>
      <c r="AK26" s="533"/>
      <c r="AL26" s="527"/>
      <c r="AM26" s="527"/>
      <c r="AN26" s="527"/>
      <c r="AO26" s="527"/>
      <c r="AP26" s="530"/>
      <c r="AQ26" s="129"/>
      <c r="AR26" s="129"/>
      <c r="AS26" s="129"/>
      <c r="AT26" s="129"/>
      <c r="AU26" s="129"/>
      <c r="AV26" s="129"/>
      <c r="AW26" s="129"/>
      <c r="AX26" s="129"/>
      <c r="AY26" s="129"/>
    </row>
    <row r="27" spans="1:70">
      <c r="A27" t="s">
        <v>242</v>
      </c>
      <c r="B27" s="246">
        <v>8600</v>
      </c>
      <c r="C27" s="409">
        <f>$G$27*C34</f>
        <v>2199.098662766593</v>
      </c>
      <c r="D27" s="409">
        <f>$G$27*D34</f>
        <v>2161.966455237874</v>
      </c>
      <c r="E27" s="409">
        <f>$G$27*E34</f>
        <v>2161.966455237874</v>
      </c>
      <c r="F27" s="409">
        <f>$G$27*F34</f>
        <v>2216.9684267576595</v>
      </c>
      <c r="G27" s="261">
        <f>8740000/1000</f>
        <v>8740</v>
      </c>
      <c r="H27" s="409">
        <f>$L$27*H34</f>
        <v>2214.171561852108</v>
      </c>
      <c r="I27" s="409">
        <f>$L$27*I34</f>
        <v>2175.5787836903942</v>
      </c>
      <c r="J27" s="409">
        <f>$L$27*J34</f>
        <v>2086.3208362128544</v>
      </c>
      <c r="K27" s="409">
        <f>$L$27*K34</f>
        <v>2473.9288182446439</v>
      </c>
      <c r="L27" s="261">
        <f>8950000/1000</f>
        <v>8950</v>
      </c>
      <c r="M27" s="409">
        <f>$Q$27*M34</f>
        <v>1911.7882809672642</v>
      </c>
      <c r="N27" s="409">
        <f>$Q$27*N34</f>
        <v>2265.3835959861817</v>
      </c>
      <c r="O27" s="409">
        <f>$Q$27*O34</f>
        <v>2258.6161934528704</v>
      </c>
      <c r="P27" s="409">
        <f>$Q$27*P34</f>
        <v>2484.2119295936832</v>
      </c>
      <c r="Q27" s="261">
        <f>8920000/1000</f>
        <v>8920</v>
      </c>
      <c r="R27" s="409">
        <f>$V$27*R34</f>
        <v>1911.7634991135237</v>
      </c>
      <c r="S27" s="409">
        <f>$V$27*S34</f>
        <v>2544.1551034831509</v>
      </c>
      <c r="T27" s="409">
        <f>$V$27*T34</f>
        <v>2767.6156872780002</v>
      </c>
      <c r="U27" s="425">
        <f>$V$27*U34</f>
        <v>2856.0657101253232</v>
      </c>
      <c r="V27" s="298">
        <f>Q27*(1+V32)</f>
        <v>10079.599999999999</v>
      </c>
      <c r="W27" s="253">
        <f>$AA$27/4</f>
        <v>2550.9406106889592</v>
      </c>
      <c r="X27" s="253">
        <f t="shared" ref="X27:Z27" si="5">$AA$27/4</f>
        <v>2550.9406106889592</v>
      </c>
      <c r="Y27" s="253">
        <f t="shared" si="5"/>
        <v>2550.9406106889592</v>
      </c>
      <c r="Z27" s="253">
        <f t="shared" si="5"/>
        <v>2550.9406106889592</v>
      </c>
      <c r="AA27" s="301">
        <f>V27*(1+AA32)</f>
        <v>10203.762442755837</v>
      </c>
      <c r="AB27" s="253">
        <f>$AF$27/4</f>
        <v>2582.3635855637767</v>
      </c>
      <c r="AC27" s="253">
        <f t="shared" ref="AC27:AE27" si="6">$AF$27/4</f>
        <v>2582.3635855637767</v>
      </c>
      <c r="AD27" s="253">
        <f t="shared" si="6"/>
        <v>2582.3635855637767</v>
      </c>
      <c r="AE27" s="253">
        <f t="shared" si="6"/>
        <v>2582.3635855637767</v>
      </c>
      <c r="AF27" s="300">
        <f>AA27*(1+AF32)</f>
        <v>10329.454342255107</v>
      </c>
      <c r="AG27" s="253">
        <f>$AK$27/4</f>
        <v>2614.1736346597054</v>
      </c>
      <c r="AH27" s="253">
        <f t="shared" ref="AH27:AJ27" si="7">$AK$27/4</f>
        <v>2614.1736346597054</v>
      </c>
      <c r="AI27" s="253">
        <f t="shared" si="7"/>
        <v>2614.1736346597054</v>
      </c>
      <c r="AJ27" s="253">
        <f t="shared" si="7"/>
        <v>2614.1736346597054</v>
      </c>
      <c r="AK27" s="300">
        <f>AF27*(1+AK32)</f>
        <v>10456.694538638822</v>
      </c>
      <c r="AL27" s="253">
        <f>$AP$27/4</f>
        <v>2646.375526031115</v>
      </c>
      <c r="AM27" s="253">
        <f t="shared" ref="AM27:AO27" si="8">$AP$27/4</f>
        <v>2646.375526031115</v>
      </c>
      <c r="AN27" s="253">
        <f t="shared" si="8"/>
        <v>2646.375526031115</v>
      </c>
      <c r="AO27" s="253">
        <f t="shared" si="8"/>
        <v>2646.375526031115</v>
      </c>
      <c r="AP27" s="300">
        <f>AK27*(1+AP32)</f>
        <v>10585.50210412446</v>
      </c>
      <c r="AQ27" s="253"/>
    </row>
    <row r="28" spans="1:70">
      <c r="A28" t="s">
        <v>257</v>
      </c>
      <c r="B28" s="247">
        <f>B29/B27</f>
        <v>227.04651162790697</v>
      </c>
      <c r="C28" s="247"/>
      <c r="D28" s="247"/>
      <c r="E28" s="247"/>
      <c r="F28" s="247"/>
      <c r="G28" s="262">
        <f>G29/G27</f>
        <v>225.46464530892447</v>
      </c>
      <c r="H28" s="247"/>
      <c r="I28" s="247"/>
      <c r="J28" s="267"/>
      <c r="K28" s="247"/>
      <c r="L28" s="262">
        <f>L29/L27</f>
        <v>231.52</v>
      </c>
      <c r="M28" s="247"/>
      <c r="N28" s="247"/>
      <c r="O28" s="247"/>
      <c r="P28" s="247"/>
      <c r="Q28" s="262">
        <f>Q29/Q27</f>
        <v>340.75112107623318</v>
      </c>
      <c r="R28" s="247">
        <f>$V$28</f>
        <v>460.01401345291481</v>
      </c>
      <c r="S28" s="247">
        <f t="shared" ref="S28:U28" si="9">$V$28</f>
        <v>460.01401345291481</v>
      </c>
      <c r="T28" s="247">
        <f t="shared" si="9"/>
        <v>460.01401345291481</v>
      </c>
      <c r="U28" s="426">
        <f t="shared" si="9"/>
        <v>460.01401345291481</v>
      </c>
      <c r="V28" s="297">
        <f>Q28*(1+V33)</f>
        <v>460.01401345291481</v>
      </c>
      <c r="W28" s="69">
        <f>$AA$28</f>
        <v>496.81513452914805</v>
      </c>
      <c r="X28" s="69">
        <f t="shared" ref="X28:Z28" si="10">$AA$28</f>
        <v>496.81513452914805</v>
      </c>
      <c r="Y28" s="69">
        <f t="shared" si="10"/>
        <v>496.81513452914805</v>
      </c>
      <c r="Z28" s="69">
        <f t="shared" si="10"/>
        <v>496.81513452914805</v>
      </c>
      <c r="AA28" s="289">
        <f>V28*(1+AA33)</f>
        <v>496.81513452914805</v>
      </c>
      <c r="AB28" s="69">
        <f>$AF$28</f>
        <v>510.15821034197177</v>
      </c>
      <c r="AC28" s="69">
        <f t="shared" ref="AC28:AE28" si="11">$AF$28</f>
        <v>510.15821034197177</v>
      </c>
      <c r="AD28" s="69">
        <f t="shared" si="11"/>
        <v>510.15821034197177</v>
      </c>
      <c r="AE28" s="69">
        <f t="shared" si="11"/>
        <v>510.15821034197177</v>
      </c>
      <c r="AF28" s="275">
        <f>AA28*(1+AF33)</f>
        <v>510.15821034197177</v>
      </c>
      <c r="AG28" s="69">
        <f>$AK$28</f>
        <v>523.85964414305499</v>
      </c>
      <c r="AH28" s="69">
        <f t="shared" ref="AH28:AJ28" si="12">$AK$28</f>
        <v>523.85964414305499</v>
      </c>
      <c r="AI28" s="69">
        <f t="shared" si="12"/>
        <v>523.85964414305499</v>
      </c>
      <c r="AJ28" s="69">
        <f t="shared" si="12"/>
        <v>523.85964414305499</v>
      </c>
      <c r="AK28" s="275">
        <f>AF28*(1+AK33)</f>
        <v>523.85964414305499</v>
      </c>
      <c r="AL28" s="69">
        <f>$AP$28</f>
        <v>537.92906043349114</v>
      </c>
      <c r="AM28" s="69">
        <f t="shared" ref="AM28:AO28" si="13">$AP$28</f>
        <v>537.92906043349114</v>
      </c>
      <c r="AN28" s="69">
        <f t="shared" si="13"/>
        <v>537.92906043349114</v>
      </c>
      <c r="AO28" s="69">
        <f t="shared" si="13"/>
        <v>537.92906043349114</v>
      </c>
      <c r="AP28" s="275">
        <f t="shared" ref="AP28" si="14">AK28*(1+AP33)</f>
        <v>537.92906043349114</v>
      </c>
      <c r="AQ28" s="69"/>
    </row>
    <row r="29" spans="1:70">
      <c r="A29" t="s">
        <v>258</v>
      </c>
      <c r="B29" s="249">
        <v>1952600</v>
      </c>
      <c r="C29" s="406">
        <v>495819</v>
      </c>
      <c r="D29" s="406">
        <v>487447</v>
      </c>
      <c r="E29" s="406">
        <v>487447</v>
      </c>
      <c r="F29" s="401">
        <f>G29-SUM(C29:E29)</f>
        <v>499848</v>
      </c>
      <c r="G29" s="263">
        <v>1970561</v>
      </c>
      <c r="H29" s="406">
        <v>512625</v>
      </c>
      <c r="I29" s="406">
        <v>503690</v>
      </c>
      <c r="J29" s="406">
        <v>483025</v>
      </c>
      <c r="K29" s="402">
        <f>L29-SUM(H29:J29)</f>
        <v>572764</v>
      </c>
      <c r="L29" s="403">
        <v>2072104</v>
      </c>
      <c r="M29" s="406">
        <f>651444</f>
        <v>651444</v>
      </c>
      <c r="N29" s="404">
        <f>771932</f>
        <v>771932</v>
      </c>
      <c r="O29" s="404">
        <f>769626</f>
        <v>769626</v>
      </c>
      <c r="P29" s="402">
        <f>Q29-SUM(M29:O29)</f>
        <v>846498</v>
      </c>
      <c r="Q29" s="263">
        <v>3039500</v>
      </c>
      <c r="R29" s="406">
        <f>879438</f>
        <v>879438</v>
      </c>
      <c r="S29" s="249">
        <f>1170347</f>
        <v>1170347</v>
      </c>
      <c r="T29" s="249">
        <f>1273142</f>
        <v>1273142</v>
      </c>
      <c r="U29" s="407">
        <f>V29-SUM(R29:T29)</f>
        <v>1313830.2499999991</v>
      </c>
      <c r="V29" s="415">
        <f>V28*V27</f>
        <v>4636757.2499999991</v>
      </c>
      <c r="W29" s="254">
        <f>W34*$AA$29</f>
        <v>1144412.3794814246</v>
      </c>
      <c r="X29" s="254">
        <f>X34*$AA$29</f>
        <v>1263314.6501657115</v>
      </c>
      <c r="Y29" s="254">
        <f>Y34*$AA$29</f>
        <v>1277810.4968574534</v>
      </c>
      <c r="Z29" s="254">
        <f>Z34*$AA$29</f>
        <v>1383846.0841966197</v>
      </c>
      <c r="AA29" s="290">
        <f>AA27*AA28</f>
        <v>5069383.6107012089</v>
      </c>
      <c r="AB29" s="254">
        <f>$AF$29*AB34</f>
        <v>1189623.8197124384</v>
      </c>
      <c r="AC29" s="254">
        <f>$AF$29*AC34</f>
        <v>1313223.4730891516</v>
      </c>
      <c r="AD29" s="254">
        <f>$AF$29*AD34</f>
        <v>1328291.9963073379</v>
      </c>
      <c r="AE29" s="254">
        <f>$AF$29*AE34</f>
        <v>1438516.6519450468</v>
      </c>
      <c r="AF29" s="290">
        <f>AF27*AF28</f>
        <v>5269655.9410539744</v>
      </c>
      <c r="AG29" s="254">
        <f>$AK$29*AG34</f>
        <v>1236621.3943513029</v>
      </c>
      <c r="AH29" s="254">
        <f>$AK$29*AH34</f>
        <v>1365104.0063899518</v>
      </c>
      <c r="AI29" s="254">
        <f>$AK$29*AI34</f>
        <v>1380767.830435937</v>
      </c>
      <c r="AJ29" s="254">
        <f>$AK$29*AJ34</f>
        <v>1495347.0487467679</v>
      </c>
      <c r="AK29" s="290">
        <f>AK27*AK28</f>
        <v>5477840.2799239596</v>
      </c>
      <c r="AL29" s="254">
        <f>$AP$29*AL34</f>
        <v>1285475.666868384</v>
      </c>
      <c r="AM29" s="254">
        <f>$AP$29*AM34</f>
        <v>1419034.144948907</v>
      </c>
      <c r="AN29" s="254">
        <f>$AP$29*AN34</f>
        <v>1435316.7879253246</v>
      </c>
      <c r="AO29" s="254">
        <f>$AP$29*AO34</f>
        <v>1554422.6013457992</v>
      </c>
      <c r="AP29" s="290">
        <f>AP27*AP28</f>
        <v>5694249.2010884145</v>
      </c>
      <c r="AQ29" s="254"/>
    </row>
    <row r="30" spans="1:70" hidden="1" outlineLevel="1">
      <c r="A30" s="299" t="s">
        <v>259</v>
      </c>
      <c r="B30" s="249">
        <v>131800</v>
      </c>
      <c r="C30" s="406">
        <v>51200</v>
      </c>
      <c r="D30" s="406">
        <v>51000</v>
      </c>
      <c r="E30" s="406">
        <v>47300</v>
      </c>
      <c r="F30" s="401">
        <f>G30-SUM(C30:E30)</f>
        <v>59200</v>
      </c>
      <c r="G30" s="263">
        <v>208700</v>
      </c>
      <c r="H30" s="406">
        <v>62100</v>
      </c>
      <c r="I30" s="406">
        <v>72300</v>
      </c>
      <c r="J30" s="406">
        <v>69000</v>
      </c>
      <c r="K30" s="402">
        <f>L30-SUM(H30:J30)</f>
        <v>60700</v>
      </c>
      <c r="L30" s="403">
        <v>264100</v>
      </c>
      <c r="M30" s="406">
        <v>89000</v>
      </c>
      <c r="N30" s="404">
        <v>109800</v>
      </c>
      <c r="O30" s="404">
        <v>102900</v>
      </c>
      <c r="P30" s="402">
        <f>Q30-SUM(M30:O30)</f>
        <v>220000</v>
      </c>
      <c r="Q30" s="263">
        <v>521700</v>
      </c>
      <c r="R30" s="406">
        <f>214400</f>
        <v>214400</v>
      </c>
      <c r="S30" s="249">
        <v>295700</v>
      </c>
      <c r="T30" s="249">
        <v>287400</v>
      </c>
      <c r="U30" s="489">
        <f>U29*AVERAGE(R35:T35,P35)</f>
        <v>322573.9636033008</v>
      </c>
      <c r="V30" s="415">
        <f>SUM(R30:U30)</f>
        <v>1120073.9636033007</v>
      </c>
      <c r="W30" s="254">
        <f>$V$35*W29</f>
        <v>276448.9147846686</v>
      </c>
      <c r="X30" s="254">
        <f>$V$35*X29</f>
        <v>305171.43149756786</v>
      </c>
      <c r="Y30" s="254">
        <f>$V$35*Y29</f>
        <v>308673.10725594516</v>
      </c>
      <c r="Z30" s="254">
        <f>$V$35*Z29</f>
        <v>334287.49554292823</v>
      </c>
      <c r="AA30" s="290">
        <f>SUM(W30:Z30)</f>
        <v>1224580.9490811098</v>
      </c>
      <c r="AB30" s="254">
        <f>$V$35*AB29</f>
        <v>287370.37440168118</v>
      </c>
      <c r="AC30" s="254">
        <f>$V$35*AC29</f>
        <v>317227.61000694154</v>
      </c>
      <c r="AD30" s="254">
        <f>$V$35*AD29</f>
        <v>320867.62383916072</v>
      </c>
      <c r="AE30" s="254">
        <f>$V$35*AE29</f>
        <v>347493.94052350678</v>
      </c>
      <c r="AF30" s="276">
        <f>SUM(AB30:AE30)</f>
        <v>1272959.5487712903</v>
      </c>
      <c r="AG30" s="254">
        <f>$V$35*AG29</f>
        <v>298723.29991993966</v>
      </c>
      <c r="AH30" s="254">
        <f>$V$35*AH29</f>
        <v>329760.08290447795</v>
      </c>
      <c r="AI30" s="254">
        <f>$V$35*AI29</f>
        <v>333543.90002890717</v>
      </c>
      <c r="AJ30" s="254">
        <f>$V$35*AJ29</f>
        <v>361222.12260568328</v>
      </c>
      <c r="AK30" s="276">
        <f>SUM(AG30:AJ30)</f>
        <v>1323249.4054590082</v>
      </c>
      <c r="AL30" s="254">
        <f>$V$35*AL29</f>
        <v>310524.73693870159</v>
      </c>
      <c r="AM30" s="254">
        <f>$V$35*AM29</f>
        <v>342787.66679479356</v>
      </c>
      <c r="AN30" s="254">
        <f>$V$35*AN29</f>
        <v>346720.96834007796</v>
      </c>
      <c r="AO30" s="254">
        <f>$V$35*AO29</f>
        <v>375492.65366521897</v>
      </c>
      <c r="AP30" s="276">
        <f>SUM(AL30:AO30)</f>
        <v>1375526.025738792</v>
      </c>
      <c r="AQ30" s="254"/>
    </row>
    <row r="31" spans="1:70" hidden="1" outlineLevel="1">
      <c r="A31" s="299" t="s">
        <v>260</v>
      </c>
      <c r="B31" s="249">
        <f>B29-B30</f>
        <v>1820800</v>
      </c>
      <c r="C31" s="406">
        <f>C29-C30</f>
        <v>444619</v>
      </c>
      <c r="D31" s="406">
        <f>D29-D30</f>
        <v>436447</v>
      </c>
      <c r="E31" s="406">
        <f>E29-E30</f>
        <v>440147</v>
      </c>
      <c r="F31" s="406">
        <f>F29-F30</f>
        <v>440648</v>
      </c>
      <c r="G31" s="263">
        <f>SUM(C31:F31)</f>
        <v>1761861</v>
      </c>
      <c r="H31" s="406">
        <f>H29-H30</f>
        <v>450525</v>
      </c>
      <c r="I31" s="406">
        <f>I29-I30</f>
        <v>431390</v>
      </c>
      <c r="J31" s="406">
        <f>J29-J30</f>
        <v>414025</v>
      </c>
      <c r="K31" s="406">
        <f>K29-K30</f>
        <v>512064</v>
      </c>
      <c r="L31" s="263">
        <f>SUM(H31:K31)</f>
        <v>1808004</v>
      </c>
      <c r="M31" s="406">
        <f>M29-M30</f>
        <v>562444</v>
      </c>
      <c r="N31" s="406">
        <f>N29-N30</f>
        <v>662132</v>
      </c>
      <c r="O31" s="406">
        <f>O29-O30</f>
        <v>666726</v>
      </c>
      <c r="P31" s="406">
        <f>P29-P30</f>
        <v>626498</v>
      </c>
      <c r="Q31" s="263">
        <f>SUM(M31:P31)</f>
        <v>2517800</v>
      </c>
      <c r="R31" s="406">
        <f>R29-R30</f>
        <v>665038</v>
      </c>
      <c r="S31" s="249">
        <f>S29-S30</f>
        <v>874647</v>
      </c>
      <c r="T31" s="249">
        <f>T29-T30</f>
        <v>985742</v>
      </c>
      <c r="U31" s="407">
        <f>U29-U30</f>
        <v>991256.28639669833</v>
      </c>
      <c r="V31" s="416">
        <f>SUM(R31:U31)</f>
        <v>3516683.2863966981</v>
      </c>
      <c r="W31" s="254">
        <f t="shared" ref="W31:AE31" si="15">W29-W30</f>
        <v>867963.46469675598</v>
      </c>
      <c r="X31" s="254">
        <f t="shared" si="15"/>
        <v>958143.21866814373</v>
      </c>
      <c r="Y31" s="254">
        <f t="shared" si="15"/>
        <v>969137.38960150816</v>
      </c>
      <c r="Z31" s="254">
        <f t="shared" si="15"/>
        <v>1049558.5886536916</v>
      </c>
      <c r="AA31" s="290">
        <f t="shared" si="15"/>
        <v>3844802.6616200991</v>
      </c>
      <c r="AB31" s="254">
        <f t="shared" si="15"/>
        <v>902253.44531075726</v>
      </c>
      <c r="AC31" s="254">
        <f t="shared" si="15"/>
        <v>995995.86308221007</v>
      </c>
      <c r="AD31" s="254">
        <f t="shared" si="15"/>
        <v>1007424.3724681772</v>
      </c>
      <c r="AE31" s="254">
        <f t="shared" si="15"/>
        <v>1091022.71142154</v>
      </c>
      <c r="AF31" s="276"/>
      <c r="AG31" s="254">
        <f>AG29-AG30</f>
        <v>937898.09443136328</v>
      </c>
      <c r="AH31" s="254">
        <f>AH29-AH30</f>
        <v>1035343.9234854738</v>
      </c>
      <c r="AI31" s="254">
        <f>AI29-AI30</f>
        <v>1047223.9304070298</v>
      </c>
      <c r="AJ31" s="254">
        <f>AJ29-AJ30</f>
        <v>1134124.9261410846</v>
      </c>
      <c r="AK31" s="276"/>
      <c r="AL31" s="254">
        <f>AL29-AL30</f>
        <v>974950.9299296824</v>
      </c>
      <c r="AM31" s="254">
        <f>AM29-AM30</f>
        <v>1076246.4781541135</v>
      </c>
      <c r="AN31" s="254">
        <f>AN29-AN30</f>
        <v>1088595.8195852467</v>
      </c>
      <c r="AO31" s="254">
        <f>AO29-AO30</f>
        <v>1178929.9476805802</v>
      </c>
      <c r="AP31" s="276"/>
      <c r="AQ31" s="254"/>
    </row>
    <row r="32" spans="1:70" collapsed="1">
      <c r="A32" t="s">
        <v>261</v>
      </c>
      <c r="B32" s="246"/>
      <c r="C32" s="246"/>
      <c r="D32" s="246"/>
      <c r="E32" s="246"/>
      <c r="F32" s="246"/>
      <c r="G32" s="264">
        <f>(G27-B27)/B27</f>
        <v>1.627906976744186E-2</v>
      </c>
      <c r="H32" s="248"/>
      <c r="I32" s="248"/>
      <c r="J32" s="248"/>
      <c r="K32" s="248"/>
      <c r="L32" s="264">
        <f>(L27-G27)/G27</f>
        <v>2.4027459954233409E-2</v>
      </c>
      <c r="M32" s="248"/>
      <c r="N32" s="248"/>
      <c r="O32" s="248"/>
      <c r="P32" s="248"/>
      <c r="Q32" s="264">
        <f>(Q27-L27)/L27</f>
        <v>-3.3519553072625698E-3</v>
      </c>
      <c r="R32" s="248"/>
      <c r="S32" s="248"/>
      <c r="T32" s="248"/>
      <c r="U32" s="427"/>
      <c r="V32" s="417">
        <v>0.13</v>
      </c>
      <c r="W32" s="39"/>
      <c r="X32" s="39"/>
      <c r="Y32" s="39"/>
      <c r="Z32" s="39"/>
      <c r="AA32" s="288">
        <f>AVERAGE($G$32:$Q$32)</f>
        <v>1.2318191471470901E-2</v>
      </c>
      <c r="AB32" s="38"/>
      <c r="AC32" s="38"/>
      <c r="AD32" s="38"/>
      <c r="AE32" s="38"/>
      <c r="AF32" s="277">
        <f>AVERAGE($G$32:$Q$32)</f>
        <v>1.2318191471470901E-2</v>
      </c>
      <c r="AG32" s="38"/>
      <c r="AH32" s="38"/>
      <c r="AI32" s="38"/>
      <c r="AJ32" s="38"/>
      <c r="AK32" s="277">
        <f>AVERAGE($G$32:$Q$32)</f>
        <v>1.2318191471470901E-2</v>
      </c>
      <c r="AL32" s="38"/>
      <c r="AM32" s="38"/>
      <c r="AN32" s="38"/>
      <c r="AO32" s="38"/>
      <c r="AP32" s="277">
        <f>AVERAGE($G$32:$Q$32)</f>
        <v>1.2318191471470901E-2</v>
      </c>
      <c r="AQ32" s="38"/>
      <c r="AS32" s="133"/>
      <c r="AT32" s="133"/>
    </row>
    <row r="33" spans="1:50">
      <c r="A33" t="s">
        <v>262</v>
      </c>
      <c r="B33" s="246"/>
      <c r="C33" s="246"/>
      <c r="D33" s="246"/>
      <c r="E33" s="246"/>
      <c r="F33" s="246"/>
      <c r="G33" s="264">
        <f>(G28-B28)/(B28)</f>
        <v>-6.967146544734933E-3</v>
      </c>
      <c r="H33" s="248"/>
      <c r="I33" s="248"/>
      <c r="J33" s="248"/>
      <c r="K33" s="248"/>
      <c r="L33" s="264">
        <f>(L28-G28)/(G28)</f>
        <v>2.6857224922243048E-2</v>
      </c>
      <c r="M33" s="248"/>
      <c r="N33" s="248"/>
      <c r="O33" s="248"/>
      <c r="P33" s="248"/>
      <c r="Q33" s="264">
        <f>(Q28-L28)/(L28)</f>
        <v>0.47179993554005339</v>
      </c>
      <c r="R33" s="248"/>
      <c r="S33" s="248"/>
      <c r="T33" s="248"/>
      <c r="U33" s="427"/>
      <c r="V33" s="148">
        <v>0.35</v>
      </c>
      <c r="W33" s="38"/>
      <c r="X33" s="38"/>
      <c r="Y33" s="38"/>
      <c r="Z33" s="38"/>
      <c r="AA33" s="291">
        <v>0.08</v>
      </c>
      <c r="AB33" s="39"/>
      <c r="AC33" s="39"/>
      <c r="AD33" s="39"/>
      <c r="AE33" s="39"/>
      <c r="AF33" s="277">
        <f>L33</f>
        <v>2.6857224922243048E-2</v>
      </c>
      <c r="AG33" s="38"/>
      <c r="AH33" s="38"/>
      <c r="AI33" s="38"/>
      <c r="AJ33" s="38"/>
      <c r="AK33" s="277">
        <f>AF33</f>
        <v>2.6857224922243048E-2</v>
      </c>
      <c r="AL33" s="38"/>
      <c r="AM33" s="38"/>
      <c r="AN33" s="38"/>
      <c r="AO33" s="38"/>
      <c r="AP33" s="277">
        <f>AK33</f>
        <v>2.6857224922243048E-2</v>
      </c>
      <c r="AQ33" s="38"/>
      <c r="AS33" s="39"/>
      <c r="AT33" s="39"/>
      <c r="AU33" s="38"/>
      <c r="AV33" s="38"/>
      <c r="AW33" s="38"/>
    </row>
    <row r="34" spans="1:50">
      <c r="A34" t="s">
        <v>263</v>
      </c>
      <c r="B34" s="246"/>
      <c r="C34" s="405">
        <f>C29/$G$29</f>
        <v>0.25161311930967883</v>
      </c>
      <c r="D34" s="405">
        <f>D29/$G$29</f>
        <v>0.24736458297916178</v>
      </c>
      <c r="E34" s="405">
        <f>E29/$G$29</f>
        <v>0.24736458297916178</v>
      </c>
      <c r="F34" s="405">
        <f>F29/$G$29</f>
        <v>0.25365771473199766</v>
      </c>
      <c r="G34" s="261"/>
      <c r="H34" s="405">
        <f>H29/$L$29</f>
        <v>0.24739347059800088</v>
      </c>
      <c r="I34" s="405">
        <f>I29/$L$29</f>
        <v>0.24308142834529542</v>
      </c>
      <c r="J34" s="405">
        <f>J29/$L$29</f>
        <v>0.23310847331987197</v>
      </c>
      <c r="K34" s="405">
        <f>K29/$L$29</f>
        <v>0.27641662773683173</v>
      </c>
      <c r="L34" s="261"/>
      <c r="M34" s="405">
        <f>M29/$Q$29</f>
        <v>0.21432604046718209</v>
      </c>
      <c r="N34" s="405">
        <f>N29/$Q$29</f>
        <v>0.25396677085046881</v>
      </c>
      <c r="O34" s="405">
        <f>O29/$Q$29</f>
        <v>0.25320809343642048</v>
      </c>
      <c r="P34" s="405">
        <f>P29/$Q$29</f>
        <v>0.27849909524592859</v>
      </c>
      <c r="Q34" s="261"/>
      <c r="R34" s="405">
        <f>R29/$V$29</f>
        <v>0.18966660374553793</v>
      </c>
      <c r="S34" s="405">
        <f>S29/$V$29</f>
        <v>0.25240635575649345</v>
      </c>
      <c r="T34" s="405">
        <f>T29/$V$29</f>
        <v>0.27457594421187353</v>
      </c>
      <c r="U34" s="428">
        <f>U29/$V$29</f>
        <v>0.28335109628609506</v>
      </c>
      <c r="V34" s="490" t="s">
        <v>264</v>
      </c>
      <c r="W34" s="38">
        <f>AVERAGE(C34,H34,M34,R34)</f>
        <v>0.22574980853009993</v>
      </c>
      <c r="X34" s="38">
        <f>AVERAGE(D34,I34,N34,S34)</f>
        <v>0.24920478448285488</v>
      </c>
      <c r="Y34" s="38">
        <f>AVERAGE(E34,J34,O34,T34)</f>
        <v>0.25206427348683197</v>
      </c>
      <c r="Z34" s="38">
        <f>AVERAGE(F34,K34,P34,U34)</f>
        <v>0.27298113350021325</v>
      </c>
      <c r="AB34" s="38">
        <f>AVERAGE(C34,H34,M34,R34)</f>
        <v>0.22574980853009993</v>
      </c>
      <c r="AC34" s="38">
        <f>AVERAGE(D34,I34,N34,S34)</f>
        <v>0.24920478448285488</v>
      </c>
      <c r="AD34" s="38">
        <f>AVERAGE(E34,J34,O34,T34)</f>
        <v>0.25206427348683197</v>
      </c>
      <c r="AE34" s="38">
        <f>AVERAGE(F34,K34,P34,U34)</f>
        <v>0.27298113350021325</v>
      </c>
      <c r="AG34" s="38">
        <f>AVERAGE(C34,H34,M34,R34)</f>
        <v>0.22574980853009993</v>
      </c>
      <c r="AH34" s="38">
        <f>AVERAGE(D34,I34,N34,S34)</f>
        <v>0.24920478448285488</v>
      </c>
      <c r="AI34" s="38">
        <f>AVERAGE(E34,J34,O34,T34)</f>
        <v>0.25206427348683197</v>
      </c>
      <c r="AJ34" s="38">
        <f>AVERAGE(F34,K34,P34,U34)</f>
        <v>0.27298113350021325</v>
      </c>
      <c r="AL34" s="38">
        <f>AVERAGE(C34,H34,M34,R34)</f>
        <v>0.22574980853009993</v>
      </c>
      <c r="AM34" s="38">
        <f>AVERAGE(D34,I34,N34,S34)</f>
        <v>0.24920478448285488</v>
      </c>
      <c r="AN34" s="38">
        <f>AVERAGE(E34,J34,O34,T34)</f>
        <v>0.25206427348683197</v>
      </c>
      <c r="AO34" s="38">
        <f>AVERAGE(F34,K34,P34,U34)</f>
        <v>0.27298113350021325</v>
      </c>
    </row>
    <row r="35" spans="1:50">
      <c r="A35" t="s">
        <v>265</v>
      </c>
      <c r="B35" s="405">
        <f t="shared" ref="B35:V35" si="16">B30/B29</f>
        <v>6.7499743931168699E-2</v>
      </c>
      <c r="C35" s="405">
        <f t="shared" si="16"/>
        <v>0.10326348929750574</v>
      </c>
      <c r="D35" s="405">
        <f t="shared" si="16"/>
        <v>0.10462675942204999</v>
      </c>
      <c r="E35" s="405">
        <f t="shared" si="16"/>
        <v>9.7036190601234598E-2</v>
      </c>
      <c r="F35" s="405">
        <f t="shared" si="16"/>
        <v>0.11843600454538179</v>
      </c>
      <c r="G35" s="408">
        <f t="shared" si="16"/>
        <v>0.10590892644277441</v>
      </c>
      <c r="H35" s="405">
        <f t="shared" si="16"/>
        <v>0.12114118507681053</v>
      </c>
      <c r="I35" s="405">
        <f t="shared" si="16"/>
        <v>0.14354066985645933</v>
      </c>
      <c r="J35" s="405">
        <f t="shared" si="16"/>
        <v>0.14284974897779618</v>
      </c>
      <c r="K35" s="405">
        <f t="shared" si="16"/>
        <v>0.10597733097750557</v>
      </c>
      <c r="L35" s="408">
        <f t="shared" si="16"/>
        <v>0.12745499260654872</v>
      </c>
      <c r="M35" s="405">
        <f t="shared" si="16"/>
        <v>0.13661957129085539</v>
      </c>
      <c r="N35" s="405">
        <f t="shared" si="16"/>
        <v>0.14224050823129497</v>
      </c>
      <c r="O35" s="405">
        <f t="shared" si="16"/>
        <v>0.13370130426986615</v>
      </c>
      <c r="P35" s="405">
        <f t="shared" si="16"/>
        <v>0.25989429390264362</v>
      </c>
      <c r="Q35" s="408">
        <f t="shared" si="16"/>
        <v>0.17164007238032572</v>
      </c>
      <c r="R35" s="405">
        <f t="shared" si="16"/>
        <v>0.24379205810983834</v>
      </c>
      <c r="S35" s="405">
        <f t="shared" si="16"/>
        <v>0.25266010849773612</v>
      </c>
      <c r="T35" s="405">
        <f t="shared" si="16"/>
        <v>0.22574072648612645</v>
      </c>
      <c r="U35" s="428">
        <f t="shared" si="16"/>
        <v>0.24552179674908614</v>
      </c>
      <c r="V35" s="428">
        <f t="shared" si="16"/>
        <v>0.24156407230576951</v>
      </c>
    </row>
    <row r="36" spans="1:50">
      <c r="B36" s="246"/>
      <c r="C36" s="246"/>
      <c r="D36" s="246"/>
      <c r="E36" s="246"/>
      <c r="F36" s="246"/>
      <c r="G36" s="261"/>
      <c r="H36" s="246"/>
      <c r="I36" s="246"/>
      <c r="J36" s="246"/>
      <c r="K36" s="246"/>
      <c r="L36" s="261"/>
      <c r="M36" s="246"/>
      <c r="N36" s="246"/>
      <c r="O36" s="246"/>
      <c r="P36" s="246"/>
      <c r="Q36" s="261"/>
      <c r="R36" s="246"/>
      <c r="S36" s="246"/>
      <c r="T36" s="246"/>
      <c r="U36" s="429"/>
      <c r="W36" s="38"/>
    </row>
    <row r="37" spans="1:50">
      <c r="A37" t="s">
        <v>266</v>
      </c>
      <c r="B37" s="250">
        <f>B29</f>
        <v>1952600</v>
      </c>
      <c r="C37" s="250"/>
      <c r="D37" s="250"/>
      <c r="E37" s="250"/>
      <c r="F37" s="250"/>
      <c r="G37" s="265">
        <f t="shared" ref="G37:AP37" si="17">G29</f>
        <v>1970561</v>
      </c>
      <c r="H37" s="250"/>
      <c r="I37" s="250"/>
      <c r="J37" s="250"/>
      <c r="K37" s="250"/>
      <c r="L37" s="265">
        <f t="shared" si="17"/>
        <v>2072104</v>
      </c>
      <c r="M37" s="250"/>
      <c r="N37" s="250"/>
      <c r="O37" s="250"/>
      <c r="P37" s="250"/>
      <c r="Q37" s="265">
        <f t="shared" si="17"/>
        <v>3039500</v>
      </c>
      <c r="R37" s="250">
        <f>R29</f>
        <v>879438</v>
      </c>
      <c r="S37" s="250">
        <f t="shared" ref="S37:U37" si="18">S29</f>
        <v>1170347</v>
      </c>
      <c r="T37" s="250">
        <f t="shared" si="18"/>
        <v>1273142</v>
      </c>
      <c r="U37" s="430">
        <f t="shared" si="18"/>
        <v>1313830.2499999991</v>
      </c>
      <c r="V37" s="418">
        <f>V29</f>
        <v>4636757.2499999991</v>
      </c>
      <c r="W37" s="71">
        <f>W29</f>
        <v>1144412.3794814246</v>
      </c>
      <c r="X37" s="71">
        <f t="shared" ref="X37:Z37" si="19">X29</f>
        <v>1263314.6501657115</v>
      </c>
      <c r="Y37" s="71">
        <f t="shared" si="19"/>
        <v>1277810.4968574534</v>
      </c>
      <c r="Z37" s="71">
        <f t="shared" si="19"/>
        <v>1383846.0841966197</v>
      </c>
      <c r="AA37" s="292">
        <f>AA29</f>
        <v>5069383.6107012089</v>
      </c>
      <c r="AB37" s="71">
        <f>AB29</f>
        <v>1189623.8197124384</v>
      </c>
      <c r="AC37" s="71">
        <f t="shared" ref="AC37:AE37" si="20">AC29</f>
        <v>1313223.4730891516</v>
      </c>
      <c r="AD37" s="71">
        <f t="shared" si="20"/>
        <v>1328291.9963073379</v>
      </c>
      <c r="AE37" s="71">
        <f t="shared" si="20"/>
        <v>1438516.6519450468</v>
      </c>
      <c r="AF37" s="278">
        <f>AF29</f>
        <v>5269655.9410539744</v>
      </c>
      <c r="AG37" s="71">
        <f>AG29</f>
        <v>1236621.3943513029</v>
      </c>
      <c r="AH37" s="71">
        <f t="shared" ref="AH37:AJ37" si="21">AH29</f>
        <v>1365104.0063899518</v>
      </c>
      <c r="AI37" s="71">
        <f t="shared" si="21"/>
        <v>1380767.830435937</v>
      </c>
      <c r="AJ37" s="71">
        <f t="shared" si="21"/>
        <v>1495347.0487467679</v>
      </c>
      <c r="AK37" s="278">
        <f t="shared" si="17"/>
        <v>5477840.2799239596</v>
      </c>
      <c r="AL37" s="71">
        <f>AL29</f>
        <v>1285475.666868384</v>
      </c>
      <c r="AM37" s="71">
        <f t="shared" ref="AM37:AO37" si="22">AM29</f>
        <v>1419034.144948907</v>
      </c>
      <c r="AN37" s="71">
        <f t="shared" si="22"/>
        <v>1435316.7879253246</v>
      </c>
      <c r="AO37" s="71">
        <f t="shared" si="22"/>
        <v>1554422.6013457992</v>
      </c>
      <c r="AP37" s="278">
        <f t="shared" si="17"/>
        <v>5694249.2010884145</v>
      </c>
      <c r="AQ37" s="71"/>
    </row>
    <row r="38" spans="1:50">
      <c r="Q38" s="268">
        <v>521700</v>
      </c>
      <c r="V38" s="148">
        <f>Q38/Q37</f>
        <v>0.17164007238032572</v>
      </c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</row>
    <row r="39" spans="1:50" ht="15.95" customHeight="1">
      <c r="A39" s="354" t="s">
        <v>267</v>
      </c>
      <c r="B39" s="355"/>
      <c r="C39" s="355"/>
      <c r="D39" s="355"/>
      <c r="E39" s="355"/>
      <c r="F39" s="355"/>
      <c r="G39" s="371"/>
      <c r="H39" s="356"/>
      <c r="I39" s="356"/>
      <c r="J39" s="356"/>
      <c r="K39" s="356"/>
      <c r="L39" s="371"/>
      <c r="M39" s="356"/>
      <c r="N39" s="356"/>
      <c r="O39" s="356"/>
      <c r="P39" s="356"/>
      <c r="Q39" s="371"/>
      <c r="R39" s="356"/>
      <c r="S39" s="356"/>
      <c r="T39" s="356"/>
      <c r="U39" s="431"/>
      <c r="V39" s="419"/>
      <c r="W39" s="373"/>
      <c r="X39" s="373"/>
      <c r="Y39" s="373"/>
      <c r="Z39" s="373"/>
      <c r="AA39" s="374"/>
      <c r="AB39" s="373"/>
      <c r="AC39" s="373"/>
      <c r="AD39" s="373"/>
      <c r="AE39" s="373"/>
      <c r="AF39" s="372"/>
      <c r="AG39" s="373"/>
      <c r="AH39" s="373"/>
      <c r="AI39" s="373"/>
      <c r="AJ39" s="373"/>
      <c r="AK39" s="372"/>
      <c r="AL39" s="373"/>
      <c r="AM39" s="373"/>
      <c r="AN39" s="373"/>
      <c r="AO39" s="373"/>
      <c r="AP39" s="372"/>
      <c r="AQ39" s="129"/>
    </row>
    <row r="40" spans="1:50">
      <c r="A40" s="354"/>
      <c r="B40" s="355"/>
      <c r="C40" s="355"/>
      <c r="D40" s="355"/>
      <c r="E40" s="355"/>
      <c r="F40" s="355"/>
      <c r="G40" s="371"/>
      <c r="H40" s="356"/>
      <c r="I40" s="356"/>
      <c r="J40" s="356"/>
      <c r="K40" s="356"/>
      <c r="L40" s="371"/>
      <c r="M40" s="356"/>
      <c r="N40" s="356"/>
      <c r="O40" s="356"/>
      <c r="P40" s="356"/>
      <c r="Q40" s="371"/>
      <c r="R40" s="356"/>
      <c r="S40" s="356"/>
      <c r="T40" s="356"/>
      <c r="U40" s="431"/>
      <c r="V40" s="420"/>
      <c r="W40" s="373"/>
      <c r="X40" s="373"/>
      <c r="Y40" s="373"/>
      <c r="Z40" s="373"/>
      <c r="AA40" s="374"/>
      <c r="AB40" s="373"/>
      <c r="AC40" s="373"/>
      <c r="AD40" s="373"/>
      <c r="AE40" s="373"/>
      <c r="AF40" s="372"/>
      <c r="AG40" s="373"/>
      <c r="AH40" s="373"/>
      <c r="AI40" s="373"/>
      <c r="AJ40" s="373"/>
      <c r="AK40" s="372"/>
      <c r="AL40" s="373"/>
      <c r="AM40" s="373"/>
      <c r="AN40" s="373"/>
      <c r="AO40" s="373"/>
      <c r="AP40" s="372"/>
      <c r="AQ40" s="129"/>
    </row>
    <row r="41" spans="1:50">
      <c r="A41" t="s">
        <v>268</v>
      </c>
      <c r="B41" s="246">
        <v>1300</v>
      </c>
      <c r="C41" s="246"/>
      <c r="D41" s="246"/>
      <c r="E41" s="246"/>
      <c r="F41" s="246"/>
      <c r="G41" s="261">
        <v>1300</v>
      </c>
      <c r="H41" s="246"/>
      <c r="I41" s="246"/>
      <c r="J41" s="246"/>
      <c r="K41" s="246"/>
      <c r="L41" s="261">
        <v>1300</v>
      </c>
      <c r="M41" s="246"/>
      <c r="N41" s="246"/>
      <c r="O41" s="246"/>
      <c r="P41" s="246"/>
      <c r="Q41" s="261">
        <v>1280</v>
      </c>
      <c r="R41" s="246">
        <f>$V$41/4</f>
        <v>325</v>
      </c>
      <c r="S41" s="246">
        <f t="shared" ref="S41:U41" si="23">$V$41/4</f>
        <v>325</v>
      </c>
      <c r="T41" s="246">
        <f t="shared" si="23"/>
        <v>325</v>
      </c>
      <c r="U41" s="243">
        <f t="shared" si="23"/>
        <v>325</v>
      </c>
      <c r="V41" s="30">
        <v>1300</v>
      </c>
      <c r="W41">
        <f>$AA$41/4</f>
        <v>325</v>
      </c>
      <c r="X41">
        <f t="shared" ref="X41:Z41" si="24">$AA$41/4</f>
        <v>325</v>
      </c>
      <c r="Y41">
        <f t="shared" si="24"/>
        <v>325</v>
      </c>
      <c r="Z41">
        <f t="shared" si="24"/>
        <v>325</v>
      </c>
      <c r="AA41" s="285">
        <f>V41*(1+AA44)</f>
        <v>1300</v>
      </c>
      <c r="AB41">
        <f>$AF$41/4</f>
        <v>325</v>
      </c>
      <c r="AC41">
        <f t="shared" ref="AC41:AE41" si="25">$AF$41/4</f>
        <v>325</v>
      </c>
      <c r="AD41">
        <f t="shared" si="25"/>
        <v>325</v>
      </c>
      <c r="AE41">
        <f t="shared" si="25"/>
        <v>325</v>
      </c>
      <c r="AF41" s="243">
        <f>AA41*(1+AF44)</f>
        <v>1300</v>
      </c>
      <c r="AG41">
        <f>$AK$41/4</f>
        <v>325</v>
      </c>
      <c r="AH41">
        <f t="shared" ref="AH41:AJ41" si="26">$AK$41/4</f>
        <v>325</v>
      </c>
      <c r="AI41">
        <f t="shared" si="26"/>
        <v>325</v>
      </c>
      <c r="AJ41">
        <f t="shared" si="26"/>
        <v>325</v>
      </c>
      <c r="AK41" s="243">
        <f>AF41*(1+AK44)</f>
        <v>1300</v>
      </c>
      <c r="AL41">
        <f>$AP$41/4</f>
        <v>325</v>
      </c>
      <c r="AM41">
        <f t="shared" ref="AM41:AO41" si="27">$AP$41/4</f>
        <v>325</v>
      </c>
      <c r="AN41">
        <f t="shared" si="27"/>
        <v>325</v>
      </c>
      <c r="AO41">
        <f t="shared" si="27"/>
        <v>325</v>
      </c>
      <c r="AP41" s="243">
        <f t="shared" ref="AP41:AP42" si="28">AK41*(1+AP44)</f>
        <v>1300</v>
      </c>
    </row>
    <row r="42" spans="1:50">
      <c r="A42" t="s">
        <v>257</v>
      </c>
      <c r="B42" s="255">
        <f>B43/B41</f>
        <v>227.69230769230768</v>
      </c>
      <c r="C42" s="255"/>
      <c r="D42" s="255"/>
      <c r="E42" s="255"/>
      <c r="F42" s="255"/>
      <c r="G42" s="266">
        <f t="shared" ref="G42:L42" si="29">G43/G41</f>
        <v>210.96846153846153</v>
      </c>
      <c r="H42" s="255"/>
      <c r="I42" s="255"/>
      <c r="J42" s="255"/>
      <c r="K42" s="255"/>
      <c r="L42" s="266">
        <f t="shared" si="29"/>
        <v>241.62923076923076</v>
      </c>
      <c r="M42" s="255"/>
      <c r="N42" s="255"/>
      <c r="O42" s="255"/>
      <c r="P42" s="255"/>
      <c r="Q42" s="266">
        <f>Q43/Q41</f>
        <v>336.125</v>
      </c>
      <c r="R42" s="255">
        <f>$V$42</f>
        <v>342.645825</v>
      </c>
      <c r="S42" s="255">
        <f t="shared" ref="S42:U42" si="30">$V$42</f>
        <v>342.645825</v>
      </c>
      <c r="T42" s="255">
        <f t="shared" si="30"/>
        <v>342.645825</v>
      </c>
      <c r="U42" s="302">
        <f t="shared" si="30"/>
        <v>342.645825</v>
      </c>
      <c r="V42" s="421">
        <f>Q42*(1+V45)</f>
        <v>342.645825</v>
      </c>
      <c r="W42" s="72">
        <f>$AA$42</f>
        <v>317.49562144499998</v>
      </c>
      <c r="X42" s="72">
        <f t="shared" ref="X42:Z42" si="31">$AA$42</f>
        <v>317.49562144499998</v>
      </c>
      <c r="Y42" s="72">
        <f t="shared" si="31"/>
        <v>317.49562144499998</v>
      </c>
      <c r="Z42" s="72">
        <f t="shared" si="31"/>
        <v>317.49562144499998</v>
      </c>
      <c r="AA42" s="303">
        <f>V42*(1+AA45)</f>
        <v>317.49562144499998</v>
      </c>
      <c r="AB42" s="72">
        <f>$AF$42</f>
        <v>294.19144283093698</v>
      </c>
      <c r="AC42" s="72">
        <f t="shared" ref="AC42:AE42" si="32">$AF$42</f>
        <v>294.19144283093698</v>
      </c>
      <c r="AD42" s="72">
        <f t="shared" si="32"/>
        <v>294.19144283093698</v>
      </c>
      <c r="AE42" s="72">
        <f t="shared" si="32"/>
        <v>294.19144283093698</v>
      </c>
      <c r="AF42" s="302">
        <f>AA42*(1+AF45)</f>
        <v>294.19144283093698</v>
      </c>
      <c r="AG42" s="72">
        <f>$AK$42</f>
        <v>272.59779092714621</v>
      </c>
      <c r="AH42" s="72">
        <f t="shared" ref="AH42:AJ42" si="33">$AK$42</f>
        <v>272.59779092714621</v>
      </c>
      <c r="AI42" s="72">
        <f t="shared" si="33"/>
        <v>272.59779092714621</v>
      </c>
      <c r="AJ42" s="72">
        <f t="shared" si="33"/>
        <v>272.59779092714621</v>
      </c>
      <c r="AK42" s="302">
        <f>AF42*(1+AK45)</f>
        <v>272.59779092714621</v>
      </c>
      <c r="AL42" s="72">
        <f>$AP$42</f>
        <v>252.58911307309367</v>
      </c>
      <c r="AM42" s="72">
        <f t="shared" ref="AM42:AO42" si="34">$AP$42</f>
        <v>252.58911307309367</v>
      </c>
      <c r="AN42" s="72">
        <f t="shared" si="34"/>
        <v>252.58911307309367</v>
      </c>
      <c r="AO42" s="72">
        <f t="shared" si="34"/>
        <v>252.58911307309367</v>
      </c>
      <c r="AP42" s="302">
        <f t="shared" si="28"/>
        <v>252.58911307309367</v>
      </c>
      <c r="AQ42" s="72"/>
      <c r="AW42" s="38"/>
      <c r="AX42" s="38"/>
    </row>
    <row r="43" spans="1:50">
      <c r="A43" t="s">
        <v>258</v>
      </c>
      <c r="B43" s="249">
        <v>296000</v>
      </c>
      <c r="C43" s="249"/>
      <c r="D43" s="249"/>
      <c r="E43" s="249"/>
      <c r="F43" s="249"/>
      <c r="G43" s="263">
        <v>274259</v>
      </c>
      <c r="H43" s="249"/>
      <c r="I43" s="249"/>
      <c r="J43" s="249"/>
      <c r="K43" s="249"/>
      <c r="L43" s="263">
        <v>314118</v>
      </c>
      <c r="M43" s="249"/>
      <c r="N43" s="249"/>
      <c r="O43" s="249"/>
      <c r="P43" s="249"/>
      <c r="Q43" s="263">
        <v>430240</v>
      </c>
      <c r="R43" s="249">
        <f>R41*R42</f>
        <v>111359.893125</v>
      </c>
      <c r="S43" s="249">
        <f t="shared" ref="S43:T43" si="35">S41*S42</f>
        <v>111359.893125</v>
      </c>
      <c r="T43" s="249">
        <f t="shared" si="35"/>
        <v>111359.893125</v>
      </c>
      <c r="U43" s="276">
        <f>U41*U42</f>
        <v>111359.893125</v>
      </c>
      <c r="V43" s="415">
        <f>SUM(R43:U43)</f>
        <v>445439.57250000001</v>
      </c>
      <c r="W43" s="254">
        <f>W41*W42</f>
        <v>103186.07696962499</v>
      </c>
      <c r="X43" s="254">
        <f t="shared" ref="X43:Z43" si="36">X41*X42</f>
        <v>103186.07696962499</v>
      </c>
      <c r="Y43" s="254">
        <f t="shared" si="36"/>
        <v>103186.07696962499</v>
      </c>
      <c r="Z43" s="254">
        <f t="shared" si="36"/>
        <v>103186.07696962499</v>
      </c>
      <c r="AA43" s="290">
        <f>SUM(W43:Z43)</f>
        <v>412744.30787849997</v>
      </c>
      <c r="AB43" s="254">
        <f>AB41*AB42</f>
        <v>95612.218920054511</v>
      </c>
      <c r="AC43" s="254">
        <f t="shared" ref="AC43:AE43" si="37">AC41*AC42</f>
        <v>95612.218920054511</v>
      </c>
      <c r="AD43" s="254">
        <f t="shared" si="37"/>
        <v>95612.218920054511</v>
      </c>
      <c r="AE43" s="254">
        <f t="shared" si="37"/>
        <v>95612.218920054511</v>
      </c>
      <c r="AF43" s="276">
        <f>SUM(AB43:AE43)</f>
        <v>382448.87568021804</v>
      </c>
      <c r="AG43" s="254">
        <f>AG41*AG42</f>
        <v>88594.282051322516</v>
      </c>
      <c r="AH43" s="254">
        <f t="shared" ref="AH43:AJ43" si="38">AH41*AH42</f>
        <v>88594.282051322516</v>
      </c>
      <c r="AI43" s="254">
        <f t="shared" si="38"/>
        <v>88594.282051322516</v>
      </c>
      <c r="AJ43" s="254">
        <f t="shared" si="38"/>
        <v>88594.282051322516</v>
      </c>
      <c r="AK43" s="276">
        <f>SUM(AG43:AJ43)</f>
        <v>354377.12820529006</v>
      </c>
      <c r="AL43" s="254">
        <f>AL41*AL42</f>
        <v>82091.46174875545</v>
      </c>
      <c r="AM43" s="254">
        <f t="shared" ref="AM43:AO43" si="39">AM41*AM42</f>
        <v>82091.46174875545</v>
      </c>
      <c r="AN43" s="254">
        <f t="shared" si="39"/>
        <v>82091.46174875545</v>
      </c>
      <c r="AO43" s="254">
        <f t="shared" si="39"/>
        <v>82091.46174875545</v>
      </c>
      <c r="AP43" s="276">
        <f>SUM(AL43:AO43)</f>
        <v>328365.8469950218</v>
      </c>
      <c r="AQ43" s="256"/>
    </row>
    <row r="44" spans="1:50">
      <c r="A44" t="s">
        <v>261</v>
      </c>
      <c r="B44" s="245"/>
      <c r="C44" s="245"/>
      <c r="D44" s="245"/>
      <c r="E44" s="245"/>
      <c r="F44" s="245"/>
      <c r="G44" s="264">
        <f>(G41-B41)/(B41)</f>
        <v>0</v>
      </c>
      <c r="H44" s="248"/>
      <c r="I44" s="248"/>
      <c r="J44" s="248"/>
      <c r="K44" s="248"/>
      <c r="L44" s="264">
        <f>(L41-G41)/(G41)</f>
        <v>0</v>
      </c>
      <c r="M44" s="248"/>
      <c r="N44" s="248"/>
      <c r="O44" s="248"/>
      <c r="P44" s="248"/>
      <c r="Q44" s="264">
        <f>(Q41-L41)/(L41)</f>
        <v>-1.5384615384615385E-2</v>
      </c>
      <c r="R44" s="248"/>
      <c r="S44" s="248"/>
      <c r="T44" s="248"/>
      <c r="U44" s="264"/>
      <c r="V44" s="148">
        <f>(V41-Q41)/(Q41)</f>
        <v>1.5625E-2</v>
      </c>
      <c r="W44" s="38"/>
      <c r="X44" s="38"/>
      <c r="Y44" s="38"/>
      <c r="Z44" s="38"/>
      <c r="AA44" s="288">
        <v>0</v>
      </c>
      <c r="AB44" s="38"/>
      <c r="AC44" s="38"/>
      <c r="AD44" s="38"/>
      <c r="AE44" s="38"/>
      <c r="AF44" s="277">
        <f>AA44</f>
        <v>0</v>
      </c>
      <c r="AG44" s="38"/>
      <c r="AH44" s="38"/>
      <c r="AI44" s="38"/>
      <c r="AJ44" s="38"/>
      <c r="AK44" s="277">
        <f>AF44</f>
        <v>0</v>
      </c>
      <c r="AL44" s="38"/>
      <c r="AM44" s="38"/>
      <c r="AN44" s="38"/>
      <c r="AO44" s="38"/>
      <c r="AP44" s="277">
        <f t="shared" ref="AP44" si="40">AK44</f>
        <v>0</v>
      </c>
      <c r="AQ44" s="38"/>
    </row>
    <row r="45" spans="1:50">
      <c r="A45" t="s">
        <v>262</v>
      </c>
      <c r="B45" s="244"/>
      <c r="C45" s="244"/>
      <c r="D45" s="244"/>
      <c r="E45" s="244"/>
      <c r="F45" s="244"/>
      <c r="G45" s="264">
        <f>(G42-B42)/B42</f>
        <v>-7.3449324324324328E-2</v>
      </c>
      <c r="H45" s="248"/>
      <c r="I45" s="248"/>
      <c r="J45" s="248"/>
      <c r="K45" s="248"/>
      <c r="L45" s="264">
        <f>(L42-G42)/G42</f>
        <v>0.14533342570344093</v>
      </c>
      <c r="M45" s="248"/>
      <c r="N45" s="248"/>
      <c r="O45" s="248"/>
      <c r="P45" s="248"/>
      <c r="Q45" s="264">
        <f>(Q42-L42)/L42</f>
        <v>0.39107755684169648</v>
      </c>
      <c r="R45" s="248"/>
      <c r="S45" s="248"/>
      <c r="T45" s="248"/>
      <c r="U45" s="264"/>
      <c r="V45" s="148">
        <v>1.9400000000000001E-2</v>
      </c>
      <c r="W45" s="38"/>
      <c r="X45" s="38"/>
      <c r="Y45" s="38"/>
      <c r="Z45" s="38"/>
      <c r="AA45" s="288">
        <f>-7.34%</f>
        <v>-7.3399999999999993E-2</v>
      </c>
      <c r="AB45" s="38"/>
      <c r="AC45" s="38"/>
      <c r="AD45" s="38"/>
      <c r="AE45" s="38"/>
      <c r="AF45" s="277">
        <f>AA45</f>
        <v>-7.3399999999999993E-2</v>
      </c>
      <c r="AG45" s="38"/>
      <c r="AH45" s="38"/>
      <c r="AI45" s="38"/>
      <c r="AJ45" s="38"/>
      <c r="AK45" s="277">
        <f>AF45</f>
        <v>-7.3399999999999993E-2</v>
      </c>
      <c r="AL45" s="38"/>
      <c r="AM45" s="38"/>
      <c r="AN45" s="38"/>
      <c r="AO45" s="38"/>
      <c r="AP45" s="277">
        <f t="shared" ref="AP45" si="41">AK45</f>
        <v>-7.3399999999999993E-2</v>
      </c>
      <c r="AQ45" s="38"/>
      <c r="AX45" s="38"/>
    </row>
    <row r="46" spans="1:50">
      <c r="AE46" s="71"/>
    </row>
    <row r="47" spans="1:50">
      <c r="A47" s="534" t="s">
        <v>269</v>
      </c>
      <c r="B47" s="520"/>
      <c r="C47" s="520"/>
      <c r="D47" s="520"/>
      <c r="E47" s="520"/>
      <c r="F47" s="520"/>
      <c r="G47" s="522"/>
      <c r="H47" s="523"/>
      <c r="I47" s="523"/>
      <c r="J47" s="523"/>
      <c r="K47" s="523"/>
      <c r="L47" s="522"/>
      <c r="M47" s="523"/>
      <c r="N47" s="523"/>
      <c r="O47" s="523"/>
      <c r="P47" s="523"/>
      <c r="Q47" s="522"/>
      <c r="R47" s="523"/>
      <c r="S47" s="523"/>
      <c r="T47" s="523"/>
      <c r="U47" s="522"/>
      <c r="V47" s="526"/>
      <c r="W47" s="527"/>
      <c r="X47" s="527"/>
      <c r="Y47" s="527"/>
      <c r="Z47" s="527"/>
      <c r="AA47" s="535"/>
      <c r="AB47" s="527"/>
      <c r="AC47" s="527"/>
      <c r="AD47" s="527"/>
      <c r="AE47" s="527"/>
      <c r="AF47" s="530"/>
      <c r="AG47" s="527"/>
      <c r="AH47" s="527"/>
      <c r="AI47" s="527"/>
      <c r="AJ47" s="527"/>
      <c r="AK47" s="530"/>
      <c r="AL47" s="527"/>
      <c r="AM47" s="527"/>
      <c r="AN47" s="527"/>
      <c r="AO47" s="527"/>
      <c r="AP47" s="530"/>
      <c r="AQ47" s="129"/>
    </row>
    <row r="48" spans="1:50">
      <c r="A48" s="534"/>
      <c r="B48" s="520"/>
      <c r="C48" s="520"/>
      <c r="D48" s="520"/>
      <c r="E48" s="520"/>
      <c r="F48" s="520"/>
      <c r="G48" s="522"/>
      <c r="H48" s="523"/>
      <c r="I48" s="523"/>
      <c r="J48" s="523"/>
      <c r="K48" s="523"/>
      <c r="L48" s="522"/>
      <c r="M48" s="523"/>
      <c r="N48" s="523"/>
      <c r="O48" s="523"/>
      <c r="P48" s="523"/>
      <c r="Q48" s="522"/>
      <c r="R48" s="523"/>
      <c r="S48" s="523"/>
      <c r="T48" s="523"/>
      <c r="U48" s="522"/>
      <c r="V48" s="526"/>
      <c r="W48" s="527"/>
      <c r="X48" s="527"/>
      <c r="Y48" s="527"/>
      <c r="Z48" s="527"/>
      <c r="AA48" s="535"/>
      <c r="AB48" s="527"/>
      <c r="AC48" s="527"/>
      <c r="AD48" s="527"/>
      <c r="AE48" s="527"/>
      <c r="AF48" s="530"/>
      <c r="AG48" s="527"/>
      <c r="AH48" s="527"/>
      <c r="AI48" s="527"/>
      <c r="AJ48" s="527"/>
      <c r="AK48" s="530"/>
      <c r="AL48" s="527"/>
      <c r="AM48" s="527"/>
      <c r="AN48" s="527"/>
      <c r="AO48" s="527"/>
      <c r="AP48" s="530"/>
      <c r="AQ48" s="129"/>
    </row>
    <row r="49" spans="1:43">
      <c r="A49" t="s">
        <v>270</v>
      </c>
      <c r="B49" s="244">
        <f>G23</f>
        <v>1119085</v>
      </c>
      <c r="C49" s="244"/>
      <c r="D49" s="244"/>
      <c r="E49" s="244"/>
      <c r="F49" s="244"/>
      <c r="G49" s="259">
        <f t="shared" ref="G49:AP49" si="42">G23</f>
        <v>1119085</v>
      </c>
      <c r="H49" s="244"/>
      <c r="I49" s="244"/>
      <c r="J49" s="244"/>
      <c r="K49" s="244"/>
      <c r="L49" s="259">
        <f t="shared" si="42"/>
        <v>1185701</v>
      </c>
      <c r="M49" s="244"/>
      <c r="N49" s="244"/>
      <c r="O49" s="244"/>
      <c r="P49" s="244"/>
      <c r="Q49" s="259">
        <f t="shared" si="42"/>
        <v>1271629</v>
      </c>
      <c r="R49" s="244"/>
      <c r="S49" s="244"/>
      <c r="T49" s="244"/>
      <c r="U49" s="259"/>
      <c r="V49" s="411">
        <f t="shared" si="42"/>
        <v>1417728.9133333333</v>
      </c>
      <c r="W49" s="20"/>
      <c r="X49" s="20"/>
      <c r="Y49" s="20"/>
      <c r="Z49" s="20"/>
      <c r="AA49" s="286">
        <f t="shared" si="42"/>
        <v>1722300</v>
      </c>
      <c r="AB49" s="20"/>
      <c r="AC49" s="20"/>
      <c r="AD49" s="20"/>
      <c r="AE49" s="20"/>
      <c r="AF49" s="272">
        <f t="shared" si="42"/>
        <v>1829800</v>
      </c>
      <c r="AG49" s="20"/>
      <c r="AH49" s="20"/>
      <c r="AI49" s="20"/>
      <c r="AJ49" s="20"/>
      <c r="AK49" s="272">
        <f t="shared" si="42"/>
        <v>1744292.5081248044</v>
      </c>
      <c r="AL49" s="20"/>
      <c r="AM49" s="20"/>
      <c r="AN49" s="20"/>
      <c r="AO49" s="20"/>
      <c r="AP49" s="272">
        <f t="shared" si="42"/>
        <v>1773955.0858279243</v>
      </c>
    </row>
    <row r="50" spans="1:43">
      <c r="A50" t="s">
        <v>271</v>
      </c>
      <c r="B50" s="250">
        <f t="shared" ref="B50:AP50" si="43">B29</f>
        <v>1952600</v>
      </c>
      <c r="C50" s="250"/>
      <c r="D50" s="250"/>
      <c r="E50" s="250"/>
      <c r="F50" s="250"/>
      <c r="G50" s="265">
        <f t="shared" si="43"/>
        <v>1970561</v>
      </c>
      <c r="H50" s="250"/>
      <c r="I50" s="250"/>
      <c r="J50" s="250"/>
      <c r="K50" s="250"/>
      <c r="L50" s="265">
        <f t="shared" si="43"/>
        <v>2072104</v>
      </c>
      <c r="M50" s="250"/>
      <c r="N50" s="250"/>
      <c r="O50" s="250"/>
      <c r="P50" s="250"/>
      <c r="Q50" s="265">
        <f t="shared" si="43"/>
        <v>3039500</v>
      </c>
      <c r="R50" s="250"/>
      <c r="S50" s="250"/>
      <c r="T50" s="250"/>
      <c r="U50" s="265"/>
      <c r="V50" s="418">
        <f t="shared" si="43"/>
        <v>4636757.2499999991</v>
      </c>
      <c r="W50" s="71"/>
      <c r="X50" s="71"/>
      <c r="Y50" s="71"/>
      <c r="Z50" s="71"/>
      <c r="AA50" s="292">
        <f t="shared" si="43"/>
        <v>5069383.6107012089</v>
      </c>
      <c r="AB50" s="71"/>
      <c r="AC50" s="71"/>
      <c r="AD50" s="71"/>
      <c r="AE50" s="71"/>
      <c r="AF50" s="278">
        <f t="shared" si="43"/>
        <v>5269655.9410539744</v>
      </c>
      <c r="AG50" s="71"/>
      <c r="AH50" s="71"/>
      <c r="AI50" s="71"/>
      <c r="AJ50" s="71"/>
      <c r="AK50" s="278">
        <f t="shared" si="43"/>
        <v>5477840.2799239596</v>
      </c>
      <c r="AL50" s="71"/>
      <c r="AM50" s="71"/>
      <c r="AN50" s="71"/>
      <c r="AO50" s="71"/>
      <c r="AP50" s="278">
        <f t="shared" si="43"/>
        <v>5694249.2010884145</v>
      </c>
      <c r="AQ50" s="71"/>
    </row>
    <row r="51" spans="1:43">
      <c r="A51" t="s">
        <v>272</v>
      </c>
      <c r="B51" s="250">
        <f t="shared" ref="B51:AP51" si="44">B43</f>
        <v>296000</v>
      </c>
      <c r="C51" s="250"/>
      <c r="D51" s="250"/>
      <c r="E51" s="250"/>
      <c r="F51" s="250"/>
      <c r="G51" s="265">
        <f t="shared" si="44"/>
        <v>274259</v>
      </c>
      <c r="H51" s="250"/>
      <c r="I51" s="250"/>
      <c r="J51" s="250"/>
      <c r="K51" s="250"/>
      <c r="L51" s="265">
        <f t="shared" si="44"/>
        <v>314118</v>
      </c>
      <c r="M51" s="250"/>
      <c r="N51" s="250"/>
      <c r="O51" s="250"/>
      <c r="P51" s="250"/>
      <c r="Q51" s="265">
        <f t="shared" si="44"/>
        <v>430240</v>
      </c>
      <c r="R51" s="250"/>
      <c r="S51" s="250"/>
      <c r="T51" s="250"/>
      <c r="U51" s="265"/>
      <c r="V51" s="418">
        <f t="shared" si="44"/>
        <v>445439.57250000001</v>
      </c>
      <c r="W51" s="71"/>
      <c r="X51" s="71"/>
      <c r="Y51" s="71"/>
      <c r="Z51" s="71"/>
      <c r="AA51" s="292">
        <f t="shared" si="44"/>
        <v>412744.30787849997</v>
      </c>
      <c r="AB51" s="71"/>
      <c r="AC51" s="71"/>
      <c r="AD51" s="71"/>
      <c r="AE51" s="71"/>
      <c r="AF51" s="278">
        <f t="shared" si="44"/>
        <v>382448.87568021804</v>
      </c>
      <c r="AG51" s="71"/>
      <c r="AH51" s="71"/>
      <c r="AI51" s="71"/>
      <c r="AJ51" s="71"/>
      <c r="AK51" s="278">
        <f t="shared" si="44"/>
        <v>354377.12820529006</v>
      </c>
      <c r="AL51" s="71"/>
      <c r="AM51" s="71"/>
      <c r="AN51" s="71"/>
      <c r="AO51" s="71"/>
      <c r="AP51" s="278">
        <f t="shared" si="44"/>
        <v>328365.8469950218</v>
      </c>
      <c r="AQ51" s="71"/>
    </row>
    <row r="52" spans="1:43">
      <c r="A52" t="s">
        <v>28</v>
      </c>
      <c r="B52" s="249">
        <f>SUM(B49:B51)</f>
        <v>3367685</v>
      </c>
      <c r="C52" s="249"/>
      <c r="D52" s="249"/>
      <c r="E52" s="249"/>
      <c r="F52" s="249"/>
      <c r="G52" s="263">
        <f t="shared" ref="G52:AP52" si="45">SUM(G49:G51)</f>
        <v>3363905</v>
      </c>
      <c r="H52" s="249"/>
      <c r="I52" s="249"/>
      <c r="J52" s="249"/>
      <c r="K52" s="249"/>
      <c r="L52" s="263">
        <f t="shared" si="45"/>
        <v>3571923</v>
      </c>
      <c r="M52" s="249"/>
      <c r="N52" s="249"/>
      <c r="O52" s="249"/>
      <c r="P52" s="249"/>
      <c r="Q52" s="263">
        <f t="shared" si="45"/>
        <v>4741369</v>
      </c>
      <c r="R52" s="249"/>
      <c r="S52" s="249"/>
      <c r="T52" s="249"/>
      <c r="U52" s="432"/>
      <c r="V52" s="415">
        <f t="shared" si="45"/>
        <v>6499925.7358333319</v>
      </c>
      <c r="W52" s="254"/>
      <c r="X52" s="254"/>
      <c r="Y52" s="254"/>
      <c r="Z52" s="254"/>
      <c r="AA52" s="290">
        <f t="shared" si="45"/>
        <v>7204427.9185797088</v>
      </c>
      <c r="AB52" s="254"/>
      <c r="AC52" s="254"/>
      <c r="AD52" s="254"/>
      <c r="AE52" s="254"/>
      <c r="AF52" s="276">
        <f t="shared" si="45"/>
        <v>7481904.8167341929</v>
      </c>
      <c r="AG52" s="254"/>
      <c r="AH52" s="254"/>
      <c r="AI52" s="254"/>
      <c r="AJ52" s="254"/>
      <c r="AK52" s="276">
        <f t="shared" si="45"/>
        <v>7576509.9162540538</v>
      </c>
      <c r="AL52" s="254"/>
      <c r="AM52" s="254"/>
      <c r="AN52" s="254"/>
      <c r="AO52" s="254"/>
      <c r="AP52" s="276">
        <f t="shared" si="45"/>
        <v>7796570.133911361</v>
      </c>
      <c r="AQ52" s="254"/>
    </row>
    <row r="53" spans="1:43">
      <c r="A53" s="257" t="s">
        <v>273</v>
      </c>
      <c r="B53" s="246"/>
      <c r="C53" s="246"/>
      <c r="D53" s="246"/>
      <c r="E53" s="246"/>
      <c r="F53" s="246"/>
      <c r="G53" s="264">
        <f>G52/B52-1</f>
        <v>-1.1224327690980695E-3</v>
      </c>
      <c r="H53" s="248"/>
      <c r="I53" s="248"/>
      <c r="J53" s="248"/>
      <c r="K53" s="248"/>
      <c r="L53" s="264">
        <f>L52/G52-1</f>
        <v>6.1838250485670709E-2</v>
      </c>
      <c r="M53" s="248"/>
      <c r="N53" s="248"/>
      <c r="O53" s="248"/>
      <c r="P53" s="248"/>
      <c r="Q53" s="264">
        <f>Q52/L52-1</f>
        <v>0.32739955480563276</v>
      </c>
      <c r="R53" s="248"/>
      <c r="S53" s="248"/>
      <c r="T53" s="248"/>
      <c r="U53" s="264"/>
      <c r="V53" s="148">
        <f>V52/Q52-1</f>
        <v>0.37089640899776666</v>
      </c>
      <c r="W53" s="38"/>
      <c r="X53" s="38"/>
      <c r="Y53" s="38"/>
      <c r="Z53" s="38"/>
      <c r="AA53" s="288">
        <f>AA52/V52-1</f>
        <v>0.10838618953175705</v>
      </c>
      <c r="AB53" s="38"/>
      <c r="AC53" s="38"/>
      <c r="AD53" s="38"/>
      <c r="AE53" s="38"/>
      <c r="AF53" s="277">
        <f>AF52/AA52-1</f>
        <v>3.8514771927815605E-2</v>
      </c>
      <c r="AG53" s="38"/>
      <c r="AH53" s="38"/>
      <c r="AI53" s="38"/>
      <c r="AJ53" s="38"/>
      <c r="AK53" s="277">
        <f>AK52/AF52-1</f>
        <v>1.2644520591636565E-2</v>
      </c>
      <c r="AL53" s="38"/>
      <c r="AM53" s="38"/>
      <c r="AN53" s="38"/>
      <c r="AO53" s="38"/>
      <c r="AP53" s="277">
        <f t="shared" ref="AP53" si="46">AP52/AK52-1</f>
        <v>2.9045064296056244E-2</v>
      </c>
    </row>
  </sheetData>
  <dataConsolidate/>
  <phoneticPr fontId="7" type="noConversion"/>
  <conditionalFormatting sqref="L22:AP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:AP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AP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95B7-189D-1C4E-B041-3A30A25435A7}">
  <sheetPr>
    <tabColor theme="9" tint="0.79998168889431442"/>
  </sheetPr>
  <dimension ref="B3:S94"/>
  <sheetViews>
    <sheetView topLeftCell="A74" workbookViewId="0">
      <selection activeCell="C100" sqref="C100"/>
    </sheetView>
  </sheetViews>
  <sheetFormatPr defaultColWidth="11" defaultRowHeight="15.95"/>
  <cols>
    <col min="2" max="2" width="30.875" bestFit="1" customWidth="1"/>
  </cols>
  <sheetData>
    <row r="3" spans="2:12" ht="17.100000000000001" thickBot="1">
      <c r="B3" s="445"/>
      <c r="C3" s="445"/>
      <c r="E3" s="445"/>
      <c r="F3" s="445"/>
      <c r="G3" s="446" t="s">
        <v>274</v>
      </c>
      <c r="H3" s="445"/>
      <c r="I3" s="445"/>
      <c r="J3" s="445"/>
      <c r="K3" s="445"/>
      <c r="L3" s="445"/>
    </row>
    <row r="4" spans="2:12" ht="17.100000000000001" thickBot="1">
      <c r="B4" s="445"/>
      <c r="C4" s="445"/>
      <c r="E4" s="445"/>
      <c r="F4" s="445"/>
      <c r="G4" s="478">
        <f>'WACC '!C26</f>
        <v>63.18</v>
      </c>
      <c r="H4" s="445"/>
      <c r="I4" s="445"/>
      <c r="J4" s="445"/>
      <c r="K4" s="445"/>
      <c r="L4" s="445"/>
    </row>
    <row r="5" spans="2:12">
      <c r="B5" s="445"/>
      <c r="C5" s="445"/>
      <c r="D5" s="445"/>
      <c r="E5" s="445"/>
      <c r="F5" s="445"/>
      <c r="G5" s="445"/>
      <c r="H5" s="445"/>
      <c r="I5" s="445"/>
      <c r="J5" s="445"/>
      <c r="K5" s="445"/>
      <c r="L5" s="445"/>
    </row>
    <row r="6" spans="2:12">
      <c r="B6" s="447" t="s">
        <v>275</v>
      </c>
      <c r="C6" s="445"/>
      <c r="D6" s="445"/>
      <c r="E6" s="445"/>
      <c r="F6" s="445"/>
      <c r="G6" s="445"/>
      <c r="H6" s="445"/>
      <c r="I6" s="445"/>
      <c r="J6" s="445"/>
      <c r="K6" s="445"/>
      <c r="L6" s="445"/>
    </row>
    <row r="7" spans="2:12">
      <c r="B7" s="448" t="s">
        <v>276</v>
      </c>
      <c r="C7" s="449"/>
      <c r="D7" s="449"/>
      <c r="E7" s="449"/>
      <c r="F7" s="449"/>
      <c r="G7" s="449"/>
      <c r="H7" s="449"/>
      <c r="I7" s="449"/>
      <c r="J7" s="449"/>
      <c r="K7" s="449"/>
      <c r="L7" s="450"/>
    </row>
    <row r="8" spans="2:12">
      <c r="B8" s="482"/>
      <c r="C8" s="473"/>
      <c r="D8" s="474"/>
      <c r="E8" s="474"/>
      <c r="F8" s="483"/>
      <c r="G8" s="484"/>
      <c r="H8" s="483"/>
      <c r="I8" s="474"/>
      <c r="J8" s="656" t="s">
        <v>277</v>
      </c>
      <c r="K8" s="656"/>
      <c r="L8" s="657"/>
    </row>
    <row r="9" spans="2:12">
      <c r="B9" s="485"/>
      <c r="C9" s="475"/>
      <c r="D9" s="476" t="s">
        <v>278</v>
      </c>
      <c r="E9" s="475"/>
      <c r="F9" s="476"/>
      <c r="G9" s="476"/>
      <c r="H9" s="476"/>
      <c r="I9" s="475"/>
      <c r="J9" s="477" t="s">
        <v>279</v>
      </c>
      <c r="K9" s="477" t="s">
        <v>38</v>
      </c>
      <c r="L9" s="486" t="s">
        <v>280</v>
      </c>
    </row>
    <row r="10" spans="2:12">
      <c r="B10" s="451" t="s">
        <v>281</v>
      </c>
      <c r="C10" s="451"/>
      <c r="D10" s="452">
        <f>'Operating Model'!F10</f>
        <v>4741369</v>
      </c>
      <c r="E10" s="451"/>
      <c r="F10" s="453"/>
      <c r="G10" s="454"/>
      <c r="H10" s="453"/>
      <c r="I10" s="451"/>
      <c r="J10" s="479">
        <v>2.5</v>
      </c>
      <c r="K10" s="480"/>
      <c r="L10" s="481">
        <v>4.5</v>
      </c>
    </row>
    <row r="11" spans="2:12">
      <c r="B11" s="447" t="s">
        <v>282</v>
      </c>
      <c r="C11" s="447"/>
      <c r="D11" s="447"/>
      <c r="E11" s="447"/>
      <c r="F11" s="447"/>
      <c r="G11" s="447"/>
      <c r="H11" s="447"/>
      <c r="I11" s="447"/>
      <c r="J11" s="455">
        <f>J10*D10</f>
        <v>11853422.5</v>
      </c>
      <c r="K11" s="456"/>
      <c r="L11" s="455">
        <f>D10*L10</f>
        <v>21336160.5</v>
      </c>
    </row>
    <row r="12" spans="2:12">
      <c r="B12" s="445" t="s">
        <v>283</v>
      </c>
      <c r="C12" s="445"/>
      <c r="D12" s="445"/>
      <c r="E12" s="445"/>
      <c r="F12" s="445"/>
      <c r="G12" s="445"/>
      <c r="H12" s="445"/>
      <c r="I12" s="445"/>
      <c r="J12" s="457">
        <f>'DCF Analysis'!C43</f>
        <v>3074171</v>
      </c>
      <c r="K12" s="455"/>
      <c r="L12" s="457">
        <f>'DCF Analysis'!C43</f>
        <v>3074171</v>
      </c>
    </row>
    <row r="13" spans="2:12">
      <c r="B13" s="445" t="s">
        <v>284</v>
      </c>
      <c r="C13" s="445"/>
      <c r="D13" s="445"/>
      <c r="E13" s="445"/>
      <c r="F13" s="445"/>
      <c r="G13" s="445"/>
      <c r="H13" s="445"/>
      <c r="I13" s="445"/>
      <c r="J13" s="458">
        <v>0</v>
      </c>
      <c r="K13" s="457"/>
      <c r="L13" s="458">
        <v>0</v>
      </c>
    </row>
    <row r="14" spans="2:12">
      <c r="B14" s="451" t="s">
        <v>285</v>
      </c>
      <c r="C14" s="451"/>
      <c r="D14" s="451"/>
      <c r="E14" s="451"/>
      <c r="F14" s="451"/>
      <c r="G14" s="451"/>
      <c r="H14" s="451"/>
      <c r="I14" s="451"/>
      <c r="J14" s="459">
        <v>0</v>
      </c>
      <c r="K14" s="460"/>
      <c r="L14" s="459">
        <v>0</v>
      </c>
    </row>
    <row r="15" spans="2:12">
      <c r="B15" s="447" t="s">
        <v>286</v>
      </c>
      <c r="C15" s="447"/>
      <c r="D15" s="447"/>
      <c r="E15" s="447"/>
      <c r="F15" s="447"/>
      <c r="G15" s="447"/>
      <c r="H15" s="447"/>
      <c r="I15" s="447"/>
      <c r="J15" s="461">
        <f>J11-J12</f>
        <v>8779251.5</v>
      </c>
      <c r="K15" s="461"/>
      <c r="L15" s="461">
        <f>L11-L12</f>
        <v>18261989.5</v>
      </c>
    </row>
    <row r="16" spans="2:12">
      <c r="B16" s="451" t="s">
        <v>287</v>
      </c>
      <c r="C16" s="451"/>
      <c r="D16" s="451"/>
      <c r="E16" s="451"/>
      <c r="F16" s="451"/>
      <c r="G16" s="451"/>
      <c r="H16" s="451"/>
      <c r="I16" s="451"/>
      <c r="J16" s="462">
        <f>'DCF Analysis'!C12</f>
        <v>162236.32760921179</v>
      </c>
      <c r="K16" s="460"/>
      <c r="L16" s="462">
        <f>'DCF Analysis'!C12</f>
        <v>162236.32760921179</v>
      </c>
    </row>
    <row r="17" spans="2:12">
      <c r="B17" s="447" t="s">
        <v>288</v>
      </c>
      <c r="C17" s="447"/>
      <c r="D17" s="447"/>
      <c r="E17" s="447"/>
      <c r="F17" s="447"/>
      <c r="G17" s="447"/>
      <c r="H17" s="447"/>
      <c r="I17" s="447"/>
      <c r="J17" s="463">
        <f>J15/J16</f>
        <v>54.113968365624629</v>
      </c>
      <c r="K17" s="464"/>
      <c r="L17" s="463">
        <f>L15/L16</f>
        <v>112.56412031212103</v>
      </c>
    </row>
    <row r="18" spans="2:12">
      <c r="B18" s="445" t="s">
        <v>289</v>
      </c>
      <c r="C18" s="445"/>
      <c r="D18" s="445"/>
      <c r="E18" s="445"/>
      <c r="F18" s="445"/>
      <c r="G18" s="445"/>
      <c r="H18" s="445"/>
      <c r="I18" s="445"/>
      <c r="J18" s="465">
        <f>J17/G4-1</f>
        <v>-0.14349527753047442</v>
      </c>
      <c r="K18" s="465"/>
      <c r="L18" s="465">
        <f>L17/G4-1</f>
        <v>0.78164166369295707</v>
      </c>
    </row>
    <row r="19" spans="2:12" ht="17.100000000000001" thickBot="1">
      <c r="B19" s="466"/>
      <c r="C19" s="466"/>
      <c r="D19" s="466"/>
      <c r="E19" s="466"/>
      <c r="F19" s="466"/>
      <c r="G19" s="466"/>
      <c r="H19" s="466"/>
      <c r="I19" s="466"/>
      <c r="J19" s="467"/>
      <c r="K19" s="467"/>
      <c r="L19" s="467"/>
    </row>
    <row r="20" spans="2:12">
      <c r="B20" s="445"/>
      <c r="C20" s="445"/>
      <c r="D20" s="445"/>
      <c r="E20" s="445"/>
      <c r="F20" s="445"/>
      <c r="G20" s="445"/>
      <c r="H20" s="445"/>
      <c r="I20" s="445"/>
      <c r="J20" s="455"/>
      <c r="K20" s="455"/>
      <c r="L20" s="455"/>
    </row>
    <row r="21" spans="2:12">
      <c r="B21" s="447" t="s">
        <v>290</v>
      </c>
      <c r="C21" s="445"/>
      <c r="D21" s="445"/>
      <c r="E21" s="445"/>
      <c r="F21" s="445"/>
      <c r="G21" s="445"/>
      <c r="H21" s="445"/>
      <c r="I21" s="445"/>
      <c r="J21" s="455"/>
      <c r="K21" s="455"/>
      <c r="L21" s="455"/>
    </row>
    <row r="22" spans="2:12">
      <c r="B22" s="448" t="s">
        <v>276</v>
      </c>
      <c r="C22" s="449"/>
      <c r="D22" s="449"/>
      <c r="E22" s="449"/>
      <c r="F22" s="449"/>
      <c r="G22" s="449"/>
      <c r="H22" s="449"/>
      <c r="I22" s="449"/>
      <c r="J22" s="468"/>
      <c r="K22" s="468"/>
      <c r="L22" s="469"/>
    </row>
    <row r="23" spans="2:12">
      <c r="B23" s="482"/>
      <c r="C23" s="473"/>
      <c r="D23" s="474"/>
      <c r="E23" s="474"/>
      <c r="F23" s="483"/>
      <c r="G23" s="484"/>
      <c r="H23" s="483"/>
      <c r="I23" s="474"/>
      <c r="J23" s="656" t="s">
        <v>277</v>
      </c>
      <c r="K23" s="656"/>
      <c r="L23" s="657"/>
    </row>
    <row r="24" spans="2:12">
      <c r="B24" s="485"/>
      <c r="C24" s="475"/>
      <c r="D24" s="476" t="s">
        <v>278</v>
      </c>
      <c r="E24" s="475"/>
      <c r="F24" s="476"/>
      <c r="G24" s="476"/>
      <c r="H24" s="476"/>
      <c r="I24" s="475"/>
      <c r="J24" s="477" t="s">
        <v>279</v>
      </c>
      <c r="K24" s="477" t="s">
        <v>38</v>
      </c>
      <c r="L24" s="486" t="s">
        <v>280</v>
      </c>
    </row>
    <row r="25" spans="2:12">
      <c r="B25" s="451" t="s">
        <v>291</v>
      </c>
      <c r="C25" s="451"/>
      <c r="D25" s="452">
        <f>'Operating Model'!F39+'Operating Model'!F153</f>
        <v>1200857</v>
      </c>
      <c r="E25" s="451"/>
      <c r="F25" s="453"/>
      <c r="G25" s="454"/>
      <c r="H25" s="453"/>
      <c r="I25" s="451"/>
      <c r="J25" s="479">
        <v>12</v>
      </c>
      <c r="K25" s="480"/>
      <c r="L25" s="481">
        <v>17</v>
      </c>
    </row>
    <row r="26" spans="2:12">
      <c r="B26" s="447" t="s">
        <v>282</v>
      </c>
      <c r="C26" s="447"/>
      <c r="D26" s="447"/>
      <c r="E26" s="447"/>
      <c r="F26" s="447"/>
      <c r="G26" s="447"/>
      <c r="H26" s="447"/>
      <c r="I26" s="447"/>
      <c r="J26" s="455">
        <f>D25*J25</f>
        <v>14410284</v>
      </c>
      <c r="K26" s="456"/>
      <c r="L26" s="455">
        <f>D25*L25</f>
        <v>20414569</v>
      </c>
    </row>
    <row r="27" spans="2:12">
      <c r="B27" s="445" t="s">
        <v>283</v>
      </c>
      <c r="C27" s="445"/>
      <c r="D27" s="445"/>
      <c r="E27" s="445"/>
      <c r="F27" s="445"/>
      <c r="G27" s="445"/>
      <c r="H27" s="445"/>
      <c r="I27" s="445"/>
      <c r="J27" s="457">
        <f>J12</f>
        <v>3074171</v>
      </c>
      <c r="K27" s="455"/>
      <c r="L27" s="457">
        <f>L12</f>
        <v>3074171</v>
      </c>
    </row>
    <row r="28" spans="2:12">
      <c r="B28" s="445" t="s">
        <v>284</v>
      </c>
      <c r="C28" s="445"/>
      <c r="D28" s="445"/>
      <c r="E28" s="445"/>
      <c r="F28" s="445"/>
      <c r="G28" s="445"/>
      <c r="H28" s="445"/>
      <c r="I28" s="445"/>
      <c r="J28" s="458">
        <v>0</v>
      </c>
      <c r="K28" s="457"/>
      <c r="L28" s="458">
        <v>0</v>
      </c>
    </row>
    <row r="29" spans="2:12">
      <c r="B29" s="451" t="s">
        <v>285</v>
      </c>
      <c r="C29" s="451"/>
      <c r="D29" s="451"/>
      <c r="E29" s="451"/>
      <c r="F29" s="451"/>
      <c r="G29" s="451"/>
      <c r="H29" s="451"/>
      <c r="I29" s="451"/>
      <c r="J29" s="459">
        <v>0</v>
      </c>
      <c r="K29" s="460"/>
      <c r="L29" s="459">
        <v>0</v>
      </c>
    </row>
    <row r="30" spans="2:12">
      <c r="B30" s="447" t="s">
        <v>286</v>
      </c>
      <c r="C30" s="447"/>
      <c r="D30" s="447"/>
      <c r="E30" s="447"/>
      <c r="F30" s="447"/>
      <c r="G30" s="447"/>
      <c r="H30" s="447"/>
      <c r="I30" s="447"/>
      <c r="J30" s="461">
        <f>J26-J27</f>
        <v>11336113</v>
      </c>
      <c r="K30" s="461"/>
      <c r="L30" s="461">
        <f t="shared" ref="L30" si="0">L26-L27</f>
        <v>17340398</v>
      </c>
    </row>
    <row r="31" spans="2:12">
      <c r="B31" s="451" t="s">
        <v>287</v>
      </c>
      <c r="C31" s="451"/>
      <c r="D31" s="451"/>
      <c r="E31" s="451"/>
      <c r="F31" s="451"/>
      <c r="G31" s="451"/>
      <c r="H31" s="451"/>
      <c r="I31" s="451"/>
      <c r="J31" s="462">
        <f>J16</f>
        <v>162236.32760921179</v>
      </c>
      <c r="K31" s="460"/>
      <c r="L31" s="462">
        <f>L16</f>
        <v>162236.32760921179</v>
      </c>
    </row>
    <row r="32" spans="2:12">
      <c r="B32" s="447" t="s">
        <v>288</v>
      </c>
      <c r="C32" s="447"/>
      <c r="D32" s="447"/>
      <c r="E32" s="447"/>
      <c r="F32" s="447"/>
      <c r="G32" s="447"/>
      <c r="H32" s="447"/>
      <c r="I32" s="447"/>
      <c r="J32" s="470">
        <f>J30/J31</f>
        <v>69.874073008518565</v>
      </c>
      <c r="K32" s="471"/>
      <c r="L32" s="470">
        <f>L30/L31</f>
        <v>106.88357074852458</v>
      </c>
    </row>
    <row r="33" spans="2:12">
      <c r="B33" s="445" t="s">
        <v>289</v>
      </c>
      <c r="C33" s="445"/>
      <c r="D33" s="445"/>
      <c r="E33" s="445"/>
      <c r="F33" s="445"/>
      <c r="G33" s="445"/>
      <c r="H33" s="445"/>
      <c r="I33" s="445"/>
      <c r="J33" s="465">
        <f>J32/G4-1</f>
        <v>0.1059524059594581</v>
      </c>
      <c r="K33" s="465"/>
      <c r="L33" s="465">
        <f>L32/G4-1</f>
        <v>0.69173109763413376</v>
      </c>
    </row>
    <row r="34" spans="2:12" ht="17.100000000000001" thickBot="1">
      <c r="B34" s="466"/>
      <c r="C34" s="466"/>
      <c r="D34" s="466"/>
      <c r="E34" s="466"/>
      <c r="F34" s="466"/>
      <c r="G34" s="466"/>
      <c r="H34" s="466"/>
      <c r="I34" s="466"/>
      <c r="J34" s="467"/>
      <c r="K34" s="467"/>
      <c r="L34" s="467"/>
    </row>
    <row r="35" spans="2:12">
      <c r="B35" s="445"/>
      <c r="C35" s="445"/>
      <c r="D35" s="445"/>
      <c r="E35" s="445"/>
      <c r="F35" s="445"/>
      <c r="G35" s="445"/>
      <c r="H35" s="445"/>
      <c r="I35" s="445"/>
      <c r="J35" s="455"/>
      <c r="K35" s="455"/>
      <c r="L35" s="455"/>
    </row>
    <row r="36" spans="2:12">
      <c r="B36" s="447" t="s">
        <v>292</v>
      </c>
      <c r="C36" s="445"/>
      <c r="D36" s="445"/>
      <c r="E36" s="445"/>
      <c r="F36" s="445"/>
      <c r="G36" s="445"/>
      <c r="H36" s="445"/>
      <c r="I36" s="445"/>
      <c r="J36" s="445"/>
      <c r="K36" s="445"/>
      <c r="L36" s="445"/>
    </row>
    <row r="37" spans="2:12">
      <c r="B37" s="448" t="s">
        <v>276</v>
      </c>
      <c r="C37" s="449"/>
      <c r="D37" s="449"/>
      <c r="E37" s="449"/>
      <c r="F37" s="449"/>
      <c r="G37" s="449"/>
      <c r="H37" s="449"/>
      <c r="I37" s="449"/>
      <c r="J37" s="449"/>
      <c r="K37" s="449"/>
      <c r="L37" s="450"/>
    </row>
    <row r="38" spans="2:12">
      <c r="B38" s="482"/>
      <c r="C38" s="473"/>
      <c r="D38" s="474"/>
      <c r="E38" s="474"/>
      <c r="F38" s="483"/>
      <c r="G38" s="484"/>
      <c r="H38" s="483"/>
      <c r="I38" s="474"/>
      <c r="J38" s="656" t="s">
        <v>277</v>
      </c>
      <c r="K38" s="656"/>
      <c r="L38" s="657"/>
    </row>
    <row r="39" spans="2:12">
      <c r="B39" s="485"/>
      <c r="C39" s="475"/>
      <c r="D39" s="476" t="s">
        <v>278</v>
      </c>
      <c r="E39" s="475"/>
      <c r="F39" s="476"/>
      <c r="G39" s="476"/>
      <c r="H39" s="476"/>
      <c r="I39" s="475"/>
      <c r="J39" s="477" t="s">
        <v>279</v>
      </c>
      <c r="K39" s="477" t="s">
        <v>38</v>
      </c>
      <c r="L39" s="486" t="s">
        <v>280</v>
      </c>
    </row>
    <row r="40" spans="2:12">
      <c r="B40" s="451" t="s">
        <v>293</v>
      </c>
      <c r="C40" s="451"/>
      <c r="D40" s="452">
        <f>'Operating Model'!F59</f>
        <v>4.0121347024563754</v>
      </c>
      <c r="E40" s="451"/>
      <c r="F40" s="453"/>
      <c r="G40" s="454"/>
      <c r="H40" s="453"/>
      <c r="I40" s="451"/>
      <c r="J40" s="479">
        <v>15</v>
      </c>
      <c r="K40" s="480"/>
      <c r="L40" s="481">
        <v>20</v>
      </c>
    </row>
    <row r="41" spans="2:12">
      <c r="B41" s="447" t="s">
        <v>282</v>
      </c>
      <c r="C41" s="447"/>
      <c r="D41" s="447"/>
      <c r="E41" s="447"/>
      <c r="F41" s="447"/>
      <c r="G41" s="447"/>
      <c r="H41" s="447"/>
      <c r="I41" s="447"/>
      <c r="J41" s="455">
        <f>J45+J42</f>
        <v>12837881</v>
      </c>
      <c r="K41" s="456"/>
      <c r="L41" s="455">
        <f>L45+L42</f>
        <v>16092451</v>
      </c>
    </row>
    <row r="42" spans="2:12">
      <c r="B42" s="445" t="s">
        <v>283</v>
      </c>
      <c r="C42" s="445"/>
      <c r="D42" s="445"/>
      <c r="E42" s="445"/>
      <c r="F42" s="445"/>
      <c r="G42" s="445"/>
      <c r="H42" s="445"/>
      <c r="I42" s="445"/>
      <c r="J42" s="457">
        <f>J72</f>
        <v>3074171</v>
      </c>
      <c r="K42" s="455"/>
      <c r="L42" s="457">
        <f>L72</f>
        <v>3074171</v>
      </c>
    </row>
    <row r="43" spans="2:12">
      <c r="B43" s="445" t="s">
        <v>284</v>
      </c>
      <c r="C43" s="445"/>
      <c r="D43" s="445"/>
      <c r="E43" s="445"/>
      <c r="F43" s="445"/>
      <c r="G43" s="445"/>
      <c r="H43" s="445"/>
      <c r="I43" s="445"/>
      <c r="J43" s="458">
        <v>0</v>
      </c>
      <c r="K43" s="457"/>
      <c r="L43" s="458">
        <v>0</v>
      </c>
    </row>
    <row r="44" spans="2:12">
      <c r="B44" s="451" t="s">
        <v>285</v>
      </c>
      <c r="C44" s="451"/>
      <c r="D44" s="451"/>
      <c r="E44" s="451"/>
      <c r="F44" s="451"/>
      <c r="G44" s="451"/>
      <c r="H44" s="451"/>
      <c r="I44" s="451"/>
      <c r="J44" s="459">
        <v>0</v>
      </c>
      <c r="K44" s="460"/>
      <c r="L44" s="459">
        <v>0</v>
      </c>
    </row>
    <row r="45" spans="2:12">
      <c r="B45" s="447" t="s">
        <v>286</v>
      </c>
      <c r="C45" s="447"/>
      <c r="D45" s="447"/>
      <c r="E45" s="447"/>
      <c r="F45" s="447"/>
      <c r="G45" s="447"/>
      <c r="H45" s="447"/>
      <c r="I45" s="447"/>
      <c r="J45" s="461">
        <f>J47*J46</f>
        <v>9763710</v>
      </c>
      <c r="K45" s="461"/>
      <c r="L45" s="461">
        <f>L47*L46</f>
        <v>13018280</v>
      </c>
    </row>
    <row r="46" spans="2:12">
      <c r="B46" s="451" t="s">
        <v>287</v>
      </c>
      <c r="C46" s="451"/>
      <c r="D46" s="451"/>
      <c r="E46" s="451"/>
      <c r="F46" s="451"/>
      <c r="G46" s="451"/>
      <c r="H46" s="451"/>
      <c r="I46" s="451"/>
      <c r="J46" s="462">
        <f>J76</f>
        <v>162236.32760921179</v>
      </c>
      <c r="K46" s="460"/>
      <c r="L46" s="462">
        <f>L76</f>
        <v>162236.32760921179</v>
      </c>
    </row>
    <row r="47" spans="2:12">
      <c r="B47" s="447" t="s">
        <v>288</v>
      </c>
      <c r="C47" s="447"/>
      <c r="D47" s="447"/>
      <c r="E47" s="447"/>
      <c r="F47" s="447"/>
      <c r="G47" s="447"/>
      <c r="H47" s="447"/>
      <c r="I47" s="447"/>
      <c r="J47" s="470">
        <f>D40*J40</f>
        <v>60.182020536845627</v>
      </c>
      <c r="K47" s="471"/>
      <c r="L47" s="470">
        <f>D40*L40</f>
        <v>80.242694049127508</v>
      </c>
    </row>
    <row r="48" spans="2:12">
      <c r="B48" s="445" t="s">
        <v>289</v>
      </c>
      <c r="C48" s="445"/>
      <c r="D48" s="445"/>
      <c r="E48" s="445"/>
      <c r="F48" s="445"/>
      <c r="G48" s="445"/>
      <c r="H48" s="445"/>
      <c r="I48" s="445"/>
      <c r="J48" s="465">
        <f>J47/G4-1</f>
        <v>-4.7451400176549141E-2</v>
      </c>
      <c r="K48" s="465"/>
      <c r="L48" s="465">
        <f>L47/G4-1</f>
        <v>0.27006479976460129</v>
      </c>
    </row>
    <row r="49" spans="2:12" ht="17.100000000000001" thickBot="1">
      <c r="B49" s="466"/>
      <c r="C49" s="466"/>
      <c r="D49" s="466"/>
      <c r="E49" s="466"/>
      <c r="F49" s="466"/>
      <c r="G49" s="466"/>
      <c r="H49" s="466"/>
      <c r="I49" s="466"/>
      <c r="J49" s="467"/>
      <c r="K49" s="467"/>
      <c r="L49" s="467"/>
    </row>
    <row r="50" spans="2:12">
      <c r="B50" s="445"/>
      <c r="C50" s="445"/>
      <c r="D50" s="445"/>
      <c r="E50" s="445"/>
      <c r="F50" s="445"/>
      <c r="G50" s="445"/>
      <c r="H50" s="445"/>
      <c r="I50" s="445"/>
      <c r="J50" s="455"/>
      <c r="K50" s="455"/>
      <c r="L50" s="455"/>
    </row>
    <row r="51" spans="2:12">
      <c r="B51" s="447" t="s">
        <v>294</v>
      </c>
      <c r="C51" s="445"/>
      <c r="D51" s="445"/>
      <c r="E51" s="445"/>
      <c r="F51" s="445"/>
      <c r="G51" s="445"/>
      <c r="H51" s="445"/>
      <c r="I51" s="445"/>
      <c r="J51" s="455"/>
      <c r="K51" s="455"/>
      <c r="L51" s="455"/>
    </row>
    <row r="52" spans="2:12">
      <c r="B52" s="448" t="s">
        <v>276</v>
      </c>
      <c r="C52" s="449"/>
      <c r="D52" s="449"/>
      <c r="E52" s="449"/>
      <c r="F52" s="449"/>
      <c r="G52" s="449"/>
      <c r="H52" s="449"/>
      <c r="I52" s="449"/>
      <c r="J52" s="468"/>
      <c r="K52" s="468"/>
      <c r="L52" s="469"/>
    </row>
    <row r="53" spans="2:12">
      <c r="B53" s="482"/>
      <c r="C53" s="473"/>
      <c r="D53" s="474"/>
      <c r="E53" s="474"/>
      <c r="F53" s="483"/>
      <c r="G53" s="484"/>
      <c r="H53" s="483"/>
      <c r="I53" s="474"/>
      <c r="J53" s="656" t="s">
        <v>277</v>
      </c>
      <c r="K53" s="656"/>
      <c r="L53" s="657"/>
    </row>
    <row r="54" spans="2:12">
      <c r="B54" s="485"/>
      <c r="C54" s="475"/>
      <c r="D54" s="476" t="s">
        <v>278</v>
      </c>
      <c r="E54" s="475"/>
      <c r="F54" s="476"/>
      <c r="G54" s="476"/>
      <c r="H54" s="476"/>
      <c r="I54" s="475"/>
      <c r="J54" s="477" t="s">
        <v>279</v>
      </c>
      <c r="K54" s="477" t="s">
        <v>38</v>
      </c>
      <c r="L54" s="486" t="s">
        <v>280</v>
      </c>
    </row>
    <row r="55" spans="2:12">
      <c r="B55" s="451" t="s">
        <v>295</v>
      </c>
      <c r="C55" s="451"/>
      <c r="D55" s="452">
        <f>'Operating Model'!G10</f>
        <v>6499925.7358333319</v>
      </c>
      <c r="E55" s="451"/>
      <c r="F55" s="453"/>
      <c r="G55" s="454"/>
      <c r="H55" s="453"/>
      <c r="I55" s="451"/>
      <c r="J55" s="479">
        <f>J10</f>
        <v>2.5</v>
      </c>
      <c r="K55" s="480"/>
      <c r="L55" s="481">
        <f>L10</f>
        <v>4.5</v>
      </c>
    </row>
    <row r="56" spans="2:12">
      <c r="B56" s="447" t="s">
        <v>282</v>
      </c>
      <c r="C56" s="447"/>
      <c r="D56" s="447"/>
      <c r="E56" s="447"/>
      <c r="F56" s="447"/>
      <c r="G56" s="447"/>
      <c r="H56" s="447"/>
      <c r="I56" s="447"/>
      <c r="J56" s="455">
        <f>J55*D55</f>
        <v>16249814.33958333</v>
      </c>
      <c r="K56" s="456"/>
      <c r="L56" s="455">
        <f>D55*L55</f>
        <v>29249665.811249994</v>
      </c>
    </row>
    <row r="57" spans="2:12">
      <c r="B57" s="445" t="s">
        <v>283</v>
      </c>
      <c r="C57" s="445"/>
      <c r="D57" s="445"/>
      <c r="E57" s="445"/>
      <c r="F57" s="445"/>
      <c r="G57" s="445"/>
      <c r="H57" s="445"/>
      <c r="I57" s="445"/>
      <c r="J57" s="457">
        <f>J12</f>
        <v>3074171</v>
      </c>
      <c r="K57" s="455"/>
      <c r="L57" s="457">
        <f>L12</f>
        <v>3074171</v>
      </c>
    </row>
    <row r="58" spans="2:12">
      <c r="B58" s="445" t="s">
        <v>284</v>
      </c>
      <c r="C58" s="445"/>
      <c r="D58" s="445"/>
      <c r="E58" s="445"/>
      <c r="F58" s="445"/>
      <c r="G58" s="445"/>
      <c r="H58" s="445"/>
      <c r="I58" s="445"/>
      <c r="J58" s="458">
        <v>0</v>
      </c>
      <c r="K58" s="457"/>
      <c r="L58" s="458">
        <v>0</v>
      </c>
    </row>
    <row r="59" spans="2:12">
      <c r="B59" s="451" t="s">
        <v>285</v>
      </c>
      <c r="C59" s="451"/>
      <c r="D59" s="451"/>
      <c r="E59" s="451"/>
      <c r="F59" s="451"/>
      <c r="G59" s="451"/>
      <c r="H59" s="451"/>
      <c r="I59" s="451"/>
      <c r="J59" s="459">
        <v>0</v>
      </c>
      <c r="K59" s="460"/>
      <c r="L59" s="459">
        <v>0</v>
      </c>
    </row>
    <row r="60" spans="2:12">
      <c r="B60" s="447" t="s">
        <v>286</v>
      </c>
      <c r="C60" s="447"/>
      <c r="D60" s="447"/>
      <c r="E60" s="447"/>
      <c r="F60" s="447"/>
      <c r="G60" s="447"/>
      <c r="H60" s="447"/>
      <c r="I60" s="447"/>
      <c r="J60" s="461">
        <f>J56-J57</f>
        <v>13175643.33958333</v>
      </c>
      <c r="K60" s="461"/>
      <c r="L60" s="461">
        <f>L56-L57</f>
        <v>26175494.811249994</v>
      </c>
    </row>
    <row r="61" spans="2:12">
      <c r="B61" s="451" t="s">
        <v>287</v>
      </c>
      <c r="C61" s="451"/>
      <c r="D61" s="451"/>
      <c r="E61" s="451"/>
      <c r="F61" s="451"/>
      <c r="G61" s="451"/>
      <c r="H61" s="451"/>
      <c r="I61" s="451"/>
      <c r="J61" s="462">
        <f>J16</f>
        <v>162236.32760921179</v>
      </c>
      <c r="K61" s="460"/>
      <c r="L61" s="462">
        <f>L16</f>
        <v>162236.32760921179</v>
      </c>
    </row>
    <row r="62" spans="2:12">
      <c r="B62" s="447" t="s">
        <v>288</v>
      </c>
      <c r="C62" s="447"/>
      <c r="D62" s="447"/>
      <c r="E62" s="447"/>
      <c r="F62" s="447"/>
      <c r="G62" s="447"/>
      <c r="H62" s="447"/>
      <c r="I62" s="447"/>
      <c r="J62" s="463">
        <f>J60/J61</f>
        <v>81.2126576935363</v>
      </c>
      <c r="K62" s="464"/>
      <c r="L62" s="463">
        <f>L60/L61</f>
        <v>161.34176110236206</v>
      </c>
    </row>
    <row r="63" spans="2:12">
      <c r="B63" s="445" t="s">
        <v>289</v>
      </c>
      <c r="C63" s="445"/>
      <c r="D63" s="445"/>
      <c r="E63" s="445"/>
      <c r="F63" s="445"/>
      <c r="G63" s="445"/>
      <c r="H63" s="445"/>
      <c r="I63" s="445"/>
      <c r="J63" s="465">
        <f>J62/G4-1</f>
        <v>0.28541718413321138</v>
      </c>
      <c r="K63" s="465"/>
      <c r="L63" s="465">
        <f>L62/G4-1</f>
        <v>1.5536840946875921</v>
      </c>
    </row>
    <row r="64" spans="2:12" ht="17.100000000000001" thickBot="1">
      <c r="B64" s="466"/>
      <c r="C64" s="466"/>
      <c r="D64" s="466"/>
      <c r="E64" s="466"/>
      <c r="F64" s="466"/>
      <c r="G64" s="466"/>
      <c r="H64" s="466"/>
      <c r="I64" s="466"/>
      <c r="J64" s="467"/>
      <c r="K64" s="467"/>
      <c r="L64" s="467"/>
    </row>
    <row r="65" spans="2:12">
      <c r="B65" s="118"/>
      <c r="C65" s="118"/>
      <c r="D65" s="118"/>
      <c r="E65" s="118"/>
      <c r="F65" s="118"/>
      <c r="G65" s="118"/>
      <c r="H65" s="118"/>
      <c r="I65" s="118"/>
      <c r="J65" s="472"/>
      <c r="K65" s="472"/>
      <c r="L65" s="472"/>
    </row>
    <row r="66" spans="2:12">
      <c r="B66" s="447" t="s">
        <v>296</v>
      </c>
      <c r="C66" s="445"/>
      <c r="D66" s="445"/>
      <c r="E66" s="445"/>
      <c r="F66" s="445"/>
      <c r="G66" s="445"/>
      <c r="H66" s="445"/>
      <c r="I66" s="445"/>
      <c r="J66" s="455"/>
      <c r="K66" s="455"/>
      <c r="L66" s="455"/>
    </row>
    <row r="67" spans="2:12">
      <c r="B67" s="448" t="s">
        <v>276</v>
      </c>
      <c r="C67" s="449"/>
      <c r="D67" s="449"/>
      <c r="E67" s="449"/>
      <c r="F67" s="449"/>
      <c r="G67" s="449"/>
      <c r="H67" s="449"/>
      <c r="I67" s="449"/>
      <c r="J67" s="468"/>
      <c r="K67" s="468"/>
      <c r="L67" s="469"/>
    </row>
    <row r="68" spans="2:12">
      <c r="B68" s="482"/>
      <c r="C68" s="473"/>
      <c r="D68" s="474"/>
      <c r="E68" s="474"/>
      <c r="F68" s="483"/>
      <c r="G68" s="484"/>
      <c r="H68" s="483"/>
      <c r="I68" s="474"/>
      <c r="J68" s="656" t="s">
        <v>277</v>
      </c>
      <c r="K68" s="656"/>
      <c r="L68" s="657"/>
    </row>
    <row r="69" spans="2:12">
      <c r="B69" s="485"/>
      <c r="C69" s="475"/>
      <c r="D69" s="476" t="s">
        <v>278</v>
      </c>
      <c r="E69" s="475"/>
      <c r="F69" s="476"/>
      <c r="G69" s="476"/>
      <c r="H69" s="476"/>
      <c r="I69" s="475"/>
      <c r="J69" s="477" t="s">
        <v>279</v>
      </c>
      <c r="K69" s="477" t="s">
        <v>38</v>
      </c>
      <c r="L69" s="486" t="s">
        <v>280</v>
      </c>
    </row>
    <row r="70" spans="2:12">
      <c r="B70" s="451" t="s">
        <v>295</v>
      </c>
      <c r="C70" s="451"/>
      <c r="D70" s="452">
        <f>'Operating Model'!G39+'Operating Model'!G152+'Operating Model'!G153</f>
        <v>1538165.9329966791</v>
      </c>
      <c r="E70" s="451"/>
      <c r="F70" s="453"/>
      <c r="G70" s="454"/>
      <c r="H70" s="453"/>
      <c r="I70" s="451"/>
      <c r="J70" s="479">
        <f>J25</f>
        <v>12</v>
      </c>
      <c r="K70" s="480"/>
      <c r="L70" s="481">
        <v>17</v>
      </c>
    </row>
    <row r="71" spans="2:12">
      <c r="B71" s="447" t="s">
        <v>282</v>
      </c>
      <c r="C71" s="447"/>
      <c r="D71" s="447"/>
      <c r="E71" s="447"/>
      <c r="F71" s="447"/>
      <c r="G71" s="447"/>
      <c r="H71" s="447"/>
      <c r="I71" s="447"/>
      <c r="J71" s="455">
        <f>D70*J70</f>
        <v>18457991.195960149</v>
      </c>
      <c r="K71" s="456"/>
      <c r="L71" s="455">
        <f>D70*L70</f>
        <v>26148820.860943545</v>
      </c>
    </row>
    <row r="72" spans="2:12">
      <c r="B72" s="445" t="s">
        <v>283</v>
      </c>
      <c r="C72" s="445"/>
      <c r="D72" s="445"/>
      <c r="E72" s="445"/>
      <c r="F72" s="445"/>
      <c r="G72" s="445"/>
      <c r="H72" s="445"/>
      <c r="I72" s="445"/>
      <c r="J72" s="457">
        <f>J57</f>
        <v>3074171</v>
      </c>
      <c r="K72" s="455"/>
      <c r="L72" s="457">
        <f>L57</f>
        <v>3074171</v>
      </c>
    </row>
    <row r="73" spans="2:12">
      <c r="B73" s="445" t="s">
        <v>284</v>
      </c>
      <c r="C73" s="445"/>
      <c r="D73" s="445"/>
      <c r="E73" s="445"/>
      <c r="F73" s="445"/>
      <c r="G73" s="445"/>
      <c r="H73" s="445"/>
      <c r="I73" s="445"/>
      <c r="J73" s="458">
        <v>0</v>
      </c>
      <c r="K73" s="457"/>
      <c r="L73" s="458">
        <v>0</v>
      </c>
    </row>
    <row r="74" spans="2:12">
      <c r="B74" s="451" t="s">
        <v>285</v>
      </c>
      <c r="C74" s="451"/>
      <c r="D74" s="451"/>
      <c r="E74" s="451"/>
      <c r="F74" s="451"/>
      <c r="G74" s="451"/>
      <c r="H74" s="451"/>
      <c r="I74" s="451"/>
      <c r="J74" s="459">
        <v>0</v>
      </c>
      <c r="K74" s="460"/>
      <c r="L74" s="459">
        <v>0</v>
      </c>
    </row>
    <row r="75" spans="2:12">
      <c r="B75" s="447" t="s">
        <v>286</v>
      </c>
      <c r="C75" s="447"/>
      <c r="D75" s="447"/>
      <c r="E75" s="447"/>
      <c r="F75" s="447"/>
      <c r="G75" s="447"/>
      <c r="H75" s="447"/>
      <c r="I75" s="447"/>
      <c r="J75" s="461">
        <f>J71-J72</f>
        <v>15383820.195960149</v>
      </c>
      <c r="K75" s="461"/>
      <c r="L75" s="461">
        <f t="shared" ref="L75" si="1">L71-L72</f>
        <v>23074649.860943545</v>
      </c>
    </row>
    <row r="76" spans="2:12">
      <c r="B76" s="451" t="s">
        <v>287</v>
      </c>
      <c r="C76" s="451"/>
      <c r="D76" s="451"/>
      <c r="E76" s="451"/>
      <c r="F76" s="451"/>
      <c r="G76" s="451"/>
      <c r="H76" s="451"/>
      <c r="I76" s="451"/>
      <c r="J76" s="462">
        <f>J61</f>
        <v>162236.32760921179</v>
      </c>
      <c r="K76" s="460"/>
      <c r="L76" s="462">
        <f>L61</f>
        <v>162236.32760921179</v>
      </c>
    </row>
    <row r="77" spans="2:12">
      <c r="B77" s="447" t="s">
        <v>288</v>
      </c>
      <c r="C77" s="447"/>
      <c r="D77" s="447"/>
      <c r="E77" s="447"/>
      <c r="F77" s="447"/>
      <c r="G77" s="447"/>
      <c r="H77" s="447"/>
      <c r="I77" s="447"/>
      <c r="J77" s="470">
        <f>J75/J76</f>
        <v>94.823523329596469</v>
      </c>
      <c r="K77" s="471"/>
      <c r="L77" s="470">
        <f>L75/L76</f>
        <v>142.22862537005162</v>
      </c>
    </row>
    <row r="78" spans="2:12">
      <c r="B78" s="445" t="s">
        <v>289</v>
      </c>
      <c r="C78" s="445"/>
      <c r="D78" s="445"/>
      <c r="E78" s="445"/>
      <c r="F78" s="445"/>
      <c r="G78" s="445"/>
      <c r="H78" s="445"/>
      <c r="I78" s="445"/>
      <c r="J78" s="465">
        <f>J77/G4-1</f>
        <v>0.50084715621393583</v>
      </c>
      <c r="K78" s="465"/>
      <c r="L78" s="465">
        <f>L77/G4-1</f>
        <v>1.2511653271613108</v>
      </c>
    </row>
    <row r="79" spans="2:12" ht="17.100000000000001" thickBot="1">
      <c r="B79" s="466"/>
      <c r="C79" s="466"/>
      <c r="D79" s="466"/>
      <c r="E79" s="466"/>
      <c r="F79" s="466"/>
      <c r="G79" s="466"/>
      <c r="H79" s="466"/>
      <c r="I79" s="466"/>
      <c r="J79" s="467"/>
      <c r="K79" s="467"/>
      <c r="L79" s="467"/>
    </row>
    <row r="81" spans="2:19">
      <c r="B81" s="447" t="s">
        <v>297</v>
      </c>
      <c r="C81" s="445"/>
      <c r="D81" s="445"/>
      <c r="E81" s="445"/>
      <c r="F81" s="445"/>
      <c r="G81" s="445"/>
      <c r="H81" s="445"/>
      <c r="I81" s="445"/>
      <c r="J81" s="445"/>
      <c r="K81" s="445"/>
      <c r="L81" s="445"/>
    </row>
    <row r="82" spans="2:19">
      <c r="B82" s="448" t="s">
        <v>276</v>
      </c>
      <c r="C82" s="449"/>
      <c r="D82" s="449"/>
      <c r="E82" s="449"/>
      <c r="F82" s="449"/>
      <c r="G82" s="449"/>
      <c r="H82" s="449"/>
      <c r="I82" s="449"/>
      <c r="J82" s="449"/>
      <c r="K82" s="449"/>
      <c r="L82" s="450"/>
      <c r="M82" s="445"/>
      <c r="N82" s="445"/>
      <c r="O82" s="445"/>
      <c r="P82" s="445"/>
      <c r="Q82" s="445"/>
      <c r="R82" s="445"/>
      <c r="S82" s="445"/>
    </row>
    <row r="83" spans="2:19">
      <c r="B83" s="482"/>
      <c r="C83" s="473"/>
      <c r="D83" s="474"/>
      <c r="E83" s="474"/>
      <c r="F83" s="483"/>
      <c r="G83" s="484"/>
      <c r="H83" s="483"/>
      <c r="I83" s="474"/>
      <c r="J83" s="656" t="s">
        <v>277</v>
      </c>
      <c r="K83" s="656"/>
      <c r="L83" s="657"/>
    </row>
    <row r="84" spans="2:19">
      <c r="B84" s="485"/>
      <c r="C84" s="475"/>
      <c r="D84" s="476" t="s">
        <v>278</v>
      </c>
      <c r="E84" s="475"/>
      <c r="F84" s="476"/>
      <c r="G84" s="476"/>
      <c r="H84" s="476"/>
      <c r="I84" s="475"/>
      <c r="J84" s="477" t="s">
        <v>279</v>
      </c>
      <c r="K84" s="477" t="s">
        <v>38</v>
      </c>
      <c r="L84" s="486" t="s">
        <v>280</v>
      </c>
    </row>
    <row r="85" spans="2:19">
      <c r="B85" s="451" t="s">
        <v>298</v>
      </c>
      <c r="C85" s="451"/>
      <c r="D85" s="452">
        <f>'Operating Model'!G59</f>
        <v>5.3444605243100103</v>
      </c>
      <c r="E85" s="451"/>
      <c r="F85" s="453"/>
      <c r="G85" s="454"/>
      <c r="H85" s="453"/>
      <c r="I85" s="451"/>
      <c r="J85" s="479">
        <v>15</v>
      </c>
      <c r="K85" s="480"/>
      <c r="L85" s="481">
        <v>20</v>
      </c>
    </row>
    <row r="86" spans="2:19">
      <c r="B86" s="447" t="s">
        <v>282</v>
      </c>
      <c r="C86" s="447"/>
      <c r="D86" s="447"/>
      <c r="E86" s="447"/>
      <c r="F86" s="447"/>
      <c r="G86" s="447"/>
      <c r="H86" s="447"/>
      <c r="I86" s="447"/>
      <c r="J86" s="455">
        <f>J90+J87</f>
        <v>16080155.72774688</v>
      </c>
      <c r="K86" s="456"/>
      <c r="L86" s="455">
        <f>L90+L87</f>
        <v>20415483.970329173</v>
      </c>
    </row>
    <row r="87" spans="2:19">
      <c r="B87" s="445" t="s">
        <v>283</v>
      </c>
      <c r="C87" s="445"/>
      <c r="D87" s="445"/>
      <c r="E87" s="445"/>
      <c r="F87" s="445"/>
      <c r="G87" s="445"/>
      <c r="H87" s="445"/>
      <c r="I87" s="445"/>
      <c r="J87" s="457">
        <f>J42</f>
        <v>3074171</v>
      </c>
      <c r="K87" s="455"/>
      <c r="L87" s="457">
        <f>L42</f>
        <v>3074171</v>
      </c>
    </row>
    <row r="88" spans="2:19">
      <c r="B88" s="445" t="s">
        <v>284</v>
      </c>
      <c r="C88" s="445"/>
      <c r="D88" s="445"/>
      <c r="E88" s="445"/>
      <c r="F88" s="445"/>
      <c r="G88" s="445"/>
      <c r="H88" s="445"/>
      <c r="I88" s="445"/>
      <c r="J88" s="458">
        <v>0</v>
      </c>
      <c r="K88" s="457"/>
      <c r="L88" s="458">
        <v>0</v>
      </c>
    </row>
    <row r="89" spans="2:19">
      <c r="B89" s="451" t="s">
        <v>285</v>
      </c>
      <c r="C89" s="451"/>
      <c r="D89" s="451"/>
      <c r="E89" s="451"/>
      <c r="F89" s="451"/>
      <c r="G89" s="451"/>
      <c r="H89" s="451"/>
      <c r="I89" s="451"/>
      <c r="J89" s="459">
        <v>0</v>
      </c>
      <c r="K89" s="460"/>
      <c r="L89" s="459">
        <v>0</v>
      </c>
    </row>
    <row r="90" spans="2:19">
      <c r="B90" s="447" t="s">
        <v>286</v>
      </c>
      <c r="C90" s="447"/>
      <c r="D90" s="447"/>
      <c r="E90" s="447"/>
      <c r="F90" s="447"/>
      <c r="G90" s="447"/>
      <c r="H90" s="447"/>
      <c r="I90" s="447"/>
      <c r="J90" s="461">
        <f>J92*J91</f>
        <v>13005984.72774688</v>
      </c>
      <c r="K90" s="461"/>
      <c r="L90" s="461">
        <f>L92*L91</f>
        <v>17341312.970329173</v>
      </c>
    </row>
    <row r="91" spans="2:19">
      <c r="B91" s="451" t="s">
        <v>287</v>
      </c>
      <c r="C91" s="451"/>
      <c r="D91" s="451"/>
      <c r="E91" s="451"/>
      <c r="F91" s="451"/>
      <c r="G91" s="451"/>
      <c r="H91" s="451"/>
      <c r="I91" s="451"/>
      <c r="J91" s="462">
        <f>J46</f>
        <v>162236.32760921179</v>
      </c>
      <c r="K91" s="460"/>
      <c r="L91" s="462">
        <f>L46</f>
        <v>162236.32760921179</v>
      </c>
    </row>
    <row r="92" spans="2:19">
      <c r="B92" s="447" t="s">
        <v>288</v>
      </c>
      <c r="C92" s="447"/>
      <c r="D92" s="447"/>
      <c r="E92" s="447"/>
      <c r="F92" s="447"/>
      <c r="G92" s="447"/>
      <c r="H92" s="447"/>
      <c r="I92" s="447"/>
      <c r="J92" s="470">
        <f>D85*J85</f>
        <v>80.166907864650156</v>
      </c>
      <c r="K92" s="471"/>
      <c r="L92" s="470">
        <f>D85*L85</f>
        <v>106.8892104862002</v>
      </c>
    </row>
    <row r="93" spans="2:19">
      <c r="B93" s="445" t="s">
        <v>289</v>
      </c>
      <c r="C93" s="445"/>
      <c r="D93" s="445"/>
      <c r="E93" s="445"/>
      <c r="F93" s="445"/>
      <c r="G93" s="445"/>
      <c r="H93" s="445"/>
      <c r="I93" s="445"/>
      <c r="J93" s="465">
        <f>J92/G4-1</f>
        <v>0.26886527167854002</v>
      </c>
      <c r="K93" s="465"/>
      <c r="L93" s="465">
        <f>L92/G4-1</f>
        <v>0.69182036223805321</v>
      </c>
    </row>
    <row r="94" spans="2:19" ht="17.100000000000001" thickBot="1">
      <c r="B94" s="466"/>
      <c r="C94" s="466"/>
      <c r="D94" s="466"/>
      <c r="E94" s="466"/>
      <c r="F94" s="466"/>
      <c r="G94" s="466"/>
      <c r="H94" s="466"/>
      <c r="I94" s="466"/>
      <c r="J94" s="467"/>
      <c r="K94" s="467"/>
      <c r="L94" s="467"/>
    </row>
  </sheetData>
  <mergeCells count="6">
    <mergeCell ref="J38:L38"/>
    <mergeCell ref="J83:L83"/>
    <mergeCell ref="J8:L8"/>
    <mergeCell ref="J23:L23"/>
    <mergeCell ref="J53:L53"/>
    <mergeCell ref="J68:L68"/>
  </mergeCells>
  <pageMargins left="0.7" right="0.7" top="0.75" bottom="0.75" header="0.3" footer="0.3"/>
  <ignoredErrors>
    <ignoredError sqref="J56 L5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458-FD47-934A-9620-EC944840B6C8}">
  <sheetPr>
    <tabColor theme="9" tint="0.59999389629810485"/>
  </sheetPr>
  <dimension ref="B2:L52"/>
  <sheetViews>
    <sheetView showGridLines="0" zoomScale="85" zoomScaleNormal="85" workbookViewId="0">
      <selection activeCell="C7" sqref="C7"/>
    </sheetView>
  </sheetViews>
  <sheetFormatPr defaultColWidth="11" defaultRowHeight="15.95"/>
  <cols>
    <col min="1" max="1" width="5.125" customWidth="1"/>
    <col min="2" max="2" width="27.375" bestFit="1" customWidth="1"/>
    <col min="3" max="3" width="29.375" customWidth="1"/>
    <col min="4" max="4" width="25.875" customWidth="1"/>
    <col min="5" max="5" width="26.625" customWidth="1"/>
    <col min="6" max="6" width="36.125" customWidth="1"/>
    <col min="7" max="7" width="33.375" customWidth="1"/>
    <col min="10" max="10" width="11" customWidth="1"/>
    <col min="11" max="11" width="0.875" customWidth="1"/>
    <col min="12" max="12" width="11" bestFit="1" customWidth="1"/>
  </cols>
  <sheetData>
    <row r="2" spans="2:12" ht="24">
      <c r="B2" s="360" t="s">
        <v>299</v>
      </c>
      <c r="C2" s="357"/>
      <c r="D2" s="357"/>
      <c r="E2" s="357"/>
      <c r="F2" s="357"/>
      <c r="G2" s="357"/>
    </row>
    <row r="3" spans="2:12">
      <c r="B3" s="359" t="s">
        <v>300</v>
      </c>
      <c r="C3" s="358" t="s">
        <v>18</v>
      </c>
      <c r="D3" s="358" t="s">
        <v>19</v>
      </c>
      <c r="E3" s="358" t="s">
        <v>20</v>
      </c>
      <c r="F3" s="358" t="s">
        <v>21</v>
      </c>
      <c r="G3" s="358" t="s">
        <v>22</v>
      </c>
      <c r="K3" t="s">
        <v>301</v>
      </c>
      <c r="L3" t="s">
        <v>11</v>
      </c>
    </row>
    <row r="4" spans="2:12">
      <c r="K4">
        <f>IF('Cover Page'!H21="Base",2,IF('Cover Page'!H21="Bear",3,IF('Cover Page'!H21="Bull",1)))</f>
        <v>2</v>
      </c>
    </row>
    <row r="5" spans="2:12">
      <c r="B5" t="str">
        <f>'Cover Page'!H21</f>
        <v>Base</v>
      </c>
    </row>
    <row r="6" spans="2:12">
      <c r="B6" t="s">
        <v>271</v>
      </c>
      <c r="C6" s="68">
        <f t="shared" ref="C6:C15" si="0">CHOOSE($K$4,C19,C31,C43)</f>
        <v>4636757.2499999991</v>
      </c>
      <c r="D6" s="68">
        <f t="shared" ref="D6:G8" si="1">CHOOSE($K$4,D19,D31,D43)</f>
        <v>5069383.6107012089</v>
      </c>
      <c r="E6" s="68">
        <f t="shared" si="1"/>
        <v>5269655.9410539744</v>
      </c>
      <c r="F6" s="68">
        <f t="shared" si="1"/>
        <v>5477840.2799239596</v>
      </c>
      <c r="G6" s="68">
        <f t="shared" si="1"/>
        <v>5694249.2010884145</v>
      </c>
    </row>
    <row r="7" spans="2:12">
      <c r="B7" t="s">
        <v>270</v>
      </c>
      <c r="C7" s="68">
        <f>CHOOSE($K$4,C20,C32,C44)</f>
        <v>1417728.9133333333</v>
      </c>
      <c r="D7" s="68">
        <f t="shared" si="1"/>
        <v>1722300</v>
      </c>
      <c r="E7" s="68">
        <f t="shared" si="1"/>
        <v>1829800</v>
      </c>
      <c r="F7" s="68">
        <f t="shared" si="1"/>
        <v>1744292.5081248044</v>
      </c>
      <c r="G7" s="68">
        <f t="shared" si="1"/>
        <v>1773955.0858279243</v>
      </c>
    </row>
    <row r="8" spans="2:12">
      <c r="B8" t="s">
        <v>272</v>
      </c>
      <c r="C8" s="68">
        <f>CHOOSE($K$4,C21,C33,C45)</f>
        <v>445439.57250000001</v>
      </c>
      <c r="D8" s="68">
        <f t="shared" si="1"/>
        <v>412744.30787849997</v>
      </c>
      <c r="E8" s="68">
        <f t="shared" si="1"/>
        <v>382448.87568021804</v>
      </c>
      <c r="F8" s="68">
        <f t="shared" si="1"/>
        <v>354377.12820529006</v>
      </c>
      <c r="G8" s="68">
        <f t="shared" si="1"/>
        <v>328365.8469950218</v>
      </c>
    </row>
    <row r="9" spans="2:12">
      <c r="B9" t="s">
        <v>302</v>
      </c>
      <c r="C9" s="38">
        <f>CHOOSE($K$4,C22,C34,C46)</f>
        <v>-0.72085885836486263</v>
      </c>
      <c r="D9" s="38">
        <f t="shared" ref="D9:G9" si="2">CHOOSE($K$4,D22,D34,D46)</f>
        <v>-0.71585885836486263</v>
      </c>
      <c r="E9" s="38">
        <f t="shared" si="2"/>
        <v>-0.71085885836486262</v>
      </c>
      <c r="F9" s="38">
        <f t="shared" si="2"/>
        <v>-0.70585885836486262</v>
      </c>
      <c r="G9" s="38">
        <f t="shared" si="2"/>
        <v>-0.70085885836486261</v>
      </c>
    </row>
    <row r="10" spans="2:12">
      <c r="B10" t="s">
        <v>303</v>
      </c>
      <c r="C10" s="38">
        <f t="shared" si="0"/>
        <v>-0.76506107913550259</v>
      </c>
      <c r="D10" s="38">
        <f t="shared" ref="D10:G10" si="3">CHOOSE($K$4,D23,D35,D47)</f>
        <v>-0.76006107913550258</v>
      </c>
      <c r="E10" s="38">
        <f t="shared" si="3"/>
        <v>-0.75506107913550258</v>
      </c>
      <c r="F10" s="38">
        <f t="shared" si="3"/>
        <v>-0.75006107913550257</v>
      </c>
      <c r="G10" s="38">
        <f t="shared" si="3"/>
        <v>-0.74506107913550257</v>
      </c>
    </row>
    <row r="11" spans="2:12">
      <c r="B11" t="s">
        <v>304</v>
      </c>
      <c r="C11" s="38">
        <f t="shared" si="0"/>
        <v>-0.72960440684269245</v>
      </c>
      <c r="D11" s="38">
        <f t="shared" ref="D11:G11" si="4">CHOOSE($K$4,D24,D36,D48)</f>
        <v>-0.72960440684269245</v>
      </c>
      <c r="E11" s="38">
        <f t="shared" si="4"/>
        <v>-0.72960440684269245</v>
      </c>
      <c r="F11" s="38">
        <f t="shared" si="4"/>
        <v>-0.72960440684269245</v>
      </c>
      <c r="G11" s="38">
        <f t="shared" si="4"/>
        <v>-0.72960440684269245</v>
      </c>
    </row>
    <row r="12" spans="2:12">
      <c r="B12" t="s">
        <v>305</v>
      </c>
      <c r="C12" s="38">
        <f t="shared" si="0"/>
        <v>-7.2405987826945226E-2</v>
      </c>
      <c r="D12" s="38">
        <f t="shared" ref="D12:G12" si="5">CHOOSE($K$4,D25,D37,D49)</f>
        <v>-7.2405987826945226E-2</v>
      </c>
      <c r="E12" s="38">
        <f t="shared" si="5"/>
        <v>-7.2405987826945226E-2</v>
      </c>
      <c r="F12" s="38">
        <f t="shared" si="5"/>
        <v>-7.2405987826945226E-2</v>
      </c>
      <c r="G12" s="38">
        <f t="shared" si="5"/>
        <v>-7.2405987826945226E-2</v>
      </c>
    </row>
    <row r="13" spans="2:12">
      <c r="B13" t="s">
        <v>306</v>
      </c>
      <c r="C13" s="38">
        <f t="shared" si="0"/>
        <v>-8.1257840534269432E-2</v>
      </c>
      <c r="D13" s="38">
        <f t="shared" ref="D13:G13" si="6">CHOOSE($K$4,D26,D38,D50)</f>
        <v>-8.1257840534269432E-2</v>
      </c>
      <c r="E13" s="38">
        <f t="shared" si="6"/>
        <v>-8.1257840534269432E-2</v>
      </c>
      <c r="F13" s="38">
        <f t="shared" si="6"/>
        <v>-8.1257840534269432E-2</v>
      </c>
      <c r="G13" s="38">
        <f t="shared" si="6"/>
        <v>-8.1257840534269432E-2</v>
      </c>
    </row>
    <row r="14" spans="2:12">
      <c r="B14" t="s">
        <v>307</v>
      </c>
      <c r="C14" s="38">
        <f t="shared" si="0"/>
        <v>-1.656479892411606E-2</v>
      </c>
      <c r="D14" s="38">
        <f t="shared" ref="D14:G14" si="7">CHOOSE($K$4,D27,D39,D51)</f>
        <v>-1.656479892411606E-2</v>
      </c>
      <c r="E14" s="38">
        <f t="shared" si="7"/>
        <v>-1.656479892411606E-2</v>
      </c>
      <c r="F14" s="38">
        <f t="shared" si="7"/>
        <v>-1.656479892411606E-2</v>
      </c>
      <c r="G14" s="38">
        <f t="shared" si="7"/>
        <v>-1.656479892411606E-2</v>
      </c>
    </row>
    <row r="15" spans="2:12">
      <c r="B15" t="s">
        <v>308</v>
      </c>
      <c r="C15" s="38">
        <f t="shared" si="0"/>
        <v>-1.656479892411606E-2</v>
      </c>
      <c r="D15" s="38">
        <f t="shared" ref="D15:G15" si="8">CHOOSE($K$4,D28,D40,D52)</f>
        <v>-1.656479892411606E-2</v>
      </c>
      <c r="E15" s="38">
        <f t="shared" si="8"/>
        <v>-1.656479892411606E-2</v>
      </c>
      <c r="F15" s="38">
        <f t="shared" si="8"/>
        <v>-1.656479892411606E-2</v>
      </c>
      <c r="G15" s="38">
        <f t="shared" si="8"/>
        <v>-1.656479892411606E-2</v>
      </c>
    </row>
    <row r="18" spans="2:7">
      <c r="B18" t="s">
        <v>1</v>
      </c>
    </row>
    <row r="19" spans="2:7">
      <c r="B19" t="s">
        <v>271</v>
      </c>
      <c r="C19" s="68">
        <f t="shared" ref="C19:G21" si="9">C31*1.1</f>
        <v>5100432.9749999996</v>
      </c>
      <c r="D19" s="68">
        <f t="shared" si="9"/>
        <v>5576321.9717713306</v>
      </c>
      <c r="E19" s="68">
        <f t="shared" si="9"/>
        <v>5796621.5351593727</v>
      </c>
      <c r="F19" s="68">
        <f t="shared" si="9"/>
        <v>6025624.3079163563</v>
      </c>
      <c r="G19" s="68">
        <f t="shared" si="9"/>
        <v>6263674.1211972563</v>
      </c>
    </row>
    <row r="20" spans="2:7">
      <c r="B20" t="s">
        <v>270</v>
      </c>
      <c r="C20" s="68">
        <f t="shared" si="9"/>
        <v>1559501.8046666668</v>
      </c>
      <c r="D20" s="68">
        <f t="shared" si="9"/>
        <v>1894530.0000000002</v>
      </c>
      <c r="E20" s="68">
        <f t="shared" si="9"/>
        <v>2012780.0000000002</v>
      </c>
      <c r="F20" s="68">
        <f t="shared" si="9"/>
        <v>1918721.758937285</v>
      </c>
      <c r="G20" s="68">
        <f t="shared" si="9"/>
        <v>1951350.5944107168</v>
      </c>
    </row>
    <row r="21" spans="2:7">
      <c r="B21" t="s">
        <v>272</v>
      </c>
      <c r="C21" s="68">
        <f t="shared" si="9"/>
        <v>489983.52975000005</v>
      </c>
      <c r="D21" s="68">
        <f t="shared" si="9"/>
        <v>454018.73866635002</v>
      </c>
      <c r="E21" s="68">
        <f t="shared" si="9"/>
        <v>420693.76324823988</v>
      </c>
      <c r="F21" s="68">
        <f t="shared" si="9"/>
        <v>389814.84102581913</v>
      </c>
      <c r="G21" s="68">
        <f t="shared" si="9"/>
        <v>361202.43169452401</v>
      </c>
    </row>
    <row r="22" spans="2:7">
      <c r="B22" t="s">
        <v>302</v>
      </c>
      <c r="C22" s="38">
        <f>C34+0.5%</f>
        <v>-0.71585885836486263</v>
      </c>
      <c r="D22" s="38">
        <f t="shared" ref="D22:G22" si="10">D34+0.5%</f>
        <v>-0.71085885836486262</v>
      </c>
      <c r="E22" s="38">
        <f t="shared" si="10"/>
        <v>-0.70585885836486262</v>
      </c>
      <c r="F22" s="38">
        <f t="shared" si="10"/>
        <v>-0.70085885836486261</v>
      </c>
      <c r="G22" s="38">
        <f t="shared" si="10"/>
        <v>-0.69585885836486261</v>
      </c>
    </row>
    <row r="23" spans="2:7">
      <c r="B23" t="s">
        <v>303</v>
      </c>
      <c r="C23" s="38">
        <f>C35+0.25%</f>
        <v>-0.76256107913550264</v>
      </c>
      <c r="D23" s="38">
        <f t="shared" ref="D23:G23" si="11">D35+0.25%</f>
        <v>-0.75756107913550264</v>
      </c>
      <c r="E23" s="38">
        <f t="shared" si="11"/>
        <v>-0.75256107913550263</v>
      </c>
      <c r="F23" s="38">
        <f t="shared" si="11"/>
        <v>-0.74756107913550263</v>
      </c>
      <c r="G23" s="38">
        <f t="shared" si="11"/>
        <v>-0.74256107913550262</v>
      </c>
    </row>
    <row r="24" spans="2:7">
      <c r="B24" t="s">
        <v>304</v>
      </c>
      <c r="C24" s="38">
        <f>C36+0.25%</f>
        <v>-0.72710440684269251</v>
      </c>
      <c r="D24" s="38">
        <f t="shared" ref="D24:G24" si="12">D36+0.25%</f>
        <v>-0.72710440684269251</v>
      </c>
      <c r="E24" s="38">
        <f t="shared" si="12"/>
        <v>-0.72710440684269251</v>
      </c>
      <c r="F24" s="38">
        <f t="shared" si="12"/>
        <v>-0.72710440684269251</v>
      </c>
      <c r="G24" s="38">
        <f t="shared" si="12"/>
        <v>-0.72710440684269251</v>
      </c>
    </row>
    <row r="25" spans="2:7">
      <c r="B25" t="s">
        <v>305</v>
      </c>
      <c r="C25" s="38">
        <f>C37</f>
        <v>-7.2405987826945226E-2</v>
      </c>
      <c r="D25" s="38">
        <f t="shared" ref="D25:G25" si="13">D37</f>
        <v>-7.2405987826945226E-2</v>
      </c>
      <c r="E25" s="38">
        <f t="shared" si="13"/>
        <v>-7.2405987826945226E-2</v>
      </c>
      <c r="F25" s="38">
        <f t="shared" si="13"/>
        <v>-7.2405987826945226E-2</v>
      </c>
      <c r="G25" s="38">
        <f t="shared" si="13"/>
        <v>-7.2405987826945226E-2</v>
      </c>
    </row>
    <row r="26" spans="2:7">
      <c r="B26" t="s">
        <v>306</v>
      </c>
      <c r="C26" s="38">
        <f>C38</f>
        <v>-8.1257840534269432E-2</v>
      </c>
      <c r="D26" s="38">
        <f t="shared" ref="D26:G26" si="14">D38</f>
        <v>-8.1257840534269432E-2</v>
      </c>
      <c r="E26" s="38">
        <f t="shared" si="14"/>
        <v>-8.1257840534269432E-2</v>
      </c>
      <c r="F26" s="38">
        <f t="shared" si="14"/>
        <v>-8.1257840534269432E-2</v>
      </c>
      <c r="G26" s="38">
        <f t="shared" si="14"/>
        <v>-8.1257840534269432E-2</v>
      </c>
    </row>
    <row r="27" spans="2:7">
      <c r="B27" t="s">
        <v>307</v>
      </c>
      <c r="C27" s="38">
        <f>C39</f>
        <v>-1.656479892411606E-2</v>
      </c>
      <c r="D27" s="38">
        <f t="shared" ref="D27:G27" si="15">D39</f>
        <v>-1.656479892411606E-2</v>
      </c>
      <c r="E27" s="38">
        <f t="shared" si="15"/>
        <v>-1.656479892411606E-2</v>
      </c>
      <c r="F27" s="38">
        <f t="shared" si="15"/>
        <v>-1.656479892411606E-2</v>
      </c>
      <c r="G27" s="38">
        <f t="shared" si="15"/>
        <v>-1.656479892411606E-2</v>
      </c>
    </row>
    <row r="28" spans="2:7">
      <c r="B28" t="s">
        <v>308</v>
      </c>
      <c r="C28" s="38">
        <f>C40</f>
        <v>-1.656479892411606E-2</v>
      </c>
      <c r="D28" s="38">
        <f t="shared" ref="D28:G28" si="16">D40</f>
        <v>-1.656479892411606E-2</v>
      </c>
      <c r="E28" s="38">
        <f t="shared" si="16"/>
        <v>-1.656479892411606E-2</v>
      </c>
      <c r="F28" s="38">
        <f t="shared" si="16"/>
        <v>-1.656479892411606E-2</v>
      </c>
      <c r="G28" s="38">
        <f t="shared" si="16"/>
        <v>-1.656479892411606E-2</v>
      </c>
    </row>
    <row r="30" spans="2:7">
      <c r="B30" t="s">
        <v>2</v>
      </c>
    </row>
    <row r="31" spans="2:7">
      <c r="B31" t="s">
        <v>271</v>
      </c>
      <c r="C31" s="68">
        <f>'DAR Revenue Build'!V50</f>
        <v>4636757.2499999991</v>
      </c>
      <c r="D31" s="68">
        <f>'DAR Revenue Build'!AA50</f>
        <v>5069383.6107012089</v>
      </c>
      <c r="E31" s="68">
        <f>'DAR Revenue Build'!AF50</f>
        <v>5269655.9410539744</v>
      </c>
      <c r="F31" s="68">
        <f>'DAR Revenue Build'!AK50</f>
        <v>5477840.2799239596</v>
      </c>
      <c r="G31" s="68">
        <f>'DAR Revenue Build'!AP50</f>
        <v>5694249.2010884145</v>
      </c>
    </row>
    <row r="32" spans="2:7">
      <c r="B32" t="s">
        <v>270</v>
      </c>
      <c r="C32" s="68">
        <f>'DAR Revenue Build'!V49</f>
        <v>1417728.9133333333</v>
      </c>
      <c r="D32" s="68">
        <f>'DAR Revenue Build'!AA49</f>
        <v>1722300</v>
      </c>
      <c r="E32" s="68">
        <f>'DAR Revenue Build'!AF49</f>
        <v>1829800</v>
      </c>
      <c r="F32" s="68">
        <f>'DAR Revenue Build'!AK49</f>
        <v>1744292.5081248044</v>
      </c>
      <c r="G32" s="68">
        <f>'DAR Revenue Build'!AP49</f>
        <v>1773955.0858279243</v>
      </c>
    </row>
    <row r="33" spans="2:8">
      <c r="B33" t="s">
        <v>272</v>
      </c>
      <c r="C33" s="68">
        <f>'DAR Revenue Build'!V51</f>
        <v>445439.57250000001</v>
      </c>
      <c r="D33" s="68">
        <f>'DAR Revenue Build'!AA51</f>
        <v>412744.30787849997</v>
      </c>
      <c r="E33" s="68">
        <f>'DAR Revenue Build'!AF51</f>
        <v>382448.87568021804</v>
      </c>
      <c r="F33" s="68">
        <f>'DAR Revenue Build'!AK51</f>
        <v>354377.12820529006</v>
      </c>
      <c r="G33" s="68">
        <f>'DAR Revenue Build'!AP43</f>
        <v>328365.8469950218</v>
      </c>
    </row>
    <row r="34" spans="2:8">
      <c r="B34" t="s">
        <v>302</v>
      </c>
      <c r="C34" s="38">
        <f>'Operating Model'!F69+'Scenario Analysis'!H34</f>
        <v>-0.72085885836486263</v>
      </c>
      <c r="D34" s="38">
        <f>C34+$H$34</f>
        <v>-0.71585885836486263</v>
      </c>
      <c r="E34" s="38">
        <f t="shared" ref="E34:G34" si="17">D34+$H$34</f>
        <v>-0.71085885836486262</v>
      </c>
      <c r="F34" s="38">
        <f t="shared" si="17"/>
        <v>-0.70585885836486262</v>
      </c>
      <c r="G34" s="38">
        <f t="shared" si="17"/>
        <v>-0.70085885836486261</v>
      </c>
      <c r="H34" s="38">
        <v>5.0000000000000001E-3</v>
      </c>
    </row>
    <row r="35" spans="2:8">
      <c r="B35" t="s">
        <v>303</v>
      </c>
      <c r="C35" s="38">
        <f>'Operating Model'!F70+H35</f>
        <v>-0.76506107913550259</v>
      </c>
      <c r="D35" s="38">
        <f>C35+$H$35</f>
        <v>-0.76006107913550258</v>
      </c>
      <c r="E35" s="38">
        <f t="shared" ref="E35:G35" si="18">D35+$H$35</f>
        <v>-0.75506107913550258</v>
      </c>
      <c r="F35" s="38">
        <f t="shared" si="18"/>
        <v>-0.75006107913550257</v>
      </c>
      <c r="G35" s="38">
        <f t="shared" si="18"/>
        <v>-0.74506107913550257</v>
      </c>
      <c r="H35" s="38">
        <v>5.0000000000000001E-3</v>
      </c>
    </row>
    <row r="36" spans="2:8">
      <c r="B36" t="s">
        <v>304</v>
      </c>
      <c r="C36" s="38">
        <f>'Operating Model'!F71+'Scenario Analysis'!H36</f>
        <v>-0.72960440684269245</v>
      </c>
      <c r="D36" s="38">
        <f>C36+$H$36</f>
        <v>-0.72960440684269245</v>
      </c>
      <c r="E36" s="38">
        <f t="shared" ref="E36:G36" si="19">D36+$H$36</f>
        <v>-0.72960440684269245</v>
      </c>
      <c r="F36" s="38">
        <f t="shared" si="19"/>
        <v>-0.72960440684269245</v>
      </c>
      <c r="G36" s="38">
        <f t="shared" si="19"/>
        <v>-0.72960440684269245</v>
      </c>
      <c r="H36" s="38"/>
    </row>
    <row r="37" spans="2:8">
      <c r="B37" t="s">
        <v>305</v>
      </c>
      <c r="C37" s="38">
        <f>'Operating Model'!F81</f>
        <v>-7.2405987826945226E-2</v>
      </c>
      <c r="D37" s="38">
        <f>$C$37</f>
        <v>-7.2405987826945226E-2</v>
      </c>
      <c r="E37" s="38">
        <f t="shared" ref="E37:G37" si="20">$C$37</f>
        <v>-7.2405987826945226E-2</v>
      </c>
      <c r="F37" s="38">
        <f t="shared" si="20"/>
        <v>-7.2405987826945226E-2</v>
      </c>
      <c r="G37" s="38">
        <f t="shared" si="20"/>
        <v>-7.2405987826945226E-2</v>
      </c>
    </row>
    <row r="38" spans="2:8">
      <c r="B38" t="s">
        <v>306</v>
      </c>
      <c r="C38" s="38">
        <f>MEDIAN('Operating Model'!$C$82:$F$82)</f>
        <v>-8.1257840534269432E-2</v>
      </c>
      <c r="D38" s="38">
        <f>$C$38</f>
        <v>-8.1257840534269432E-2</v>
      </c>
      <c r="E38" s="38">
        <f t="shared" ref="E38:G38" si="21">$C$38</f>
        <v>-8.1257840534269432E-2</v>
      </c>
      <c r="F38" s="38">
        <f t="shared" si="21"/>
        <v>-8.1257840534269432E-2</v>
      </c>
      <c r="G38" s="38">
        <f t="shared" si="21"/>
        <v>-8.1257840534269432E-2</v>
      </c>
    </row>
    <row r="39" spans="2:8">
      <c r="B39" t="s">
        <v>307</v>
      </c>
      <c r="C39" s="38">
        <f>MEDIAN('Operating Model'!$C$84:$F$84)</f>
        <v>-1.656479892411606E-2</v>
      </c>
      <c r="D39" s="38">
        <f>$C$39</f>
        <v>-1.656479892411606E-2</v>
      </c>
      <c r="E39" s="38">
        <f t="shared" ref="E39:G39" si="22">$C$39</f>
        <v>-1.656479892411606E-2</v>
      </c>
      <c r="F39" s="38">
        <f t="shared" si="22"/>
        <v>-1.656479892411606E-2</v>
      </c>
      <c r="G39" s="38">
        <f t="shared" si="22"/>
        <v>-1.656479892411606E-2</v>
      </c>
    </row>
    <row r="40" spans="2:8">
      <c r="B40" t="s">
        <v>308</v>
      </c>
      <c r="C40" s="38">
        <f>MEDIAN('Operating Model'!$C$84:$F$84)</f>
        <v>-1.656479892411606E-2</v>
      </c>
      <c r="D40" s="38">
        <f>$C$40</f>
        <v>-1.656479892411606E-2</v>
      </c>
      <c r="E40" s="38">
        <f t="shared" ref="E40:G40" si="23">$C$40</f>
        <v>-1.656479892411606E-2</v>
      </c>
      <c r="F40" s="38">
        <f t="shared" si="23"/>
        <v>-1.656479892411606E-2</v>
      </c>
      <c r="G40" s="38">
        <f t="shared" si="23"/>
        <v>-1.656479892411606E-2</v>
      </c>
    </row>
    <row r="42" spans="2:8">
      <c r="B42" t="s">
        <v>4</v>
      </c>
    </row>
    <row r="43" spans="2:8">
      <c r="B43" t="s">
        <v>271</v>
      </c>
      <c r="C43" s="71">
        <f>C31*0.8</f>
        <v>3709405.7999999993</v>
      </c>
      <c r="D43" s="71">
        <f t="shared" ref="D43:G43" si="24">D31*0.8</f>
        <v>4055506.8885609675</v>
      </c>
      <c r="E43" s="71">
        <f t="shared" si="24"/>
        <v>4215724.7528431797</v>
      </c>
      <c r="F43" s="71">
        <f t="shared" si="24"/>
        <v>4382272.2239391683</v>
      </c>
      <c r="G43" s="71">
        <f t="shared" si="24"/>
        <v>4555399.360870732</v>
      </c>
    </row>
    <row r="44" spans="2:8">
      <c r="B44" t="s">
        <v>270</v>
      </c>
      <c r="C44" s="71">
        <f>C32*0.8</f>
        <v>1134183.1306666667</v>
      </c>
      <c r="D44" s="71">
        <f t="shared" ref="D44:G44" si="25">D32*0.8</f>
        <v>1377840</v>
      </c>
      <c r="E44" s="71">
        <f t="shared" si="25"/>
        <v>1463840</v>
      </c>
      <c r="F44" s="71">
        <f t="shared" si="25"/>
        <v>1395434.0064998437</v>
      </c>
      <c r="G44" s="71">
        <f t="shared" si="25"/>
        <v>1419164.0686623396</v>
      </c>
    </row>
    <row r="45" spans="2:8">
      <c r="B45" t="s">
        <v>272</v>
      </c>
      <c r="C45" s="71">
        <f>C33*0.8</f>
        <v>356351.65800000005</v>
      </c>
      <c r="D45" s="71">
        <f t="shared" ref="D45:G45" si="26">D33*0.8</f>
        <v>330195.44630279997</v>
      </c>
      <c r="E45" s="71">
        <f t="shared" si="26"/>
        <v>305959.10054417443</v>
      </c>
      <c r="F45" s="71">
        <f t="shared" si="26"/>
        <v>283501.70256423205</v>
      </c>
      <c r="G45" s="71">
        <f t="shared" si="26"/>
        <v>262692.67759601743</v>
      </c>
    </row>
    <row r="46" spans="2:8">
      <c r="B46" t="s">
        <v>302</v>
      </c>
      <c r="C46" s="38">
        <f>C34-0.25%</f>
        <v>-0.72335885836486258</v>
      </c>
      <c r="D46" s="38">
        <f t="shared" ref="D46:G46" si="27">D34-0.25%</f>
        <v>-0.71835885836486257</v>
      </c>
      <c r="E46" s="38">
        <f t="shared" si="27"/>
        <v>-0.71335885836486257</v>
      </c>
      <c r="F46" s="38">
        <f t="shared" si="27"/>
        <v>-0.70835885836486256</v>
      </c>
      <c r="G46" s="38">
        <f t="shared" si="27"/>
        <v>-0.70335885836486256</v>
      </c>
    </row>
    <row r="47" spans="2:8">
      <c r="B47" t="s">
        <v>303</v>
      </c>
      <c r="C47" s="38">
        <f>C35-0.25%</f>
        <v>-0.76756107913550253</v>
      </c>
      <c r="D47" s="38">
        <f t="shared" ref="D47:G47" si="28">D35-0.25%</f>
        <v>-0.76256107913550253</v>
      </c>
      <c r="E47" s="38">
        <f t="shared" si="28"/>
        <v>-0.75756107913550252</v>
      </c>
      <c r="F47" s="38">
        <f t="shared" si="28"/>
        <v>-0.75256107913550252</v>
      </c>
      <c r="G47" s="38">
        <f t="shared" si="28"/>
        <v>-0.74756107913550252</v>
      </c>
    </row>
    <row r="48" spans="2:8">
      <c r="B48" t="s">
        <v>304</v>
      </c>
      <c r="C48" s="38">
        <f>C36</f>
        <v>-0.72960440684269245</v>
      </c>
      <c r="D48" s="38">
        <f t="shared" ref="D48:G48" si="29">D36</f>
        <v>-0.72960440684269245</v>
      </c>
      <c r="E48" s="38">
        <f t="shared" si="29"/>
        <v>-0.72960440684269245</v>
      </c>
      <c r="F48" s="38">
        <f t="shared" si="29"/>
        <v>-0.72960440684269245</v>
      </c>
      <c r="G48" s="38">
        <f t="shared" si="29"/>
        <v>-0.72960440684269245</v>
      </c>
    </row>
    <row r="49" spans="2:7">
      <c r="B49" t="s">
        <v>305</v>
      </c>
      <c r="C49" s="38">
        <f>C37</f>
        <v>-7.2405987826945226E-2</v>
      </c>
      <c r="D49" s="38">
        <f t="shared" ref="D49:G49" si="30">D37</f>
        <v>-7.2405987826945226E-2</v>
      </c>
      <c r="E49" s="38">
        <f t="shared" si="30"/>
        <v>-7.2405987826945226E-2</v>
      </c>
      <c r="F49" s="38">
        <f t="shared" si="30"/>
        <v>-7.2405987826945226E-2</v>
      </c>
      <c r="G49" s="38">
        <f t="shared" si="30"/>
        <v>-7.2405987826945226E-2</v>
      </c>
    </row>
    <row r="50" spans="2:7">
      <c r="B50" t="s">
        <v>306</v>
      </c>
      <c r="C50" s="38">
        <f>C38</f>
        <v>-8.1257840534269432E-2</v>
      </c>
      <c r="D50" s="38">
        <f t="shared" ref="D50:G50" si="31">D38</f>
        <v>-8.1257840534269432E-2</v>
      </c>
      <c r="E50" s="38">
        <f t="shared" si="31"/>
        <v>-8.1257840534269432E-2</v>
      </c>
      <c r="F50" s="38">
        <f t="shared" si="31"/>
        <v>-8.1257840534269432E-2</v>
      </c>
      <c r="G50" s="38">
        <f t="shared" si="31"/>
        <v>-8.1257840534269432E-2</v>
      </c>
    </row>
    <row r="51" spans="2:7">
      <c r="B51" t="s">
        <v>307</v>
      </c>
      <c r="C51" s="38">
        <f>C39</f>
        <v>-1.656479892411606E-2</v>
      </c>
      <c r="D51" s="38">
        <f t="shared" ref="D51:G51" si="32">D39</f>
        <v>-1.656479892411606E-2</v>
      </c>
      <c r="E51" s="38">
        <f t="shared" si="32"/>
        <v>-1.656479892411606E-2</v>
      </c>
      <c r="F51" s="38">
        <f t="shared" si="32"/>
        <v>-1.656479892411606E-2</v>
      </c>
      <c r="G51" s="38">
        <f t="shared" si="32"/>
        <v>-1.656479892411606E-2</v>
      </c>
    </row>
    <row r="52" spans="2:7">
      <c r="B52" t="s">
        <v>308</v>
      </c>
      <c r="C52" s="38">
        <f>C40</f>
        <v>-1.656479892411606E-2</v>
      </c>
      <c r="D52" s="38">
        <f t="shared" ref="D52:G52" si="33">D40</f>
        <v>-1.656479892411606E-2</v>
      </c>
      <c r="E52" s="38">
        <f t="shared" si="33"/>
        <v>-1.656479892411606E-2</v>
      </c>
      <c r="F52" s="38">
        <f t="shared" si="33"/>
        <v>-1.656479892411606E-2</v>
      </c>
      <c r="G52" s="38">
        <f t="shared" si="33"/>
        <v>-1.656479892411606E-2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B5AA-AF3F-4FA4-B407-4C6FCDC3252A}">
  <sheetPr>
    <tabColor theme="9" tint="0.59999389629810485"/>
  </sheetPr>
  <dimension ref="A1:U97"/>
  <sheetViews>
    <sheetView showGridLines="0" workbookViewId="0">
      <selection activeCell="E5" sqref="E5"/>
    </sheetView>
  </sheetViews>
  <sheetFormatPr defaultColWidth="8.625" defaultRowHeight="15.95"/>
  <cols>
    <col min="1" max="1" width="5.625" style="76" customWidth="1"/>
    <col min="2" max="2" width="51.125" style="76" customWidth="1"/>
    <col min="3" max="3" width="11.375" style="76" bestFit="1" customWidth="1"/>
    <col min="4" max="4" width="15.125" style="76" bestFit="1" customWidth="1"/>
    <col min="5" max="5" width="17.625" style="76" bestFit="1" customWidth="1"/>
    <col min="6" max="6" width="16.125" style="76" bestFit="1" customWidth="1"/>
    <col min="7" max="7" width="24.125" style="76" bestFit="1" customWidth="1"/>
    <col min="8" max="8" width="25.125" style="76" bestFit="1" customWidth="1"/>
    <col min="9" max="9" width="11.375" style="76" customWidth="1"/>
    <col min="10" max="10" width="24.5" style="231" customWidth="1"/>
    <col min="11" max="14" width="15.625" style="76" customWidth="1"/>
    <col min="15" max="16" width="8.625" style="76"/>
    <col min="17" max="19" width="10.125" style="76" bestFit="1" customWidth="1"/>
    <col min="20" max="21" width="11.375" style="76" bestFit="1" customWidth="1"/>
    <col min="22" max="16384" width="8.625" style="76"/>
  </cols>
  <sheetData>
    <row r="1" spans="1:21">
      <c r="I1" s="166" t="s">
        <v>309</v>
      </c>
    </row>
    <row r="2" spans="1:21">
      <c r="A2" s="166"/>
      <c r="D2" s="658" t="s">
        <v>310</v>
      </c>
      <c r="E2" s="658"/>
      <c r="F2" s="658"/>
      <c r="G2" s="658"/>
      <c r="I2" s="399" t="s">
        <v>311</v>
      </c>
    </row>
    <row r="3" spans="1:21">
      <c r="I3" s="399" t="s">
        <v>312</v>
      </c>
    </row>
    <row r="4" spans="1:21">
      <c r="D4" s="165" t="s">
        <v>313</v>
      </c>
      <c r="E4" s="165" t="s">
        <v>314</v>
      </c>
      <c r="F4" s="165" t="s">
        <v>315</v>
      </c>
      <c r="G4" s="165" t="s">
        <v>316</v>
      </c>
      <c r="H4" s="242" t="s">
        <v>317</v>
      </c>
      <c r="I4" s="399" t="s">
        <v>318</v>
      </c>
    </row>
    <row r="5" spans="1:21">
      <c r="D5" s="167" t="s">
        <v>2</v>
      </c>
      <c r="E5" s="167" t="s">
        <v>1</v>
      </c>
      <c r="F5" s="167" t="s">
        <v>2</v>
      </c>
      <c r="G5" s="167" t="s">
        <v>2</v>
      </c>
      <c r="H5" s="167">
        <v>2</v>
      </c>
    </row>
    <row r="6" spans="1:21">
      <c r="D6" s="76" t="s">
        <v>11</v>
      </c>
    </row>
    <row r="8" spans="1:21">
      <c r="Q8" s="659" t="s">
        <v>319</v>
      </c>
      <c r="R8" s="660"/>
      <c r="S8" s="660"/>
      <c r="T8" s="660"/>
      <c r="U8" s="661"/>
    </row>
    <row r="9" spans="1:21">
      <c r="B9" s="168" t="s">
        <v>320</v>
      </c>
      <c r="C9" s="169">
        <v>2018</v>
      </c>
      <c r="D9" s="169">
        <f>C9+1</f>
        <v>2019</v>
      </c>
      <c r="E9" s="169">
        <f t="shared" ref="E9:F9" si="0">D9+1</f>
        <v>2020</v>
      </c>
      <c r="F9" s="169">
        <f t="shared" si="0"/>
        <v>2021</v>
      </c>
      <c r="G9" s="170"/>
      <c r="H9" s="662">
        <f>F9+1</f>
        <v>2022</v>
      </c>
      <c r="I9" s="663"/>
      <c r="J9" s="232"/>
      <c r="K9" s="169" t="s">
        <v>19</v>
      </c>
      <c r="L9" s="169" t="s">
        <v>20</v>
      </c>
      <c r="M9" s="169" t="s">
        <v>21</v>
      </c>
      <c r="N9" s="169" t="s">
        <v>22</v>
      </c>
      <c r="Q9" s="222">
        <v>2022</v>
      </c>
      <c r="R9" s="223">
        <v>2023</v>
      </c>
      <c r="S9" s="223">
        <v>2024</v>
      </c>
      <c r="T9" s="223">
        <v>2025</v>
      </c>
      <c r="U9" s="224">
        <v>2026</v>
      </c>
    </row>
    <row r="10" spans="1:21">
      <c r="B10" s="171" t="s">
        <v>321</v>
      </c>
      <c r="C10" s="170"/>
      <c r="D10" s="170"/>
      <c r="E10" s="170"/>
      <c r="F10" s="170"/>
      <c r="G10" s="172">
        <v>1</v>
      </c>
      <c r="H10" s="172">
        <v>2</v>
      </c>
      <c r="I10" s="172">
        <v>3</v>
      </c>
      <c r="J10" s="233">
        <v>4</v>
      </c>
      <c r="K10" s="170"/>
      <c r="L10" s="170"/>
      <c r="M10" s="170"/>
      <c r="N10" s="170"/>
      <c r="Q10" s="225"/>
      <c r="R10" s="226"/>
      <c r="S10" s="226"/>
      <c r="T10" s="226"/>
      <c r="U10" s="227"/>
    </row>
    <row r="11" spans="1:21">
      <c r="B11" s="173" t="s">
        <v>322</v>
      </c>
      <c r="C11" s="174">
        <v>677663</v>
      </c>
      <c r="D11" s="175">
        <v>1217504</v>
      </c>
      <c r="E11" s="175">
        <v>1267477</v>
      </c>
      <c r="F11" s="175">
        <v>2342332</v>
      </c>
      <c r="G11" s="174">
        <v>980692</v>
      </c>
      <c r="H11" s="174">
        <v>1455886</v>
      </c>
      <c r="I11" s="174">
        <v>1470036</v>
      </c>
      <c r="J11" s="234">
        <f>J29*J22</f>
        <v>1802585.1174035009</v>
      </c>
      <c r="K11" s="209">
        <f ca="1">K22*K29</f>
        <v>8338527.0664593717</v>
      </c>
      <c r="L11" s="209">
        <f ca="1">L22*L29</f>
        <v>8338527.0664593717</v>
      </c>
      <c r="M11" s="209">
        <f ca="1">M22*M29</f>
        <v>8338527.0664593717</v>
      </c>
      <c r="N11" s="209">
        <f ca="1">N22*N29</f>
        <v>8338527.0664593717</v>
      </c>
      <c r="Q11" s="228">
        <f>SUM(G19:J19)/2</f>
        <v>356310.78109541064</v>
      </c>
      <c r="R11" s="229">
        <f ca="1">K19/2</f>
        <v>536392.69350048283</v>
      </c>
      <c r="S11" s="229">
        <f ca="1">L19/2</f>
        <v>596535.39310816349</v>
      </c>
      <c r="T11" s="229">
        <f ca="1">M19/2</f>
        <v>656535.39310816349</v>
      </c>
      <c r="U11" s="230">
        <f ca="1">N19/2</f>
        <v>716535.39310816349</v>
      </c>
    </row>
    <row r="12" spans="1:21">
      <c r="B12" s="176" t="s">
        <v>323</v>
      </c>
      <c r="D12" s="177"/>
      <c r="E12" s="177"/>
      <c r="F12" s="177"/>
      <c r="I12" s="178"/>
      <c r="J12" s="235"/>
      <c r="K12" s="213"/>
      <c r="L12" s="213"/>
      <c r="M12" s="213"/>
      <c r="N12" s="213"/>
    </row>
    <row r="13" spans="1:21">
      <c r="B13" s="179" t="s">
        <v>324</v>
      </c>
      <c r="C13" s="180">
        <v>329636</v>
      </c>
      <c r="D13" s="181">
        <v>438672</v>
      </c>
      <c r="E13" s="181">
        <v>592781</v>
      </c>
      <c r="F13" s="181">
        <v>1575494</v>
      </c>
      <c r="G13" s="180">
        <v>807572</v>
      </c>
      <c r="H13" s="180">
        <v>1274665</v>
      </c>
      <c r="I13" s="180">
        <v>1229371</v>
      </c>
      <c r="J13" s="236">
        <f>J26*J22</f>
        <v>1542143.8496121515</v>
      </c>
      <c r="K13" s="214">
        <f ca="1">K26*K22</f>
        <v>7042527.0664593717</v>
      </c>
      <c r="L13" s="214">
        <f ca="1">L26*L22</f>
        <v>6922527.0664593726</v>
      </c>
      <c r="M13" s="214">
        <f ca="1">M26*M22</f>
        <v>6802527.0664593726</v>
      </c>
      <c r="N13" s="214">
        <f ca="1">N26*N22</f>
        <v>6682527.0664593726</v>
      </c>
    </row>
    <row r="14" spans="1:21">
      <c r="B14" s="173" t="s">
        <v>325</v>
      </c>
      <c r="C14" s="182">
        <f>C11-C13</f>
        <v>348027</v>
      </c>
      <c r="D14" s="183">
        <f>D11-D13</f>
        <v>778832</v>
      </c>
      <c r="E14" s="183">
        <f t="shared" ref="E14:F14" si="1">E11-E13</f>
        <v>674696</v>
      </c>
      <c r="F14" s="183">
        <f t="shared" si="1"/>
        <v>766838</v>
      </c>
      <c r="G14" s="182">
        <f>G11-G13</f>
        <v>173120</v>
      </c>
      <c r="H14" s="182">
        <f t="shared" ref="H14" si="2">H11-H13</f>
        <v>181221</v>
      </c>
      <c r="I14" s="184">
        <f>I11-I13</f>
        <v>240665</v>
      </c>
      <c r="J14" s="237">
        <f>J11-J13</f>
        <v>260441.26779134944</v>
      </c>
      <c r="K14" s="210">
        <f ca="1">K11-K13</f>
        <v>1296000</v>
      </c>
      <c r="L14" s="210">
        <f t="shared" ref="L14:N14" ca="1" si="3">L11-L13</f>
        <v>1415999.9999999991</v>
      </c>
      <c r="M14" s="210">
        <f t="shared" ca="1" si="3"/>
        <v>1535999.9999999991</v>
      </c>
      <c r="N14" s="210">
        <f t="shared" ca="1" si="3"/>
        <v>1655999.9999999991</v>
      </c>
    </row>
    <row r="15" spans="1:21">
      <c r="B15" s="179" t="s">
        <v>326</v>
      </c>
      <c r="C15" s="180">
        <v>29434</v>
      </c>
      <c r="D15" s="181">
        <v>50767</v>
      </c>
      <c r="E15" s="181">
        <v>44882</v>
      </c>
      <c r="F15" s="181">
        <v>58326</v>
      </c>
      <c r="G15" s="180">
        <v>26492</v>
      </c>
      <c r="H15" s="180">
        <v>31317</v>
      </c>
      <c r="I15" s="180">
        <v>31793</v>
      </c>
      <c r="J15" s="236">
        <f>J22*J27</f>
        <v>40517.460000000006</v>
      </c>
      <c r="K15" s="215">
        <f ca="1">K22*K27</f>
        <v>202082.89611752363</v>
      </c>
      <c r="L15" s="215">
        <f ca="1">L22*L27</f>
        <v>202082.89611752363</v>
      </c>
      <c r="M15" s="215">
        <f ca="1">M22*M27</f>
        <v>202082.89611752363</v>
      </c>
      <c r="N15" s="215">
        <f ca="1">N22*N27</f>
        <v>202082.89611752363</v>
      </c>
    </row>
    <row r="16" spans="1:21">
      <c r="B16" s="173" t="s">
        <v>175</v>
      </c>
      <c r="C16" s="186">
        <f>(C14-C15)</f>
        <v>318593</v>
      </c>
      <c r="D16" s="187">
        <f>D14-D15</f>
        <v>728065</v>
      </c>
      <c r="E16" s="187">
        <f t="shared" ref="E16:F16" si="4">E14-E15</f>
        <v>629814</v>
      </c>
      <c r="F16" s="187">
        <f t="shared" si="4"/>
        <v>708512</v>
      </c>
      <c r="G16" s="186">
        <f>G14-G15</f>
        <v>146628</v>
      </c>
      <c r="H16" s="186">
        <f t="shared" ref="H16:I16" si="5">H14-H15</f>
        <v>149904</v>
      </c>
      <c r="I16" s="184">
        <f t="shared" si="5"/>
        <v>208872</v>
      </c>
      <c r="J16" s="237">
        <f>J14-J15</f>
        <v>219923.80779134942</v>
      </c>
      <c r="K16" s="211">
        <f ca="1">K14-K15</f>
        <v>1093917.1038824765</v>
      </c>
      <c r="L16" s="211">
        <f ca="1">L14-L15</f>
        <v>1213917.1038824755</v>
      </c>
      <c r="M16" s="211">
        <f ca="1">M14-M15</f>
        <v>1333917.1038824755</v>
      </c>
      <c r="N16" s="210">
        <f ca="1">N14-N15</f>
        <v>1453917.1038824755</v>
      </c>
    </row>
    <row r="17" spans="2:17">
      <c r="B17" s="176" t="s">
        <v>327</v>
      </c>
      <c r="C17" s="185">
        <v>1919</v>
      </c>
      <c r="D17" s="188">
        <v>2121</v>
      </c>
      <c r="E17" s="188">
        <v>1636</v>
      </c>
      <c r="F17" s="188">
        <v>678</v>
      </c>
      <c r="G17" s="185">
        <v>-11</v>
      </c>
      <c r="H17" s="185">
        <v>722</v>
      </c>
      <c r="I17" s="189">
        <v>113</v>
      </c>
      <c r="J17" s="237">
        <v>0</v>
      </c>
      <c r="K17" s="210">
        <v>0</v>
      </c>
      <c r="L17" s="210">
        <v>0</v>
      </c>
      <c r="M17" s="210">
        <v>0</v>
      </c>
      <c r="N17" s="210">
        <v>0</v>
      </c>
    </row>
    <row r="18" spans="2:17">
      <c r="B18" s="179" t="s">
        <v>328</v>
      </c>
      <c r="C18" s="180">
        <v>-955</v>
      </c>
      <c r="D18" s="181">
        <v>-1282</v>
      </c>
      <c r="E18" s="181">
        <v>-1260</v>
      </c>
      <c r="F18" s="181">
        <v>-5936</v>
      </c>
      <c r="G18" s="180">
        <v>-3009</v>
      </c>
      <c r="H18" s="180">
        <v>-3266</v>
      </c>
      <c r="I18" s="180">
        <v>-3259</v>
      </c>
      <c r="J18" s="236">
        <f>J28*J11</f>
        <v>-3996.245600528157</v>
      </c>
      <c r="K18" s="215">
        <f ca="1">K28*K11</f>
        <v>-21131.716881510747</v>
      </c>
      <c r="L18" s="215">
        <f ca="1">L28*L11</f>
        <v>-20846.317666148429</v>
      </c>
      <c r="M18" s="215">
        <f ca="1">M28*M11</f>
        <v>-20846.317666148429</v>
      </c>
      <c r="N18" s="215">
        <f ca="1">N28*N11</f>
        <v>-20846.317666148429</v>
      </c>
    </row>
    <row r="19" spans="2:17">
      <c r="B19" s="173" t="s">
        <v>125</v>
      </c>
      <c r="C19" s="190">
        <v>319557</v>
      </c>
      <c r="D19" s="191">
        <v>728904</v>
      </c>
      <c r="E19" s="191">
        <v>630190</v>
      </c>
      <c r="F19" s="191">
        <v>703254</v>
      </c>
      <c r="G19" s="192">
        <f>SUM(G16:G18)</f>
        <v>143608</v>
      </c>
      <c r="H19" s="192">
        <f t="shared" ref="H19:J19" si="6">SUM(H16:H18)</f>
        <v>147360</v>
      </c>
      <c r="I19" s="193">
        <f t="shared" si="6"/>
        <v>205726</v>
      </c>
      <c r="J19" s="238">
        <f t="shared" si="6"/>
        <v>215927.56219082125</v>
      </c>
      <c r="K19" s="212">
        <f ca="1">K16+K18</f>
        <v>1072785.3870009657</v>
      </c>
      <c r="L19" s="212">
        <f ca="1">L16+L18</f>
        <v>1193070.786216327</v>
      </c>
      <c r="M19" s="212">
        <f ca="1">M16+M18</f>
        <v>1313070.786216327</v>
      </c>
      <c r="N19" s="212">
        <f ca="1">N16+N18</f>
        <v>1433070.786216327</v>
      </c>
      <c r="Q19" s="76" t="s">
        <v>11</v>
      </c>
    </row>
    <row r="20" spans="2:17">
      <c r="D20" s="194"/>
      <c r="E20" s="194"/>
      <c r="F20" s="194"/>
      <c r="J20" s="235"/>
      <c r="K20" s="213"/>
      <c r="L20" s="213"/>
      <c r="M20" s="651"/>
      <c r="N20" s="213"/>
    </row>
    <row r="21" spans="2:17">
      <c r="B21" s="76" t="s">
        <v>329</v>
      </c>
      <c r="C21" s="185">
        <v>431</v>
      </c>
      <c r="D21" s="195">
        <v>760</v>
      </c>
      <c r="E21" s="195">
        <v>787</v>
      </c>
      <c r="F21" s="195">
        <v>1014</v>
      </c>
      <c r="G21" s="185">
        <v>1738</v>
      </c>
      <c r="H21" s="185">
        <v>2182</v>
      </c>
      <c r="I21" s="189">
        <f>I22/91</f>
        <v>2094.5054945054944</v>
      </c>
      <c r="J21" s="237">
        <f>J22/94</f>
        <v>2535.5106382978724</v>
      </c>
      <c r="K21" s="210">
        <f ca="1">K22/365</f>
        <v>3287.6712328767121</v>
      </c>
      <c r="L21" s="210">
        <f ca="1">L22/365</f>
        <v>3287.6712328767121</v>
      </c>
      <c r="M21" s="210">
        <f ca="1">M22/365</f>
        <v>3287.6712328767121</v>
      </c>
      <c r="N21" s="210">
        <f ca="1">N22/365</f>
        <v>3287.6712328767121</v>
      </c>
    </row>
    <row r="22" spans="2:17">
      <c r="B22" s="76" t="s">
        <v>330</v>
      </c>
      <c r="C22" s="185">
        <f>C21*365</f>
        <v>157315</v>
      </c>
      <c r="D22" s="185">
        <f t="shared" ref="D22" si="7">D21*365</f>
        <v>277400</v>
      </c>
      <c r="E22" s="185">
        <f>E21*365</f>
        <v>287255</v>
      </c>
      <c r="F22" s="185">
        <f>F21*365</f>
        <v>370110</v>
      </c>
      <c r="G22" s="185">
        <f>G21*89</f>
        <v>154682</v>
      </c>
      <c r="H22" s="185">
        <f>H21*90</f>
        <v>196380</v>
      </c>
      <c r="I22" s="189">
        <v>190600</v>
      </c>
      <c r="J22" s="238">
        <f>780000-I22-H22-G22</f>
        <v>238338</v>
      </c>
      <c r="K22" s="212">
        <f ca="1">SUM(G22:J22)+OFFSET(K74,MATCH($E$5,$J$74:$J$77,0)+MATCH($E$4,$J$74:$J$92,0)-2,0)</f>
        <v>1200000</v>
      </c>
      <c r="L22" s="212">
        <f ca="1">K22+OFFSET(L74,MATCH($E$5,$J$74:$J$77,0)+MATCH($E$4,$J$74:$J$92,0)-2,0)</f>
        <v>1200000</v>
      </c>
      <c r="M22" s="212">
        <f ca="1">L22+OFFSET(M74,MATCH($E$5,$J$74:$J$77,0)+MATCH($E$4,$J$74:$J$92,0)-2,0)</f>
        <v>1200000</v>
      </c>
      <c r="N22" s="212">
        <f ca="1">M22+OFFSET(N74,MATCH($E$5,$J$74:$J$77,0)+MATCH($E$4,$J$74:$J$92,0)-2,0)</f>
        <v>1200000</v>
      </c>
      <c r="O22" s="202"/>
    </row>
    <row r="23" spans="2:17">
      <c r="B23" s="166" t="s">
        <v>331</v>
      </c>
      <c r="C23" s="196">
        <f>C14/C22</f>
        <v>2.2122938054222421</v>
      </c>
      <c r="D23" s="196">
        <f>D14/D22</f>
        <v>2.8076135544340302</v>
      </c>
      <c r="E23" s="196">
        <f t="shared" ref="E23:F23" si="8">E14/E22</f>
        <v>2.3487702563924038</v>
      </c>
      <c r="F23" s="196">
        <f t="shared" si="8"/>
        <v>2.0719191591688957</v>
      </c>
      <c r="G23" s="196">
        <f>G14/G22</f>
        <v>1.1191993897156747</v>
      </c>
      <c r="H23" s="196">
        <f t="shared" ref="H23" si="9">H14/H22</f>
        <v>0.92280782157042474</v>
      </c>
      <c r="I23" s="197">
        <f>I14/I22</f>
        <v>1.2626705141657923</v>
      </c>
      <c r="J23" s="239">
        <f>J14/J22</f>
        <v>1.0927391678681093</v>
      </c>
      <c r="K23" s="216">
        <f ca="1">K14/K22</f>
        <v>1.08</v>
      </c>
      <c r="L23" s="216">
        <f t="shared" ref="L23:N23" ca="1" si="10">L14/L22</f>
        <v>1.1799999999999993</v>
      </c>
      <c r="M23" s="216">
        <f t="shared" ca="1" si="10"/>
        <v>1.2799999999999991</v>
      </c>
      <c r="N23" s="216">
        <f t="shared" ca="1" si="10"/>
        <v>1.3799999999999992</v>
      </c>
    </row>
    <row r="24" spans="2:17">
      <c r="B24" s="199" t="s">
        <v>332</v>
      </c>
      <c r="C24" s="200">
        <v>2.1800000000000002</v>
      </c>
      <c r="D24" s="200">
        <v>2.25</v>
      </c>
      <c r="E24" s="200">
        <v>2.34</v>
      </c>
      <c r="F24" s="200">
        <v>2.0699999999999998</v>
      </c>
      <c r="G24" s="200">
        <v>1.1100000000000001</v>
      </c>
      <c r="H24" s="200">
        <v>0.91</v>
      </c>
      <c r="I24" s="200">
        <v>1.26</v>
      </c>
      <c r="J24" s="400">
        <v>1.1000000000000001</v>
      </c>
      <c r="K24" s="217"/>
      <c r="L24" s="218"/>
      <c r="M24" s="218"/>
      <c r="N24" s="218"/>
    </row>
    <row r="25" spans="2:17">
      <c r="B25" s="166" t="s">
        <v>333</v>
      </c>
      <c r="C25" s="196">
        <f>C23-C24</f>
        <v>3.2293805422241917E-2</v>
      </c>
      <c r="D25" s="196">
        <f>D23-D24</f>
        <v>0.55761355443403016</v>
      </c>
      <c r="E25" s="196">
        <f>E23-E24</f>
        <v>8.770256392403919E-3</v>
      </c>
      <c r="F25" s="196">
        <f>F23-F24</f>
        <v>1.9191591688958454E-3</v>
      </c>
      <c r="G25" s="196">
        <f t="shared" ref="G25:I25" si="11">G23-G24</f>
        <v>9.1993897156745774E-3</v>
      </c>
      <c r="H25" s="196">
        <f t="shared" si="11"/>
        <v>1.2807821570424704E-2</v>
      </c>
      <c r="I25" s="197">
        <f t="shared" si="11"/>
        <v>2.670514165792337E-3</v>
      </c>
      <c r="J25" s="240">
        <f>J23-J24</f>
        <v>-7.2608321318907709E-3</v>
      </c>
      <c r="K25" s="219"/>
      <c r="L25" s="219"/>
      <c r="M25" s="219"/>
      <c r="N25" s="216"/>
      <c r="O25" s="202" t="s">
        <v>334</v>
      </c>
    </row>
    <row r="26" spans="2:17">
      <c r="B26" s="166" t="s">
        <v>317</v>
      </c>
      <c r="C26" s="201">
        <f t="shared" ref="C26:I26" si="12">C13/C22</f>
        <v>2.0953882337984298</v>
      </c>
      <c r="D26" s="201">
        <f t="shared" si="12"/>
        <v>1.5813698630136985</v>
      </c>
      <c r="E26" s="201">
        <f t="shared" si="12"/>
        <v>2.0636055073018746</v>
      </c>
      <c r="F26" s="201">
        <f t="shared" si="12"/>
        <v>4.2568263489232931</v>
      </c>
      <c r="G26" s="201">
        <f t="shared" si="12"/>
        <v>5.2208531050801001</v>
      </c>
      <c r="H26" s="201">
        <f t="shared" si="12"/>
        <v>6.4908086363173441</v>
      </c>
      <c r="I26" s="203">
        <f t="shared" si="12"/>
        <v>6.4500052465897166</v>
      </c>
      <c r="J26" s="239">
        <f>AVERAGE(H26:I26)</f>
        <v>6.4704069414535308</v>
      </c>
      <c r="K26" s="216">
        <f>CHOOSE(H5,K95,K96,K97)</f>
        <v>5.8687725553828098</v>
      </c>
      <c r="L26" s="216">
        <f>K26+$O$26</f>
        <v>5.7687725553828102</v>
      </c>
      <c r="M26" s="216">
        <f>L26+$O$26</f>
        <v>5.6687725553828106</v>
      </c>
      <c r="N26" s="216">
        <f>M26+$O$26</f>
        <v>5.5687725553828109</v>
      </c>
      <c r="O26" s="198">
        <f>-0.1</f>
        <v>-0.1</v>
      </c>
      <c r="P26" s="221" t="s">
        <v>335</v>
      </c>
    </row>
    <row r="27" spans="2:17">
      <c r="B27" s="166" t="s">
        <v>336</v>
      </c>
      <c r="C27" s="201">
        <f t="shared" ref="C27:I27" si="13">C15/C22</f>
        <v>0.18710231065060548</v>
      </c>
      <c r="D27" s="201">
        <f t="shared" si="13"/>
        <v>0.18301009372746935</v>
      </c>
      <c r="E27" s="201">
        <f t="shared" si="13"/>
        <v>0.15624445179370247</v>
      </c>
      <c r="F27" s="201">
        <f t="shared" si="13"/>
        <v>0.15759098646348382</v>
      </c>
      <c r="G27" s="201">
        <f t="shared" si="13"/>
        <v>0.17126750365265511</v>
      </c>
      <c r="H27" s="201">
        <f t="shared" si="13"/>
        <v>0.15947143293614421</v>
      </c>
      <c r="I27" s="203">
        <f t="shared" si="13"/>
        <v>0.16680482686253936</v>
      </c>
      <c r="J27" s="240">
        <v>0.17</v>
      </c>
      <c r="K27" s="216">
        <f ca="1">OFFSET(K74,MATCH($D$5,$J$74:$J$77,0)+MATCH($D$4,$J$74:$J$92,0)-2,0)</f>
        <v>0.16840241343126969</v>
      </c>
      <c r="L27" s="216">
        <f ca="1">OFFSET(L74,MATCH($D$5,$J$74:$J$77,0)+MATCH($D$4,$J$74:$J$92,0)-2,0)</f>
        <v>0.16840241343126969</v>
      </c>
      <c r="M27" s="216">
        <f ca="1">OFFSET(M74,MATCH($D$5,$J$74:$J$77,0)+MATCH($D$4,$J$74:$J$92,0)-2,0)</f>
        <v>0.16840241343126969</v>
      </c>
      <c r="N27" s="216">
        <f ca="1">OFFSET(N74,MATCH($D$5,$J$74:$J$77,0)+MATCH($D$4,$J$74:$J$92,0)-2,0)</f>
        <v>0.16840241343126969</v>
      </c>
    </row>
    <row r="28" spans="2:17">
      <c r="B28" s="166" t="s">
        <v>337</v>
      </c>
      <c r="C28" s="204">
        <f t="shared" ref="C28:I28" si="14">C18/C11</f>
        <v>-1.4092550426982142E-3</v>
      </c>
      <c r="D28" s="204">
        <f t="shared" si="14"/>
        <v>-1.0529739532683261E-3</v>
      </c>
      <c r="E28" s="204">
        <f t="shared" si="14"/>
        <v>-9.9410087914810299E-4</v>
      </c>
      <c r="F28" s="204">
        <f t="shared" si="14"/>
        <v>-2.5342265742004121E-3</v>
      </c>
      <c r="G28" s="204">
        <f t="shared" si="14"/>
        <v>-3.0682416089863078E-3</v>
      </c>
      <c r="H28" s="204">
        <f t="shared" si="14"/>
        <v>-2.2433075117145162E-3</v>
      </c>
      <c r="I28" s="205">
        <f t="shared" si="14"/>
        <v>-2.2169525100065577E-3</v>
      </c>
      <c r="J28" s="241">
        <f>I28</f>
        <v>-2.2169525100065577E-3</v>
      </c>
      <c r="K28" s="220">
        <f ca="1">OFFSET(K74,MATCH($G$5,$J$74:$J$77,0)+MATCH($G$4,$J$74:$J$92,0)-2,0)</f>
        <v>-2.5342265742004121E-3</v>
      </c>
      <c r="L28" s="220">
        <f ca="1">OFFSET(L74,MATCH($G$5,$J$74:$J$77,0)+MATCH($G$4,$J$74:$J$92,0)-2,0)</f>
        <v>-2.5000000000000001E-3</v>
      </c>
      <c r="M28" s="220">
        <f ca="1">OFFSET(M74,MATCH($G$5,$J$74:$J$77,0)+MATCH($G$4,$J$74:$J$92,0)-2,0)</f>
        <v>-2.5000000000000001E-3</v>
      </c>
      <c r="N28" s="220">
        <f ca="1">OFFSET(N74,MATCH($G$5,$J$74:$J$77,0)+MATCH($G$4,$J$74:$J$92,0)-2,0)</f>
        <v>-2.5000000000000001E-3</v>
      </c>
    </row>
    <row r="29" spans="2:17">
      <c r="B29" s="166" t="s">
        <v>338</v>
      </c>
      <c r="C29" s="201">
        <f t="shared" ref="C29:I29" si="15">C11/C22</f>
        <v>4.3076820392206718</v>
      </c>
      <c r="D29" s="201">
        <f t="shared" si="15"/>
        <v>4.3889834174477294</v>
      </c>
      <c r="E29" s="201">
        <f t="shared" si="15"/>
        <v>4.4123757636942784</v>
      </c>
      <c r="F29" s="201">
        <f t="shared" si="15"/>
        <v>6.3287455080921884</v>
      </c>
      <c r="G29" s="201">
        <f t="shared" si="15"/>
        <v>6.3400524947957742</v>
      </c>
      <c r="H29" s="201">
        <f t="shared" si="15"/>
        <v>7.4136164578877688</v>
      </c>
      <c r="I29" s="203">
        <f t="shared" si="15"/>
        <v>7.7126757607555092</v>
      </c>
      <c r="J29" s="239">
        <f>AVERAGE(H29:I29)</f>
        <v>7.5631461093216394</v>
      </c>
      <c r="K29" s="216">
        <f ca="1">OFFSET(K74,MATCH($F$5,$J$74:$J$77,0)+MATCH($F$4,$J$74:$J$92,0)-2,0)</f>
        <v>6.9487725553828099</v>
      </c>
      <c r="L29" s="216">
        <f ca="1">OFFSET(L74,MATCH($F$5,$J$74:$J$77,0)+MATCH($F$4,$J$74:$J$92,0)-2,0)</f>
        <v>6.9487725553828099</v>
      </c>
      <c r="M29" s="216">
        <f ca="1">OFFSET(M74,MATCH($F$5,$J$74:$J$77,0)+MATCH($F$4,$J$74:$J$92,0)-2,0)</f>
        <v>6.9487725553828099</v>
      </c>
      <c r="N29" s="216">
        <f ca="1">OFFSET(N74,MATCH($F$5,$J$74:$J$77,0)+MATCH($F$4,$J$74:$J$92,0)-2,0)</f>
        <v>6.9487725553828099</v>
      </c>
      <c r="P29" s="76" t="s">
        <v>11</v>
      </c>
    </row>
    <row r="30" spans="2:17">
      <c r="G30" s="201">
        <f>G12/G23</f>
        <v>0</v>
      </c>
      <c r="K30" s="76" t="s">
        <v>11</v>
      </c>
    </row>
    <row r="32" spans="2:17">
      <c r="K32" s="198"/>
    </row>
    <row r="34" spans="3:12">
      <c r="L34" s="178"/>
    </row>
    <row r="36" spans="3:12">
      <c r="J36" s="164"/>
    </row>
    <row r="37" spans="3:12">
      <c r="J37" s="164"/>
      <c r="K37" s="76" t="s">
        <v>11</v>
      </c>
    </row>
    <row r="41" spans="3:12">
      <c r="C41" s="166"/>
    </row>
    <row r="45" spans="3:12">
      <c r="G45" s="76" t="s">
        <v>11</v>
      </c>
    </row>
    <row r="48" spans="3:12">
      <c r="C48" s="207"/>
      <c r="D48" s="207"/>
    </row>
    <row r="49" spans="3:8">
      <c r="C49" s="207"/>
      <c r="D49" s="207"/>
      <c r="E49" s="207"/>
      <c r="F49" s="207"/>
    </row>
    <row r="50" spans="3:8">
      <c r="C50" s="207"/>
      <c r="D50" s="207"/>
      <c r="E50" s="207"/>
      <c r="F50" s="207"/>
    </row>
    <row r="58" spans="3:8">
      <c r="C58" s="206"/>
      <c r="D58" s="206"/>
      <c r="E58" s="206"/>
      <c r="F58" s="206"/>
    </row>
    <row r="59" spans="3:8">
      <c r="C59" s="206"/>
      <c r="D59" s="206"/>
      <c r="E59" s="206"/>
      <c r="F59" s="206"/>
    </row>
    <row r="60" spans="3:8">
      <c r="C60" s="206"/>
      <c r="D60" s="206"/>
      <c r="E60" s="206"/>
      <c r="F60" s="206"/>
      <c r="H60" s="76" t="s">
        <v>11</v>
      </c>
    </row>
    <row r="73" spans="10:14">
      <c r="K73" s="76" t="s">
        <v>19</v>
      </c>
      <c r="L73" s="76" t="s">
        <v>20</v>
      </c>
      <c r="M73" s="76" t="s">
        <v>21</v>
      </c>
      <c r="N73" s="76" t="s">
        <v>22</v>
      </c>
    </row>
    <row r="74" spans="10:14">
      <c r="J74" s="231" t="s">
        <v>313</v>
      </c>
    </row>
    <row r="75" spans="10:14">
      <c r="J75" s="231" t="s">
        <v>1</v>
      </c>
      <c r="K75" s="198">
        <f>K76-0.01</f>
        <v>0.15840241343126968</v>
      </c>
      <c r="L75" s="198">
        <f>K75</f>
        <v>0.15840241343126968</v>
      </c>
      <c r="M75" s="198">
        <f t="shared" ref="M75:N75" si="16">L75</f>
        <v>0.15840241343126968</v>
      </c>
      <c r="N75" s="198">
        <f t="shared" si="16"/>
        <v>0.15840241343126968</v>
      </c>
    </row>
    <row r="76" spans="10:14">
      <c r="J76" s="231" t="s">
        <v>2</v>
      </c>
      <c r="K76" s="198">
        <f>MEDIAN(J27,I27,H27,G27)</f>
        <v>0.16840241343126969</v>
      </c>
      <c r="L76" s="198">
        <f>$K$76</f>
        <v>0.16840241343126969</v>
      </c>
      <c r="M76" s="198">
        <f t="shared" ref="M76:N76" si="17">$K$76</f>
        <v>0.16840241343126969</v>
      </c>
      <c r="N76" s="198">
        <f t="shared" si="17"/>
        <v>0.16840241343126969</v>
      </c>
    </row>
    <row r="77" spans="10:14">
      <c r="J77" s="231" t="s">
        <v>4</v>
      </c>
      <c r="K77" s="198">
        <f>K76+0.01</f>
        <v>0.1784024134312697</v>
      </c>
      <c r="L77" s="198">
        <f>K77</f>
        <v>0.1784024134312697</v>
      </c>
      <c r="M77" s="198">
        <f t="shared" ref="M77:N77" si="18">L77</f>
        <v>0.1784024134312697</v>
      </c>
      <c r="N77" s="198">
        <f t="shared" si="18"/>
        <v>0.1784024134312697</v>
      </c>
    </row>
    <row r="79" spans="10:14">
      <c r="J79" s="231" t="s">
        <v>314</v>
      </c>
    </row>
    <row r="80" spans="10:14">
      <c r="J80" s="231" t="s">
        <v>1</v>
      </c>
      <c r="K80" s="208">
        <v>420000</v>
      </c>
      <c r="L80" s="208">
        <v>0</v>
      </c>
      <c r="M80" s="208">
        <v>0</v>
      </c>
      <c r="N80" s="208">
        <v>0</v>
      </c>
    </row>
    <row r="81" spans="6:15">
      <c r="J81" s="231" t="s">
        <v>2</v>
      </c>
      <c r="K81" s="208">
        <v>210000</v>
      </c>
      <c r="L81" s="208">
        <v>210000</v>
      </c>
      <c r="M81" s="208">
        <v>0</v>
      </c>
      <c r="N81" s="208">
        <v>0</v>
      </c>
    </row>
    <row r="82" spans="6:15">
      <c r="F82" s="76">
        <v>1</v>
      </c>
      <c r="G82" s="76" t="s">
        <v>1</v>
      </c>
      <c r="J82" s="231" t="s">
        <v>4</v>
      </c>
      <c r="K82" s="208">
        <v>140000</v>
      </c>
      <c r="L82" s="208">
        <v>140000</v>
      </c>
      <c r="M82" s="208">
        <v>140000</v>
      </c>
      <c r="N82" s="208">
        <v>0</v>
      </c>
    </row>
    <row r="83" spans="6:15">
      <c r="F83" s="76">
        <v>2</v>
      </c>
      <c r="G83" s="76" t="s">
        <v>2</v>
      </c>
    </row>
    <row r="84" spans="6:15">
      <c r="F84" s="76">
        <v>3</v>
      </c>
      <c r="G84" s="76" t="s">
        <v>4</v>
      </c>
      <c r="J84" s="231" t="s">
        <v>315</v>
      </c>
    </row>
    <row r="85" spans="6:15">
      <c r="J85" s="231" t="s">
        <v>1</v>
      </c>
      <c r="K85" s="198">
        <f>K86*1.1</f>
        <v>7.6436498109210911</v>
      </c>
      <c r="L85" s="198">
        <f t="shared" ref="L85:N85" si="19">L86*1.1</f>
        <v>7.6436498109210911</v>
      </c>
      <c r="M85" s="198">
        <f t="shared" si="19"/>
        <v>7.6436498109210911</v>
      </c>
      <c r="N85" s="198">
        <f t="shared" si="19"/>
        <v>7.6436498109210911</v>
      </c>
    </row>
    <row r="86" spans="6:15">
      <c r="J86" s="231" t="s">
        <v>2</v>
      </c>
      <c r="K86" s="198">
        <f>AVERAGE($G$29:$I$29)*0.75 +$F$29*0.25</f>
        <v>6.9487725553828099</v>
      </c>
      <c r="L86" s="198">
        <f>AVERAGE($G$29:$I$29)*0.75 +$F$29*0.25</f>
        <v>6.9487725553828099</v>
      </c>
      <c r="M86" s="198">
        <f>AVERAGE($G$29:$I$29)*0.75 +$F$29*0.25</f>
        <v>6.9487725553828099</v>
      </c>
      <c r="N86" s="198">
        <f>AVERAGE($G$29:$I$29)*0.75 +$F$29*0.25</f>
        <v>6.9487725553828099</v>
      </c>
    </row>
    <row r="87" spans="6:15">
      <c r="J87" s="231" t="s">
        <v>4</v>
      </c>
      <c r="K87" s="198">
        <f>K86*0.9</f>
        <v>6.2538952998445287</v>
      </c>
      <c r="L87" s="198">
        <f t="shared" ref="L87:N87" si="20">L86*0.9</f>
        <v>6.2538952998445287</v>
      </c>
      <c r="M87" s="198">
        <f t="shared" si="20"/>
        <v>6.2538952998445287</v>
      </c>
      <c r="N87" s="198">
        <f t="shared" si="20"/>
        <v>6.2538952998445287</v>
      </c>
    </row>
    <row r="88" spans="6:15">
      <c r="K88" s="76" t="s">
        <v>11</v>
      </c>
    </row>
    <row r="89" spans="6:15">
      <c r="J89" s="231" t="s">
        <v>316</v>
      </c>
    </row>
    <row r="90" spans="6:15">
      <c r="J90" s="231" t="s">
        <v>1</v>
      </c>
      <c r="K90" s="206">
        <v>-1E-3</v>
      </c>
      <c r="L90" s="206">
        <v>-1E-3</v>
      </c>
      <c r="M90" s="206">
        <v>-1E-3</v>
      </c>
      <c r="N90" s="206">
        <v>-1E-3</v>
      </c>
    </row>
    <row r="91" spans="6:15">
      <c r="J91" s="231" t="s">
        <v>2</v>
      </c>
      <c r="K91" s="206">
        <f>F28</f>
        <v>-2.5342265742004121E-3</v>
      </c>
      <c r="L91" s="206">
        <v>-2.5000000000000001E-3</v>
      </c>
      <c r="M91" s="206">
        <v>-2.5000000000000001E-3</v>
      </c>
      <c r="N91" s="206">
        <v>-2.5000000000000001E-3</v>
      </c>
    </row>
    <row r="92" spans="6:15">
      <c r="J92" s="231" t="s">
        <v>4</v>
      </c>
      <c r="K92" s="206">
        <v>-3.0000000000000001E-3</v>
      </c>
      <c r="L92" s="206">
        <v>-3.0000000000000001E-3</v>
      </c>
      <c r="M92" s="206">
        <v>-3.0000000000000001E-3</v>
      </c>
      <c r="N92" s="206">
        <v>-3.0000000000000001E-3</v>
      </c>
    </row>
    <row r="94" spans="6:15">
      <c r="J94" s="164" t="s">
        <v>317</v>
      </c>
    </row>
    <row r="95" spans="6:15">
      <c r="J95" s="231" t="s">
        <v>1</v>
      </c>
      <c r="K95" s="198">
        <f>K96*0.9</f>
        <v>5.2818952998445292</v>
      </c>
      <c r="L95" s="198">
        <f>K95+$O$96</f>
        <v>5.1818952998445296</v>
      </c>
      <c r="M95" s="198">
        <f t="shared" ref="M95:N95" si="21">L95+$O$96</f>
        <v>5.0818952998445299</v>
      </c>
      <c r="N95" s="198">
        <f t="shared" si="21"/>
        <v>4.9818952998445303</v>
      </c>
    </row>
    <row r="96" spans="6:15">
      <c r="J96" s="231" t="s">
        <v>2</v>
      </c>
      <c r="K96" s="198">
        <f>K86-1.08</f>
        <v>5.8687725553828098</v>
      </c>
      <c r="L96" s="198">
        <f>K96+$O$96</f>
        <v>5.7687725553828102</v>
      </c>
      <c r="M96" s="198">
        <f t="shared" ref="M96:N96" si="22">L96+$O$96</f>
        <v>5.6687725553828106</v>
      </c>
      <c r="N96" s="198">
        <f t="shared" si="22"/>
        <v>5.5687725553828109</v>
      </c>
      <c r="O96" s="76">
        <v>-0.1</v>
      </c>
    </row>
    <row r="97" spans="10:14">
      <c r="J97" s="231" t="s">
        <v>4</v>
      </c>
      <c r="K97" s="198">
        <f>K96*1.1</f>
        <v>6.4556498109210914</v>
      </c>
      <c r="L97" s="198">
        <f>K97</f>
        <v>6.4556498109210914</v>
      </c>
      <c r="M97" s="198">
        <f>L97</f>
        <v>6.4556498109210914</v>
      </c>
      <c r="N97" s="198">
        <f>M97</f>
        <v>6.4556498109210914</v>
      </c>
    </row>
  </sheetData>
  <mergeCells count="3">
    <mergeCell ref="D2:G2"/>
    <mergeCell ref="Q8:U8"/>
    <mergeCell ref="H9:I9"/>
  </mergeCells>
  <dataValidations count="2">
    <dataValidation type="list" allowBlank="1" showInputMessage="1" showErrorMessage="1" sqref="D5:G5" xr:uid="{9085981E-A426-40F6-917A-77F973D808CF}">
      <formula1>$G$82:$G$84</formula1>
    </dataValidation>
    <dataValidation type="list" allowBlank="1" showInputMessage="1" showErrorMessage="1" sqref="H5" xr:uid="{710EBF34-2A3E-E04D-9606-1E12F1AB0974}">
      <formula1>$F$82:$F$84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3:N150"/>
  <sheetViews>
    <sheetView topLeftCell="J2" zoomScale="99" workbookViewId="0">
      <selection activeCell="E54" sqref="E54"/>
    </sheetView>
  </sheetViews>
  <sheetFormatPr defaultColWidth="11" defaultRowHeight="15.95"/>
  <cols>
    <col min="1" max="1" width="5.875" customWidth="1"/>
    <col min="2" max="2" width="48.875" bestFit="1" customWidth="1"/>
    <col min="5" max="8" width="13.125" bestFit="1" customWidth="1"/>
    <col min="9" max="10" width="12.375" bestFit="1" customWidth="1"/>
  </cols>
  <sheetData>
    <row r="3" spans="2:14">
      <c r="B3" s="541" t="s">
        <v>339</v>
      </c>
      <c r="C3" s="542"/>
      <c r="D3" s="542"/>
      <c r="E3" s="543" t="s">
        <v>17</v>
      </c>
      <c r="F3" s="544" t="s">
        <v>18</v>
      </c>
      <c r="G3" s="544" t="s">
        <v>19</v>
      </c>
      <c r="H3" s="544" t="s">
        <v>20</v>
      </c>
      <c r="I3" s="544" t="s">
        <v>21</v>
      </c>
      <c r="J3" s="544" t="s">
        <v>22</v>
      </c>
      <c r="K3" s="1"/>
      <c r="L3" s="7" t="s">
        <v>340</v>
      </c>
      <c r="M3" s="8" t="s">
        <v>341</v>
      </c>
      <c r="N3" s="8" t="s">
        <v>342</v>
      </c>
    </row>
    <row r="4" spans="2:14">
      <c r="B4" s="545" t="s">
        <v>74</v>
      </c>
      <c r="C4" s="546"/>
      <c r="D4" s="546"/>
      <c r="E4" s="546"/>
      <c r="F4" s="546"/>
      <c r="G4" s="546"/>
      <c r="H4" s="546"/>
      <c r="I4" s="546"/>
      <c r="J4" s="546"/>
      <c r="K4" s="1"/>
      <c r="L4" s="2" t="s">
        <v>343</v>
      </c>
      <c r="M4" s="3">
        <v>161244</v>
      </c>
      <c r="N4" s="1">
        <v>30</v>
      </c>
    </row>
    <row r="5" spans="2:14">
      <c r="B5" s="118" t="s">
        <v>258</v>
      </c>
      <c r="C5" s="118"/>
      <c r="D5" s="118"/>
      <c r="E5" s="547">
        <f>4741369</f>
        <v>4741369</v>
      </c>
      <c r="F5" s="548">
        <f>'Scenario Analysis'!C6+'Scenario Analysis'!C7+'Scenario Analysis'!C8</f>
        <v>6499925.7358333319</v>
      </c>
      <c r="G5" s="548">
        <f>'Scenario Analysis'!D6+'Scenario Analysis'!D7+'Scenario Analysis'!D8</f>
        <v>7204427.9185797088</v>
      </c>
      <c r="H5" s="548">
        <f>'Scenario Analysis'!E6+'Scenario Analysis'!E7+'Scenario Analysis'!E8</f>
        <v>7481904.8167341929</v>
      </c>
      <c r="I5" s="548">
        <f>'Scenario Analysis'!F6+'Scenario Analysis'!F7+'Scenario Analysis'!F8</f>
        <v>7576509.9162540538</v>
      </c>
      <c r="J5" s="548">
        <f>'Scenario Analysis'!G6+'Scenario Analysis'!G7+'Scenario Analysis'!G8</f>
        <v>7796570.133911361</v>
      </c>
      <c r="K5" s="1"/>
      <c r="L5" s="2" t="s">
        <v>344</v>
      </c>
      <c r="M5" s="4">
        <v>701594</v>
      </c>
      <c r="N5" s="1">
        <v>30</v>
      </c>
    </row>
    <row r="6" spans="2:14">
      <c r="B6" s="118" t="s">
        <v>340</v>
      </c>
      <c r="C6" s="118"/>
      <c r="D6" s="118"/>
      <c r="E6" s="547">
        <f>M12</f>
        <v>1840080</v>
      </c>
      <c r="F6" s="472">
        <f>E6+F7-F17</f>
        <v>2022031.1302976687</v>
      </c>
      <c r="G6" s="472">
        <f>F6+G7-G17</f>
        <v>2247448.9675540272</v>
      </c>
      <c r="H6" s="472">
        <f>G6+H7-H17</f>
        <v>2453534.4296628139</v>
      </c>
      <c r="I6" s="472">
        <f t="shared" ref="I6:J6" si="0">H6+I7-I17</f>
        <v>2629267.3399779559</v>
      </c>
      <c r="J6" s="472">
        <f t="shared" si="0"/>
        <v>2780860.5267150188</v>
      </c>
      <c r="K6" s="1"/>
      <c r="L6" s="2" t="s">
        <v>345</v>
      </c>
      <c r="M6" s="4">
        <v>2299417</v>
      </c>
      <c r="N6" s="1">
        <v>10</v>
      </c>
    </row>
    <row r="7" spans="2:14">
      <c r="B7" s="118" t="s">
        <v>346</v>
      </c>
      <c r="C7" s="118"/>
      <c r="D7" s="118"/>
      <c r="E7" s="549">
        <v>274126</v>
      </c>
      <c r="F7" s="472">
        <v>339000</v>
      </c>
      <c r="G7" s="472">
        <f>G5*G8</f>
        <v>416529.70009475772</v>
      </c>
      <c r="H7" s="472">
        <f>H5*H8</f>
        <v>432572.24649506871</v>
      </c>
      <c r="I7" s="472">
        <f>I5*I8</f>
        <v>438041.91517324612</v>
      </c>
      <c r="J7" s="472">
        <f>J5*J8</f>
        <v>450764.87076382071</v>
      </c>
      <c r="K7" s="1"/>
      <c r="L7" s="2" t="s">
        <v>347</v>
      </c>
      <c r="M7" s="4">
        <v>328768</v>
      </c>
      <c r="N7">
        <v>8</v>
      </c>
    </row>
    <row r="8" spans="2:14">
      <c r="B8" s="550" t="s">
        <v>348</v>
      </c>
      <c r="C8" s="118"/>
      <c r="D8" s="118"/>
      <c r="E8" s="647">
        <f>E7/E5</f>
        <v>5.7815791177611361E-2</v>
      </c>
      <c r="F8" s="648">
        <f>$E$8</f>
        <v>5.7815791177611361E-2</v>
      </c>
      <c r="G8" s="648">
        <f t="shared" ref="G8:J8" si="1">$E$8</f>
        <v>5.7815791177611361E-2</v>
      </c>
      <c r="H8" s="648">
        <f t="shared" si="1"/>
        <v>5.7815791177611361E-2</v>
      </c>
      <c r="I8" s="648">
        <f t="shared" si="1"/>
        <v>5.7815791177611361E-2</v>
      </c>
      <c r="J8" s="648">
        <f t="shared" si="1"/>
        <v>5.7815791177611361E-2</v>
      </c>
      <c r="K8" s="1" t="s">
        <v>241</v>
      </c>
      <c r="L8" s="2" t="s">
        <v>349</v>
      </c>
      <c r="M8" s="4">
        <v>9708</v>
      </c>
      <c r="N8" s="1">
        <v>10</v>
      </c>
    </row>
    <row r="9" spans="2:14">
      <c r="B9" s="552" t="s">
        <v>350</v>
      </c>
      <c r="C9" s="118"/>
      <c r="D9" s="118"/>
      <c r="E9" s="551">
        <f>N10</f>
        <v>14.228217832498986</v>
      </c>
      <c r="F9" s="472">
        <f>E9+K9</f>
        <v>14.228217832498986</v>
      </c>
      <c r="G9" s="472">
        <f>F9</f>
        <v>14.228217832498986</v>
      </c>
      <c r="H9" s="472">
        <f>G9</f>
        <v>14.228217832498986</v>
      </c>
      <c r="I9" s="472">
        <f>H9</f>
        <v>14.228217832498986</v>
      </c>
      <c r="J9" s="472">
        <f>I9</f>
        <v>14.228217832498986</v>
      </c>
      <c r="K9" s="1">
        <v>0</v>
      </c>
      <c r="L9" s="2" t="s">
        <v>351</v>
      </c>
      <c r="M9" s="4">
        <v>194769</v>
      </c>
      <c r="N9" s="1">
        <v>5</v>
      </c>
    </row>
    <row r="10" spans="2:14">
      <c r="B10" s="553" t="s">
        <v>352</v>
      </c>
      <c r="C10" s="553"/>
      <c r="D10" s="553"/>
      <c r="E10" s="554"/>
      <c r="F10" s="555">
        <f>$E$6/F$9</f>
        <v>129326.10546607128</v>
      </c>
      <c r="G10" s="555">
        <f t="shared" ref="G10:J10" si="2">$E$6/G$9</f>
        <v>129326.10546607128</v>
      </c>
      <c r="H10" s="555">
        <f t="shared" si="2"/>
        <v>129326.10546607128</v>
      </c>
      <c r="I10" s="555">
        <f t="shared" si="2"/>
        <v>129326.10546607128</v>
      </c>
      <c r="J10" s="555">
        <f t="shared" si="2"/>
        <v>129326.10546607128</v>
      </c>
      <c r="K10" s="1" t="s">
        <v>241</v>
      </c>
      <c r="L10" s="9" t="s">
        <v>353</v>
      </c>
      <c r="M10" s="10">
        <f>SUM(M4:M9)</f>
        <v>3695500</v>
      </c>
      <c r="N10" s="11">
        <f>SUMPRODUCT(M4:M9,N4:N9)/M10</f>
        <v>14.228217832498986</v>
      </c>
    </row>
    <row r="11" spans="2:14">
      <c r="B11" s="552" t="s">
        <v>354</v>
      </c>
      <c r="C11" s="118"/>
      <c r="D11" s="118"/>
      <c r="E11" s="551"/>
      <c r="F11" s="472">
        <f>E9+$K$11</f>
        <v>12.228217832498986</v>
      </c>
      <c r="G11" s="472">
        <f>F11</f>
        <v>12.228217832498986</v>
      </c>
      <c r="H11" s="472">
        <f>G11</f>
        <v>12.228217832498986</v>
      </c>
      <c r="I11" s="472">
        <f>H11</f>
        <v>12.228217832498986</v>
      </c>
      <c r="J11" s="472">
        <f>I11</f>
        <v>12.228217832498986</v>
      </c>
      <c r="K11" s="1">
        <v>-2</v>
      </c>
      <c r="L11" s="2" t="s">
        <v>355</v>
      </c>
      <c r="M11" s="4">
        <v>-1855420</v>
      </c>
      <c r="N11" s="1"/>
    </row>
    <row r="12" spans="2:14">
      <c r="B12" s="54">
        <v>2022</v>
      </c>
      <c r="C12" s="118"/>
      <c r="D12" s="118"/>
      <c r="E12" s="551"/>
      <c r="F12" s="472">
        <f>$F$7/F11</f>
        <v>27722.764236260027</v>
      </c>
      <c r="G12" s="472">
        <f t="shared" ref="G12:J12" si="3">$F$7/G11</f>
        <v>27722.764236260027</v>
      </c>
      <c r="H12" s="472">
        <f t="shared" si="3"/>
        <v>27722.764236260027</v>
      </c>
      <c r="I12" s="472">
        <f t="shared" si="3"/>
        <v>27722.764236260027</v>
      </c>
      <c r="J12" s="472">
        <f t="shared" si="3"/>
        <v>27722.764236260027</v>
      </c>
      <c r="K12" s="1"/>
      <c r="L12" s="2" t="s">
        <v>356</v>
      </c>
      <c r="M12" s="3">
        <f>M10+M11</f>
        <v>1840080</v>
      </c>
      <c r="N12" s="1"/>
    </row>
    <row r="13" spans="2:14">
      <c r="B13" s="54">
        <v>2023</v>
      </c>
      <c r="C13" s="118"/>
      <c r="D13" s="118"/>
      <c r="E13" s="551"/>
      <c r="F13" s="472"/>
      <c r="G13" s="472">
        <f>$G$7/G11</f>
        <v>34062.993136068035</v>
      </c>
      <c r="H13" s="472">
        <f t="shared" ref="H13:J13" si="4">$G$7/H11</f>
        <v>34062.993136068035</v>
      </c>
      <c r="I13" s="472">
        <f t="shared" si="4"/>
        <v>34062.993136068035</v>
      </c>
      <c r="J13" s="472">
        <f t="shared" si="4"/>
        <v>34062.993136068035</v>
      </c>
      <c r="K13" s="1"/>
      <c r="L13" s="1"/>
      <c r="M13" s="1"/>
      <c r="N13" s="1"/>
    </row>
    <row r="14" spans="2:14">
      <c r="B14" s="54">
        <v>2024</v>
      </c>
      <c r="C14" s="118"/>
      <c r="D14" s="118"/>
      <c r="E14" s="551"/>
      <c r="F14" s="472"/>
      <c r="G14" s="472"/>
      <c r="H14" s="472">
        <f>$H$7/H11</f>
        <v>35374.921547882441</v>
      </c>
      <c r="I14" s="472">
        <f t="shared" ref="I14:J14" si="5">$H$7/I11</f>
        <v>35374.921547882441</v>
      </c>
      <c r="J14" s="472">
        <f t="shared" si="5"/>
        <v>35374.921547882441</v>
      </c>
      <c r="K14" s="1"/>
      <c r="L14" s="1"/>
      <c r="M14" s="1"/>
      <c r="N14" s="1"/>
    </row>
    <row r="15" spans="2:14">
      <c r="B15" s="54">
        <v>2025</v>
      </c>
      <c r="C15" s="118"/>
      <c r="D15" s="118"/>
      <c r="E15" s="551"/>
      <c r="F15" s="472"/>
      <c r="G15" s="472"/>
      <c r="H15" s="472"/>
      <c r="I15" s="472">
        <f>$I$7/I11</f>
        <v>35822.220471822169</v>
      </c>
      <c r="J15" s="472">
        <f>$I$7/J11</f>
        <v>35822.220471822169</v>
      </c>
      <c r="K15" s="1"/>
      <c r="L15" s="1"/>
      <c r="M15" s="1"/>
      <c r="N15" s="1"/>
    </row>
    <row r="16" spans="2:14">
      <c r="B16" s="54">
        <v>2026</v>
      </c>
      <c r="C16" s="118"/>
      <c r="D16" s="118"/>
      <c r="E16" s="551"/>
      <c r="F16" s="472"/>
      <c r="G16" s="472"/>
      <c r="H16" s="472"/>
      <c r="I16" s="472"/>
      <c r="J16" s="472">
        <f>$J$7/J11</f>
        <v>36862.679168653754</v>
      </c>
      <c r="K16" s="1"/>
      <c r="L16" s="1"/>
      <c r="M16" s="1"/>
      <c r="N16" s="1"/>
    </row>
    <row r="17" spans="2:14">
      <c r="B17" s="556" t="s">
        <v>357</v>
      </c>
      <c r="C17" s="553"/>
      <c r="D17" s="553"/>
      <c r="E17" s="557">
        <f>1855420-1702123</f>
        <v>153297</v>
      </c>
      <c r="F17" s="555">
        <f>SUM(F10,F12:F16)</f>
        <v>157048.86970233131</v>
      </c>
      <c r="G17" s="555">
        <f>SUM(G10,G12:G16)</f>
        <v>191111.86283839936</v>
      </c>
      <c r="H17" s="555">
        <f>SUM(H10,H12:H16)</f>
        <v>226486.7843862818</v>
      </c>
      <c r="I17" s="555">
        <f>SUM(I10,I12:I16)</f>
        <v>262309.00485810399</v>
      </c>
      <c r="J17" s="555">
        <f>SUM(J10,J12:J16)</f>
        <v>299171.68402675772</v>
      </c>
      <c r="K17" s="1"/>
      <c r="L17" s="1"/>
      <c r="M17" s="1"/>
      <c r="N17" s="1"/>
    </row>
    <row r="18" spans="2:14">
      <c r="B18" s="550" t="s">
        <v>358</v>
      </c>
      <c r="C18" s="550"/>
      <c r="D18" s="550"/>
      <c r="E18" s="649">
        <f>E17/E5</f>
        <v>3.2331801216062279E-2</v>
      </c>
      <c r="F18" s="650">
        <f>F17/F5</f>
        <v>2.4161640622528843E-2</v>
      </c>
      <c r="G18" s="650">
        <f t="shared" ref="G18:J18" si="6">G17/G5</f>
        <v>2.6527000477794417E-2</v>
      </c>
      <c r="H18" s="650">
        <f t="shared" si="6"/>
        <v>3.0271273149548292E-2</v>
      </c>
      <c r="I18" s="650">
        <f t="shared" si="6"/>
        <v>3.4621350431465379E-2</v>
      </c>
      <c r="J18" s="650">
        <f t="shared" si="6"/>
        <v>3.8372217383834416E-2</v>
      </c>
      <c r="K18" s="1"/>
      <c r="L18" s="1"/>
      <c r="M18" s="1"/>
      <c r="N18" s="1"/>
    </row>
    <row r="19" spans="2:14">
      <c r="B19" s="118"/>
      <c r="C19" s="118"/>
      <c r="D19" s="118"/>
      <c r="E19" s="118"/>
      <c r="F19" s="118"/>
      <c r="G19" s="118"/>
      <c r="H19" s="118"/>
      <c r="I19" s="118"/>
      <c r="J19" s="558"/>
      <c r="K19" s="1"/>
      <c r="L19" s="1"/>
      <c r="M19" s="1"/>
      <c r="N19" s="1"/>
    </row>
    <row r="20" spans="2:14">
      <c r="B20" s="118"/>
      <c r="C20" s="118"/>
      <c r="D20" s="118"/>
      <c r="E20" s="118"/>
      <c r="F20" s="118"/>
      <c r="G20" s="118"/>
      <c r="H20" s="118"/>
      <c r="I20" s="118"/>
      <c r="J20" s="558"/>
      <c r="K20" s="1"/>
      <c r="L20" s="1"/>
      <c r="M20" s="1"/>
      <c r="N20" s="1"/>
    </row>
    <row r="21" spans="2:14">
      <c r="B21" s="541" t="s">
        <v>359</v>
      </c>
      <c r="C21" s="542"/>
      <c r="D21" s="543" t="s">
        <v>16</v>
      </c>
      <c r="E21" s="543" t="s">
        <v>17</v>
      </c>
      <c r="F21" s="544" t="s">
        <v>18</v>
      </c>
      <c r="G21" s="544" t="s">
        <v>19</v>
      </c>
      <c r="H21" s="544" t="s">
        <v>20</v>
      </c>
      <c r="I21" s="544" t="s">
        <v>21</v>
      </c>
      <c r="J21" s="544" t="s">
        <v>360</v>
      </c>
      <c r="K21" s="1"/>
      <c r="L21" s="1"/>
      <c r="M21" s="1"/>
      <c r="N21" s="1"/>
    </row>
    <row r="22" spans="2:14">
      <c r="B22" s="118" t="s">
        <v>258</v>
      </c>
      <c r="C22" s="559"/>
      <c r="D22" s="560">
        <f>3571923</f>
        <v>3571923</v>
      </c>
      <c r="E22" s="561">
        <f t="shared" ref="E22:J22" si="7">E5</f>
        <v>4741369</v>
      </c>
      <c r="F22" s="548">
        <f t="shared" si="7"/>
        <v>6499925.7358333319</v>
      </c>
      <c r="G22" s="548">
        <f t="shared" si="7"/>
        <v>7204427.9185797088</v>
      </c>
      <c r="H22" s="548">
        <f t="shared" si="7"/>
        <v>7481904.8167341929</v>
      </c>
      <c r="I22" s="548">
        <f t="shared" si="7"/>
        <v>7576509.9162540538</v>
      </c>
      <c r="J22" s="548">
        <f t="shared" si="7"/>
        <v>7796570.133911361</v>
      </c>
      <c r="K22" s="1"/>
      <c r="L22" s="1"/>
      <c r="M22" s="1"/>
      <c r="N22" s="1"/>
    </row>
    <row r="23" spans="2:14">
      <c r="B23" s="118" t="s">
        <v>359</v>
      </c>
      <c r="C23" s="118"/>
      <c r="D23" s="472">
        <f>350178-263735</f>
        <v>86443</v>
      </c>
      <c r="E23" s="551">
        <f>316387-E17</f>
        <v>163090</v>
      </c>
      <c r="F23" s="472">
        <f>F22*F24</f>
        <v>190441.09043340065</v>
      </c>
      <c r="G23" s="472">
        <f>F25</f>
        <v>207359.90956659935</v>
      </c>
      <c r="H23" s="472">
        <v>0</v>
      </c>
      <c r="I23" s="472">
        <v>0</v>
      </c>
      <c r="J23" s="472">
        <v>0</v>
      </c>
      <c r="K23" s="1"/>
      <c r="L23" s="1"/>
      <c r="M23" s="1"/>
      <c r="N23" s="1"/>
    </row>
    <row r="24" spans="2:14">
      <c r="B24" s="562" t="s">
        <v>358</v>
      </c>
      <c r="C24" s="563"/>
      <c r="D24" s="564">
        <f>D23/D22</f>
        <v>2.4200689656523951E-2</v>
      </c>
      <c r="E24" s="565">
        <f>E23/E22</f>
        <v>3.4397238434722123E-2</v>
      </c>
      <c r="F24" s="564">
        <f>AVERAGE(D24:E24)</f>
        <v>2.9298964045623037E-2</v>
      </c>
      <c r="G24" s="564">
        <f>G23/G22</f>
        <v>2.8782286658991043E-2</v>
      </c>
      <c r="H24" s="564">
        <f t="shared" ref="H24:J24" si="8">H23/H22</f>
        <v>0</v>
      </c>
      <c r="I24" s="564">
        <f t="shared" si="8"/>
        <v>0</v>
      </c>
      <c r="J24" s="564">
        <f t="shared" si="8"/>
        <v>0</v>
      </c>
      <c r="K24" s="1"/>
      <c r="L24" s="1"/>
      <c r="M24" s="1"/>
      <c r="N24" s="1"/>
    </row>
    <row r="25" spans="2:14">
      <c r="B25" s="118" t="s">
        <v>361</v>
      </c>
      <c r="C25" s="118"/>
      <c r="D25" s="118">
        <f>'Operating Model'!E104</f>
        <v>473680</v>
      </c>
      <c r="E25" s="118">
        <f>'Operating Model'!F104</f>
        <v>397801</v>
      </c>
      <c r="F25" s="472">
        <f>E25-F23</f>
        <v>207359.90956659935</v>
      </c>
      <c r="G25" s="472">
        <f>F25-G23</f>
        <v>0</v>
      </c>
      <c r="H25" s="472">
        <f t="shared" ref="H25:J25" si="9">G25-H23</f>
        <v>0</v>
      </c>
      <c r="I25" s="472">
        <f t="shared" si="9"/>
        <v>0</v>
      </c>
      <c r="J25" s="472">
        <f t="shared" si="9"/>
        <v>0</v>
      </c>
      <c r="K25" s="1"/>
      <c r="L25" s="1"/>
      <c r="M25" s="1"/>
      <c r="N25" s="1"/>
    </row>
    <row r="26" spans="2:14">
      <c r="B26" s="118"/>
      <c r="C26" s="118"/>
      <c r="D26" s="118"/>
      <c r="E26" s="118"/>
      <c r="F26" s="118"/>
      <c r="G26" s="118"/>
      <c r="H26" s="118"/>
      <c r="I26" s="118"/>
      <c r="J26" s="558"/>
      <c r="K26" s="1"/>
      <c r="L26" s="1"/>
      <c r="M26" s="1"/>
      <c r="N26" s="1"/>
    </row>
    <row r="27" spans="2:14">
      <c r="B27" s="541" t="s">
        <v>362</v>
      </c>
      <c r="C27" s="546"/>
      <c r="D27" s="546"/>
      <c r="E27" s="546"/>
      <c r="F27" s="566">
        <f>F23+F17</f>
        <v>347489.96013573196</v>
      </c>
      <c r="G27" s="566">
        <f t="shared" ref="G27:J27" si="10">G23+G17</f>
        <v>398471.77240499872</v>
      </c>
      <c r="H27" s="566">
        <f t="shared" si="10"/>
        <v>226486.7843862818</v>
      </c>
      <c r="I27" s="566">
        <f t="shared" si="10"/>
        <v>262309.00485810399</v>
      </c>
      <c r="J27" s="566">
        <f t="shared" si="10"/>
        <v>299171.68402675772</v>
      </c>
      <c r="K27" s="1"/>
      <c r="L27" s="1"/>
      <c r="M27" s="1"/>
      <c r="N27" s="1"/>
    </row>
    <row r="28" spans="2:14">
      <c r="B28" s="118"/>
      <c r="C28" s="118"/>
      <c r="D28" s="118"/>
      <c r="E28" s="118"/>
      <c r="F28" s="118"/>
      <c r="G28" s="118"/>
      <c r="H28" s="118"/>
      <c r="I28" s="118"/>
      <c r="J28" s="558"/>
      <c r="K28" s="1"/>
      <c r="L28" s="1"/>
      <c r="M28" s="1"/>
      <c r="N28" s="1"/>
    </row>
    <row r="30" spans="2:14">
      <c r="B30" s="541" t="s">
        <v>363</v>
      </c>
      <c r="C30" s="542"/>
      <c r="D30" s="542"/>
      <c r="E30" s="543" t="s">
        <v>17</v>
      </c>
      <c r="F30" s="544" t="s">
        <v>18</v>
      </c>
      <c r="G30" s="544" t="s">
        <v>19</v>
      </c>
      <c r="H30" s="544" t="s">
        <v>20</v>
      </c>
      <c r="I30" s="544" t="s">
        <v>21</v>
      </c>
      <c r="J30" s="544" t="s">
        <v>22</v>
      </c>
    </row>
    <row r="31" spans="2:14">
      <c r="B31" s="545" t="s">
        <v>364</v>
      </c>
      <c r="C31" s="546"/>
      <c r="D31" s="546"/>
      <c r="E31" s="546"/>
      <c r="F31" s="546"/>
      <c r="G31" s="546"/>
      <c r="H31" s="546"/>
      <c r="I31" s="546"/>
      <c r="J31" s="546"/>
    </row>
    <row r="32" spans="2:14">
      <c r="B32" t="s">
        <v>365</v>
      </c>
      <c r="E32" s="434">
        <f>E33/E34</f>
        <v>67.083200000000005</v>
      </c>
      <c r="F32" s="73">
        <v>71.239999999999995</v>
      </c>
      <c r="G32" s="73">
        <f>F32*(1+'WACC '!$C$8)</f>
        <v>78.065504399999995</v>
      </c>
      <c r="H32" s="73">
        <f>G32*(1+'WACC '!$C$8)</f>
        <v>85.544960376563992</v>
      </c>
      <c r="I32" s="73">
        <f>H32*(1+'WACC '!$C$8)</f>
        <v>93.741023030242587</v>
      </c>
      <c r="J32" s="73">
        <f>I32*(1+'WACC '!$C$8)</f>
        <v>102.72235044677012</v>
      </c>
    </row>
    <row r="33" spans="2:10">
      <c r="B33" t="s">
        <v>366</v>
      </c>
      <c r="E33" s="434">
        <f>-'Operating Model'!F173</f>
        <v>167708</v>
      </c>
      <c r="F33" s="73">
        <f>500000/3</f>
        <v>166666.66666666666</v>
      </c>
      <c r="G33" s="73">
        <f t="shared" ref="G33:H33" si="11">500000/3</f>
        <v>166666.66666666666</v>
      </c>
      <c r="H33" s="73">
        <f t="shared" si="11"/>
        <v>166666.66666666666</v>
      </c>
      <c r="I33" s="14"/>
      <c r="J33" s="14"/>
    </row>
    <row r="34" spans="2:10" ht="17.100000000000001" thickBot="1">
      <c r="B34" s="567" t="s">
        <v>367</v>
      </c>
      <c r="C34" s="567"/>
      <c r="D34" s="567"/>
      <c r="E34" s="568">
        <v>2500</v>
      </c>
      <c r="F34" s="569">
        <f>F33/F32</f>
        <v>2339.5096387797116</v>
      </c>
      <c r="G34" s="569">
        <f t="shared" ref="G34:J34" si="12">G33/G32</f>
        <v>2134.9591980176415</v>
      </c>
      <c r="H34" s="569">
        <f>H33/H32</f>
        <v>1948.2932242064242</v>
      </c>
      <c r="I34" s="569">
        <f t="shared" si="12"/>
        <v>0</v>
      </c>
      <c r="J34" s="569">
        <f t="shared" si="12"/>
        <v>0</v>
      </c>
    </row>
    <row r="35" spans="2:10" ht="17.100000000000001" thickTop="1">
      <c r="B35" t="s">
        <v>162</v>
      </c>
      <c r="E35" s="570">
        <f>'WACC '!C30</f>
        <v>162236.32760921179</v>
      </c>
      <c r="F35" s="14">
        <f>E35-F34</f>
        <v>159896.81797043208</v>
      </c>
      <c r="G35" s="14">
        <f t="shared" ref="G35:J35" si="13">F35-G34</f>
        <v>157761.85877241445</v>
      </c>
      <c r="H35" s="14">
        <f t="shared" si="13"/>
        <v>155813.56554820802</v>
      </c>
      <c r="I35" s="14">
        <f>H35-I34</f>
        <v>155813.56554820802</v>
      </c>
      <c r="J35" s="14">
        <f t="shared" si="13"/>
        <v>155813.56554820802</v>
      </c>
    </row>
    <row r="37" spans="2:10">
      <c r="B37" s="541" t="s">
        <v>368</v>
      </c>
      <c r="C37" s="542"/>
      <c r="D37" s="542"/>
      <c r="E37" s="543" t="s">
        <v>17</v>
      </c>
      <c r="F37" s="544" t="s">
        <v>18</v>
      </c>
      <c r="G37" s="544" t="s">
        <v>19</v>
      </c>
      <c r="H37" s="544" t="s">
        <v>20</v>
      </c>
      <c r="I37" s="544" t="s">
        <v>21</v>
      </c>
      <c r="J37" s="544" t="s">
        <v>22</v>
      </c>
    </row>
    <row r="38" spans="2:10">
      <c r="B38" s="545" t="s">
        <v>74</v>
      </c>
      <c r="C38" s="546"/>
      <c r="D38" s="546"/>
      <c r="E38" s="546"/>
      <c r="F38" s="546"/>
      <c r="G38" s="546"/>
      <c r="H38" s="546"/>
      <c r="I38" s="546"/>
      <c r="J38" s="546"/>
    </row>
    <row r="39" spans="2:10">
      <c r="B39" s="299" t="s">
        <v>369</v>
      </c>
      <c r="F39" s="571">
        <f>E131</f>
        <v>68906</v>
      </c>
      <c r="G39" s="14">
        <f t="shared" ref="G39:J39" si="14">F131</f>
        <v>2055827.9955126485</v>
      </c>
      <c r="H39" s="14">
        <f t="shared" ca="1" si="14"/>
        <v>1848009.274113501</v>
      </c>
      <c r="I39" s="14">
        <f t="shared" ca="1" si="14"/>
        <v>1584401.0555563208</v>
      </c>
      <c r="J39" s="14">
        <f t="shared" ca="1" si="14"/>
        <v>2140778.8267728039</v>
      </c>
    </row>
    <row r="40" spans="2:10">
      <c r="B40" s="299" t="s">
        <v>370</v>
      </c>
      <c r="F40" s="571">
        <f>'Operating Model'!G164+'Operating Model'!G167</f>
        <v>450408.66217931511</v>
      </c>
      <c r="G40" s="14">
        <f ca="1">'Operating Model'!H164+'Operating Model'!H167</f>
        <v>454621.94526751898</v>
      </c>
      <c r="H40" s="14">
        <f ca="1">'Operating Model'!I164+'Operating Model'!I167</f>
        <v>500364.44810948655</v>
      </c>
      <c r="I40" s="14">
        <f ca="1">'Operating Model'!J164+'Operating Model'!J167</f>
        <v>556377.77121648309</v>
      </c>
      <c r="J40" s="14">
        <f ca="1">'Operating Model'!K164+'Operating Model'!K167</f>
        <v>604201.76505992643</v>
      </c>
    </row>
    <row r="41" spans="2:10">
      <c r="B41" s="299" t="s">
        <v>371</v>
      </c>
      <c r="F41" s="571">
        <f>'Operating Model'!G173</f>
        <v>-166666.66666666666</v>
      </c>
      <c r="G41" s="14">
        <f>'Operating Model'!H173</f>
        <v>-166666.66666666666</v>
      </c>
      <c r="H41" s="14">
        <f>'Operating Model'!I173</f>
        <v>-166666.66666666666</v>
      </c>
      <c r="I41" s="14">
        <f>'Operating Model'!J173</f>
        <v>0</v>
      </c>
      <c r="J41" s="14">
        <f>'Operating Model'!K173</f>
        <v>0</v>
      </c>
    </row>
    <row r="42" spans="2:10">
      <c r="B42" s="299" t="s">
        <v>372</v>
      </c>
      <c r="F42" s="571">
        <v>0</v>
      </c>
      <c r="G42" s="14">
        <v>0</v>
      </c>
      <c r="H42" s="14">
        <v>0</v>
      </c>
      <c r="I42" s="14">
        <v>0</v>
      </c>
      <c r="J42" s="14">
        <v>0</v>
      </c>
    </row>
    <row r="43" spans="2:10">
      <c r="B43" s="299" t="s">
        <v>373</v>
      </c>
      <c r="F43" s="571">
        <f>MEDIAN('DCF Analysis'!$C$26:$G$26)</f>
        <v>-21753.305518136163</v>
      </c>
      <c r="G43" s="14">
        <f>MEDIAN('DCF Analysis'!$C$26:$G$26)</f>
        <v>-21753.305518136163</v>
      </c>
      <c r="H43" s="14">
        <f>MEDIAN('DCF Analysis'!$C$26:$G$26)</f>
        <v>-21753.305518136163</v>
      </c>
      <c r="I43" s="14">
        <f>MEDIAN('DCF Analysis'!$C$26:$G$26)</f>
        <v>-21753.305518136163</v>
      </c>
      <c r="J43" s="14">
        <f>MEDIAN('DCF Analysis'!$C$26:$G$26)</f>
        <v>-21753.305518136163</v>
      </c>
    </row>
    <row r="44" spans="2:10">
      <c r="B44" s="410" t="s">
        <v>374</v>
      </c>
      <c r="C44" s="572"/>
      <c r="D44" s="572"/>
      <c r="E44" s="572"/>
      <c r="F44" s="573">
        <f>SUM(F39:F43)</f>
        <v>330894.6899945123</v>
      </c>
      <c r="G44" s="574">
        <f t="shared" ref="G44:J44" ca="1" si="15">SUM(G39:G43)</f>
        <v>2322029.9685953646</v>
      </c>
      <c r="H44" s="574">
        <f t="shared" ca="1" si="15"/>
        <v>2159953.7500381847</v>
      </c>
      <c r="I44" s="574">
        <f ca="1">SUM(I39:I43)</f>
        <v>2119025.5212546675</v>
      </c>
      <c r="J44" s="574">
        <f t="shared" ca="1" si="15"/>
        <v>2723227.2863145941</v>
      </c>
    </row>
    <row r="45" spans="2:10">
      <c r="B45" s="299" t="s">
        <v>375</v>
      </c>
      <c r="F45" s="571">
        <f>F57+F66+F75</f>
        <v>895008</v>
      </c>
      <c r="G45" s="14">
        <f t="shared" ref="G45:J45" si="16">G57+G66+G75</f>
        <v>0</v>
      </c>
      <c r="H45" s="14">
        <f t="shared" si="16"/>
        <v>0</v>
      </c>
      <c r="I45" s="14">
        <f t="shared" si="16"/>
        <v>0</v>
      </c>
      <c r="J45" s="14">
        <f t="shared" si="16"/>
        <v>0</v>
      </c>
    </row>
    <row r="46" spans="2:10">
      <c r="B46" s="299" t="s">
        <v>376</v>
      </c>
      <c r="D46" s="14"/>
      <c r="E46" s="14"/>
      <c r="F46" s="571">
        <f>F58+F67+F76</f>
        <v>-160000</v>
      </c>
      <c r="G46" s="14">
        <f t="shared" ref="G46:J46" si="17">G58+G67+G76</f>
        <v>-495774</v>
      </c>
      <c r="H46" s="14">
        <f t="shared" si="17"/>
        <v>-399234</v>
      </c>
      <c r="I46" s="14">
        <f t="shared" si="17"/>
        <v>0</v>
      </c>
      <c r="J46" s="14">
        <f t="shared" si="17"/>
        <v>0</v>
      </c>
    </row>
    <row r="47" spans="2:10">
      <c r="B47" s="410" t="s">
        <v>377</v>
      </c>
      <c r="C47" s="572"/>
      <c r="D47" s="574"/>
      <c r="E47" s="574"/>
      <c r="F47" s="573">
        <f>SUM(F44:F46)</f>
        <v>1065902.6899945124</v>
      </c>
      <c r="G47" s="574">
        <f t="shared" ref="G47:J47" ca="1" si="18">SUM(G44:G46)</f>
        <v>1826255.9685953646</v>
      </c>
      <c r="H47" s="574">
        <f t="shared" ca="1" si="18"/>
        <v>1760719.7500381847</v>
      </c>
      <c r="I47" s="574">
        <f t="shared" ca="1" si="18"/>
        <v>2119025.5212546675</v>
      </c>
      <c r="J47" s="574">
        <f t="shared" ca="1" si="18"/>
        <v>2723227.2863145941</v>
      </c>
    </row>
    <row r="48" spans="2:10">
      <c r="B48" s="299" t="s">
        <v>378</v>
      </c>
      <c r="D48" s="14"/>
      <c r="E48" s="570"/>
      <c r="F48" s="14">
        <f>F120</f>
        <v>-24407</v>
      </c>
      <c r="G48" s="14">
        <f>G120</f>
        <v>0</v>
      </c>
      <c r="H48" s="14">
        <f>H120</f>
        <v>0</v>
      </c>
      <c r="I48" s="14">
        <f>I120</f>
        <v>0</v>
      </c>
      <c r="J48" s="14">
        <f>J120</f>
        <v>0</v>
      </c>
    </row>
    <row r="49" spans="2:10">
      <c r="B49" s="410" t="s">
        <v>379</v>
      </c>
      <c r="C49" s="572"/>
      <c r="D49" s="574"/>
      <c r="E49" s="575"/>
      <c r="F49" s="573">
        <f>SUM(F47:F48)</f>
        <v>1041495.6899945124</v>
      </c>
      <c r="G49" s="574">
        <f t="shared" ref="G49:J49" ca="1" si="19">SUM(G47:G48)</f>
        <v>1826255.9685953646</v>
      </c>
      <c r="H49" s="574">
        <f t="shared" ca="1" si="19"/>
        <v>1760719.7500381847</v>
      </c>
      <c r="I49" s="574">
        <f t="shared" ca="1" si="19"/>
        <v>2119025.5212546675</v>
      </c>
      <c r="J49" s="574">
        <f t="shared" ca="1" si="19"/>
        <v>2723227.2863145941</v>
      </c>
    </row>
    <row r="50" spans="2:10">
      <c r="B50" s="299" t="s">
        <v>380</v>
      </c>
      <c r="D50" s="14"/>
      <c r="E50" s="570"/>
      <c r="F50" s="14">
        <f>F84+F93+F102+F111</f>
        <v>992579</v>
      </c>
      <c r="G50" s="14">
        <f t="shared" ref="G50:J50" si="20">G84+G93+G102+G111</f>
        <v>0</v>
      </c>
      <c r="H50" s="14">
        <f t="shared" si="20"/>
        <v>0</v>
      </c>
      <c r="I50" s="14">
        <f t="shared" si="20"/>
        <v>0</v>
      </c>
      <c r="J50" s="14">
        <f t="shared" si="20"/>
        <v>0</v>
      </c>
    </row>
    <row r="51" spans="2:10">
      <c r="B51" s="299" t="s">
        <v>381</v>
      </c>
      <c r="D51" s="14"/>
      <c r="E51" s="570"/>
      <c r="F51" s="14">
        <f>F85+F94+F103+F112</f>
        <v>0</v>
      </c>
      <c r="G51" s="14">
        <f t="shared" ref="G51:J51" si="21">SUM(G85,G94,G103,G112)</f>
        <v>0</v>
      </c>
      <c r="H51" s="14">
        <f t="shared" si="21"/>
        <v>-198072</v>
      </c>
      <c r="I51" s="14">
        <f t="shared" si="21"/>
        <v>0</v>
      </c>
      <c r="J51" s="14">
        <f t="shared" si="21"/>
        <v>-577949</v>
      </c>
    </row>
    <row r="52" spans="2:10" ht="17.100000000000001" thickBot="1">
      <c r="B52" s="576" t="s">
        <v>373</v>
      </c>
      <c r="C52" s="124"/>
      <c r="D52" s="577"/>
      <c r="E52" s="578"/>
      <c r="F52" s="577">
        <f>-F43</f>
        <v>21753.305518136163</v>
      </c>
      <c r="G52" s="577">
        <f t="shared" ref="G52:J52" si="22">-G43</f>
        <v>21753.305518136163</v>
      </c>
      <c r="H52" s="577">
        <f t="shared" si="22"/>
        <v>21753.305518136163</v>
      </c>
      <c r="I52" s="577">
        <f t="shared" si="22"/>
        <v>21753.305518136163</v>
      </c>
      <c r="J52" s="577">
        <f t="shared" si="22"/>
        <v>21753.305518136163</v>
      </c>
    </row>
    <row r="53" spans="2:10" ht="17.100000000000001" thickTop="1">
      <c r="B53" s="50" t="s">
        <v>382</v>
      </c>
      <c r="D53" s="14"/>
      <c r="E53" s="570"/>
      <c r="F53" s="579">
        <f>SUM(F49:F52)</f>
        <v>2055827.9955126485</v>
      </c>
      <c r="G53" s="580">
        <f t="shared" ref="G53:J53" ca="1" si="23">SUM(G49:G52)</f>
        <v>1848009.2741135007</v>
      </c>
      <c r="H53" s="580">
        <f t="shared" ca="1" si="23"/>
        <v>1584401.0555563208</v>
      </c>
      <c r="I53" s="580">
        <f t="shared" ca="1" si="23"/>
        <v>2140778.8267728039</v>
      </c>
      <c r="J53" s="580">
        <f t="shared" ca="1" si="23"/>
        <v>2167031.5918327305</v>
      </c>
    </row>
    <row r="54" spans="2:10">
      <c r="B54" s="581"/>
      <c r="D54" s="14"/>
      <c r="E54" s="570"/>
      <c r="F54" s="14"/>
      <c r="G54" s="14"/>
      <c r="H54" s="14"/>
      <c r="I54" s="14"/>
      <c r="J54" s="14"/>
    </row>
    <row r="55" spans="2:10">
      <c r="B55" s="389" t="s">
        <v>383</v>
      </c>
      <c r="D55" s="14"/>
      <c r="E55" s="570"/>
      <c r="F55" s="14"/>
      <c r="G55" s="14"/>
      <c r="H55" s="14"/>
      <c r="I55" s="14"/>
      <c r="J55" s="14"/>
    </row>
    <row r="56" spans="2:10">
      <c r="B56" s="299" t="s">
        <v>384</v>
      </c>
      <c r="D56" s="14"/>
      <c r="E56" s="570"/>
      <c r="F56" s="14">
        <f>E59</f>
        <v>160000</v>
      </c>
      <c r="G56" s="14">
        <f t="shared" ref="G56:J56" si="24">F59</f>
        <v>0</v>
      </c>
      <c r="H56" s="14">
        <f t="shared" si="24"/>
        <v>0</v>
      </c>
      <c r="I56" s="14">
        <f t="shared" si="24"/>
        <v>0</v>
      </c>
      <c r="J56" s="14">
        <f t="shared" si="24"/>
        <v>0</v>
      </c>
    </row>
    <row r="57" spans="2:10">
      <c r="B57" s="299" t="s">
        <v>385</v>
      </c>
      <c r="D57" s="14"/>
      <c r="E57" s="570"/>
      <c r="F57" s="14">
        <v>0</v>
      </c>
      <c r="G57" s="14">
        <v>0</v>
      </c>
      <c r="H57" s="14">
        <v>0</v>
      </c>
      <c r="I57" s="14">
        <v>0</v>
      </c>
      <c r="J57" s="14">
        <v>0</v>
      </c>
    </row>
    <row r="58" spans="2:10">
      <c r="B58" s="299" t="s">
        <v>386</v>
      </c>
      <c r="D58" s="14"/>
      <c r="E58" s="570"/>
      <c r="F58" s="14">
        <v>-160000</v>
      </c>
      <c r="G58" s="14">
        <v>0</v>
      </c>
      <c r="H58" s="14">
        <v>0</v>
      </c>
      <c r="I58" s="14">
        <v>0</v>
      </c>
      <c r="J58" s="14">
        <v>0</v>
      </c>
    </row>
    <row r="59" spans="2:10">
      <c r="B59" s="410" t="s">
        <v>387</v>
      </c>
      <c r="C59" s="572"/>
      <c r="D59" s="574"/>
      <c r="E59" s="575">
        <v>160000</v>
      </c>
      <c r="F59" s="574">
        <f>SUM(F56:F58)</f>
        <v>0</v>
      </c>
      <c r="G59" s="574">
        <f t="shared" ref="G59:J59" si="25">SUM(G56:G58)</f>
        <v>0</v>
      </c>
      <c r="H59" s="574">
        <f t="shared" si="25"/>
        <v>0</v>
      </c>
      <c r="I59" s="574">
        <f t="shared" si="25"/>
        <v>0</v>
      </c>
      <c r="J59" s="574">
        <f t="shared" si="25"/>
        <v>0</v>
      </c>
    </row>
    <row r="60" spans="2:10">
      <c r="B60" s="49" t="s">
        <v>388</v>
      </c>
      <c r="D60" s="14"/>
      <c r="E60" s="570"/>
      <c r="F60" s="14">
        <f>AVERAGE(E59:F59)</f>
        <v>80000</v>
      </c>
      <c r="G60" s="14">
        <f t="shared" ref="G60:J60" si="26">AVERAGE(F59:G59)</f>
        <v>0</v>
      </c>
      <c r="H60" s="14">
        <f t="shared" si="26"/>
        <v>0</v>
      </c>
      <c r="I60" s="14">
        <f t="shared" si="26"/>
        <v>0</v>
      </c>
      <c r="J60" s="14">
        <f t="shared" si="26"/>
        <v>0</v>
      </c>
    </row>
    <row r="61" spans="2:10">
      <c r="B61" s="49" t="s">
        <v>389</v>
      </c>
      <c r="D61" s="14"/>
      <c r="E61" s="570"/>
      <c r="F61" s="391">
        <v>3.7999999999999999E-2</v>
      </c>
      <c r="G61" s="391">
        <f>F61</f>
        <v>3.7999999999999999E-2</v>
      </c>
      <c r="H61" s="391">
        <f t="shared" ref="H61:J61" si="27">G61</f>
        <v>3.7999999999999999E-2</v>
      </c>
      <c r="I61" s="391">
        <f t="shared" si="27"/>
        <v>3.7999999999999999E-2</v>
      </c>
      <c r="J61" s="391">
        <f t="shared" si="27"/>
        <v>3.7999999999999999E-2</v>
      </c>
    </row>
    <row r="62" spans="2:10">
      <c r="B62" s="49" t="s">
        <v>46</v>
      </c>
      <c r="D62" s="14"/>
      <c r="E62" s="570"/>
      <c r="F62" s="14">
        <f>F60*F61</f>
        <v>3040</v>
      </c>
      <c r="G62" s="14">
        <f t="shared" ref="G62:J62" si="28">G60*G61</f>
        <v>0</v>
      </c>
      <c r="H62" s="14">
        <f t="shared" si="28"/>
        <v>0</v>
      </c>
      <c r="I62" s="14">
        <f t="shared" si="28"/>
        <v>0</v>
      </c>
      <c r="J62" s="14">
        <f t="shared" si="28"/>
        <v>0</v>
      </c>
    </row>
    <row r="63" spans="2:10">
      <c r="B63" s="49"/>
      <c r="D63" s="14"/>
      <c r="E63" s="570"/>
      <c r="F63" s="14"/>
      <c r="G63" s="14"/>
      <c r="H63" s="14"/>
      <c r="I63" s="14"/>
      <c r="J63" s="14"/>
    </row>
    <row r="64" spans="2:10">
      <c r="B64" s="50" t="s">
        <v>390</v>
      </c>
      <c r="D64" s="14"/>
      <c r="E64" s="570"/>
      <c r="F64" s="14"/>
      <c r="G64" s="14"/>
      <c r="H64" s="14"/>
      <c r="I64" s="14"/>
      <c r="J64" s="14"/>
    </row>
    <row r="65" spans="2:10">
      <c r="B65" s="299" t="s">
        <v>384</v>
      </c>
      <c r="D65" s="14"/>
      <c r="E65" s="570"/>
      <c r="F65" s="14">
        <f>E68</f>
        <v>0</v>
      </c>
      <c r="G65" s="14">
        <f t="shared" ref="G65:J65" si="29">F68</f>
        <v>399234</v>
      </c>
      <c r="H65" s="14">
        <f t="shared" si="29"/>
        <v>399234</v>
      </c>
      <c r="I65" s="14">
        <f t="shared" si="29"/>
        <v>0</v>
      </c>
      <c r="J65" s="14">
        <f t="shared" si="29"/>
        <v>0</v>
      </c>
    </row>
    <row r="66" spans="2:10">
      <c r="B66" s="299" t="s">
        <v>385</v>
      </c>
      <c r="D66" s="14"/>
      <c r="E66" s="570"/>
      <c r="F66" s="14">
        <v>399234</v>
      </c>
      <c r="G66" s="14">
        <v>0</v>
      </c>
      <c r="H66" s="14">
        <v>0</v>
      </c>
      <c r="I66" s="14">
        <v>0</v>
      </c>
      <c r="J66" s="14">
        <v>0</v>
      </c>
    </row>
    <row r="67" spans="2:10">
      <c r="B67" s="299" t="s">
        <v>386</v>
      </c>
      <c r="D67" s="14"/>
      <c r="E67" s="570"/>
      <c r="F67" s="14">
        <v>0</v>
      </c>
      <c r="G67" s="14">
        <v>0</v>
      </c>
      <c r="H67" s="14">
        <f>-F66</f>
        <v>-399234</v>
      </c>
      <c r="I67" s="14">
        <v>0</v>
      </c>
      <c r="J67" s="14">
        <v>0</v>
      </c>
    </row>
    <row r="68" spans="2:10">
      <c r="B68" s="410" t="s">
        <v>387</v>
      </c>
      <c r="C68" s="572"/>
      <c r="D68" s="574"/>
      <c r="E68" s="575">
        <v>0</v>
      </c>
      <c r="F68" s="574">
        <f>SUM(F65:F67)</f>
        <v>399234</v>
      </c>
      <c r="G68" s="574">
        <f t="shared" ref="G68:J68" si="30">SUM(G65:G67)</f>
        <v>399234</v>
      </c>
      <c r="H68" s="574">
        <f t="shared" si="30"/>
        <v>0</v>
      </c>
      <c r="I68" s="574">
        <f t="shared" si="30"/>
        <v>0</v>
      </c>
      <c r="J68" s="574">
        <f t="shared" si="30"/>
        <v>0</v>
      </c>
    </row>
    <row r="69" spans="2:10">
      <c r="B69" s="49" t="s">
        <v>388</v>
      </c>
      <c r="D69" s="14"/>
      <c r="E69" s="570"/>
      <c r="F69" s="14">
        <f>AVERAGE(E68:F68)</f>
        <v>199617</v>
      </c>
      <c r="G69" s="14">
        <f t="shared" ref="G69:J69" si="31">AVERAGE(F68:G68)</f>
        <v>399234</v>
      </c>
      <c r="H69" s="14">
        <f t="shared" si="31"/>
        <v>199617</v>
      </c>
      <c r="I69" s="14">
        <f t="shared" si="31"/>
        <v>0</v>
      </c>
      <c r="J69" s="14">
        <f t="shared" si="31"/>
        <v>0</v>
      </c>
    </row>
    <row r="70" spans="2:10">
      <c r="B70" s="49" t="s">
        <v>389</v>
      </c>
      <c r="D70" s="14"/>
      <c r="E70" s="570"/>
      <c r="F70" s="391">
        <v>3.7999999999999999E-2</v>
      </c>
      <c r="G70" s="391">
        <f>F70</f>
        <v>3.7999999999999999E-2</v>
      </c>
      <c r="H70" s="391">
        <f t="shared" ref="H70:J70" si="32">G70</f>
        <v>3.7999999999999999E-2</v>
      </c>
      <c r="I70" s="391">
        <f t="shared" si="32"/>
        <v>3.7999999999999999E-2</v>
      </c>
      <c r="J70" s="391">
        <f t="shared" si="32"/>
        <v>3.7999999999999999E-2</v>
      </c>
    </row>
    <row r="71" spans="2:10">
      <c r="B71" s="49" t="s">
        <v>46</v>
      </c>
      <c r="D71" s="14"/>
      <c r="E71" s="570"/>
      <c r="F71" s="14">
        <f>F69*F70</f>
        <v>7585.4459999999999</v>
      </c>
      <c r="G71" s="14">
        <f t="shared" ref="G71:J71" si="33">G69*G70</f>
        <v>15170.892</v>
      </c>
      <c r="H71" s="14">
        <f t="shared" si="33"/>
        <v>7585.4459999999999</v>
      </c>
      <c r="I71" s="14">
        <f t="shared" si="33"/>
        <v>0</v>
      </c>
      <c r="J71" s="14">
        <f t="shared" si="33"/>
        <v>0</v>
      </c>
    </row>
    <row r="72" spans="2:10">
      <c r="B72" s="49"/>
      <c r="D72" s="14"/>
      <c r="E72" s="570"/>
      <c r="F72" s="14"/>
      <c r="G72" s="14"/>
      <c r="H72" s="14"/>
      <c r="I72" s="14"/>
      <c r="J72" s="14"/>
    </row>
    <row r="73" spans="2:10">
      <c r="B73" s="50" t="s">
        <v>391</v>
      </c>
      <c r="D73" s="14"/>
      <c r="E73" s="570"/>
      <c r="F73" s="14"/>
      <c r="G73" s="14"/>
      <c r="H73" s="14"/>
      <c r="I73" s="14"/>
      <c r="J73" s="14"/>
    </row>
    <row r="74" spans="2:10">
      <c r="B74" s="299" t="s">
        <v>384</v>
      </c>
      <c r="D74" s="14"/>
      <c r="E74" s="570"/>
      <c r="F74" s="14">
        <f>E77</f>
        <v>0</v>
      </c>
      <c r="G74" s="14">
        <f t="shared" ref="G74:J74" si="34">F77</f>
        <v>495774</v>
      </c>
      <c r="H74" s="14">
        <f t="shared" si="34"/>
        <v>0</v>
      </c>
      <c r="I74" s="14">
        <f t="shared" si="34"/>
        <v>0</v>
      </c>
      <c r="J74" s="14">
        <f t="shared" si="34"/>
        <v>0</v>
      </c>
    </row>
    <row r="75" spans="2:10">
      <c r="B75" s="299" t="s">
        <v>385</v>
      </c>
      <c r="D75" s="14"/>
      <c r="E75" s="570"/>
      <c r="F75" s="14">
        <v>495774</v>
      </c>
      <c r="G75" s="14">
        <v>0</v>
      </c>
      <c r="H75" s="14">
        <f>G75</f>
        <v>0</v>
      </c>
      <c r="I75" s="14">
        <f t="shared" ref="I75:J75" si="35">H75</f>
        <v>0</v>
      </c>
      <c r="J75" s="14">
        <f t="shared" si="35"/>
        <v>0</v>
      </c>
    </row>
    <row r="76" spans="2:10">
      <c r="B76" s="299" t="s">
        <v>386</v>
      </c>
      <c r="D76" s="14"/>
      <c r="E76" s="570"/>
      <c r="F76" s="14">
        <v>0</v>
      </c>
      <c r="G76" s="14">
        <f>-F75</f>
        <v>-495774</v>
      </c>
      <c r="H76" s="14">
        <v>0</v>
      </c>
      <c r="I76" s="14">
        <v>0</v>
      </c>
      <c r="J76" s="14">
        <v>0</v>
      </c>
    </row>
    <row r="77" spans="2:10">
      <c r="B77" s="410" t="s">
        <v>387</v>
      </c>
      <c r="C77" s="572"/>
      <c r="D77" s="574"/>
      <c r="E77" s="575">
        <v>0</v>
      </c>
      <c r="F77" s="574">
        <f>SUM(F74:F76)</f>
        <v>495774</v>
      </c>
      <c r="G77" s="574">
        <f t="shared" ref="G77:J77" si="36">SUM(G74:G76)</f>
        <v>0</v>
      </c>
      <c r="H77" s="574">
        <f t="shared" si="36"/>
        <v>0</v>
      </c>
      <c r="I77" s="574">
        <f t="shared" si="36"/>
        <v>0</v>
      </c>
      <c r="J77" s="574">
        <f t="shared" si="36"/>
        <v>0</v>
      </c>
    </row>
    <row r="78" spans="2:10">
      <c r="B78" s="49" t="s">
        <v>388</v>
      </c>
      <c r="D78" s="14"/>
      <c r="E78" s="570"/>
      <c r="F78" s="14">
        <f>AVERAGE(E77:F77)</f>
        <v>247887</v>
      </c>
      <c r="G78" s="14">
        <f t="shared" ref="G78:J78" si="37">AVERAGE(F77:G77)</f>
        <v>247887</v>
      </c>
      <c r="H78" s="14">
        <f t="shared" si="37"/>
        <v>0</v>
      </c>
      <c r="I78" s="14">
        <f t="shared" si="37"/>
        <v>0</v>
      </c>
      <c r="J78" s="14">
        <f t="shared" si="37"/>
        <v>0</v>
      </c>
    </row>
    <row r="79" spans="2:10">
      <c r="B79" s="49" t="s">
        <v>389</v>
      </c>
      <c r="D79" s="14"/>
      <c r="E79" s="570"/>
      <c r="F79" s="391">
        <v>3.7999999999999999E-2</v>
      </c>
      <c r="G79" s="391">
        <f>F79</f>
        <v>3.7999999999999999E-2</v>
      </c>
      <c r="H79" s="391">
        <f t="shared" ref="H79:J79" si="38">G79</f>
        <v>3.7999999999999999E-2</v>
      </c>
      <c r="I79" s="391">
        <f t="shared" si="38"/>
        <v>3.7999999999999999E-2</v>
      </c>
      <c r="J79" s="391">
        <f t="shared" si="38"/>
        <v>3.7999999999999999E-2</v>
      </c>
    </row>
    <row r="80" spans="2:10">
      <c r="B80" s="49" t="s">
        <v>46</v>
      </c>
      <c r="D80" s="14"/>
      <c r="E80" s="570"/>
      <c r="F80" s="14">
        <f>F78*F79</f>
        <v>9419.7060000000001</v>
      </c>
      <c r="G80" s="14">
        <f>G78*G79</f>
        <v>9419.7060000000001</v>
      </c>
      <c r="H80" s="14">
        <f t="shared" ref="H80:J80" si="39">H78*H79</f>
        <v>0</v>
      </c>
      <c r="I80" s="14">
        <f t="shared" si="39"/>
        <v>0</v>
      </c>
      <c r="J80" s="14">
        <f t="shared" si="39"/>
        <v>0</v>
      </c>
    </row>
    <row r="81" spans="2:10">
      <c r="B81" s="49"/>
      <c r="D81" s="14"/>
      <c r="E81" s="570"/>
      <c r="F81" s="14"/>
      <c r="G81" s="14"/>
      <c r="H81" s="14"/>
      <c r="I81" s="14"/>
      <c r="J81" s="14"/>
    </row>
    <row r="82" spans="2:10">
      <c r="B82" s="50" t="s">
        <v>392</v>
      </c>
      <c r="D82" s="14"/>
      <c r="E82" s="570"/>
      <c r="F82" s="14"/>
      <c r="G82" s="14"/>
      <c r="H82" s="14"/>
      <c r="I82" s="14"/>
      <c r="J82" s="14"/>
    </row>
    <row r="83" spans="2:10">
      <c r="B83" s="299" t="s">
        <v>384</v>
      </c>
      <c r="D83" s="14"/>
      <c r="E83" s="570"/>
      <c r="F83" s="14">
        <f>E86</f>
        <v>198072</v>
      </c>
      <c r="G83" s="14">
        <f t="shared" ref="G83:J83" si="40">F86</f>
        <v>198072</v>
      </c>
      <c r="H83" s="14">
        <f t="shared" si="40"/>
        <v>198072</v>
      </c>
      <c r="I83" s="14">
        <f t="shared" si="40"/>
        <v>0</v>
      </c>
      <c r="J83" s="14">
        <f t="shared" si="40"/>
        <v>0</v>
      </c>
    </row>
    <row r="84" spans="2:10">
      <c r="B84" s="299" t="s">
        <v>385</v>
      </c>
      <c r="D84" s="14"/>
      <c r="E84" s="570"/>
      <c r="F84" s="14">
        <v>0</v>
      </c>
      <c r="G84" s="14">
        <v>0</v>
      </c>
      <c r="H84" s="14">
        <v>0</v>
      </c>
      <c r="I84" s="14">
        <v>0</v>
      </c>
      <c r="J84" s="14">
        <v>0</v>
      </c>
    </row>
    <row r="85" spans="2:10">
      <c r="B85" s="299" t="s">
        <v>386</v>
      </c>
      <c r="D85" s="14"/>
      <c r="E85" s="570"/>
      <c r="F85" s="14">
        <v>0</v>
      </c>
      <c r="G85" s="14">
        <v>0</v>
      </c>
      <c r="H85" s="14">
        <v>-198072</v>
      </c>
      <c r="I85" s="14">
        <v>0</v>
      </c>
      <c r="J85" s="14">
        <v>0</v>
      </c>
    </row>
    <row r="86" spans="2:10">
      <c r="B86" s="410" t="s">
        <v>387</v>
      </c>
      <c r="C86" s="572"/>
      <c r="D86" s="574"/>
      <c r="E86" s="575">
        <v>198072</v>
      </c>
      <c r="F86" s="574">
        <f>SUM(F83:F85)</f>
        <v>198072</v>
      </c>
      <c r="G86" s="574">
        <f t="shared" ref="G86:J86" si="41">SUM(G83:G85)</f>
        <v>198072</v>
      </c>
      <c r="H86" s="574">
        <f t="shared" si="41"/>
        <v>0</v>
      </c>
      <c r="I86" s="574">
        <f t="shared" si="41"/>
        <v>0</v>
      </c>
      <c r="J86" s="574">
        <f t="shared" si="41"/>
        <v>0</v>
      </c>
    </row>
    <row r="87" spans="2:10">
      <c r="B87" s="49" t="s">
        <v>388</v>
      </c>
      <c r="D87" s="14"/>
      <c r="E87" s="570"/>
      <c r="F87" s="14">
        <f>AVERAGE(E86:F86)</f>
        <v>198072</v>
      </c>
      <c r="G87" s="14">
        <f t="shared" ref="G87:J87" si="42">AVERAGE(F86:G86)</f>
        <v>198072</v>
      </c>
      <c r="H87" s="14">
        <f t="shared" si="42"/>
        <v>99036</v>
      </c>
      <c r="I87" s="14">
        <f t="shared" si="42"/>
        <v>0</v>
      </c>
      <c r="J87" s="14">
        <f t="shared" si="42"/>
        <v>0</v>
      </c>
    </row>
    <row r="88" spans="2:10">
      <c r="B88" s="49" t="s">
        <v>389</v>
      </c>
      <c r="D88" s="14"/>
      <c r="E88" s="570"/>
      <c r="F88" s="391">
        <v>3.7999999999999999E-2</v>
      </c>
      <c r="G88" s="391">
        <f>F88</f>
        <v>3.7999999999999999E-2</v>
      </c>
      <c r="H88" s="391">
        <f t="shared" ref="H88:J88" si="43">G88</f>
        <v>3.7999999999999999E-2</v>
      </c>
      <c r="I88" s="391">
        <f t="shared" si="43"/>
        <v>3.7999999999999999E-2</v>
      </c>
      <c r="J88" s="391">
        <f t="shared" si="43"/>
        <v>3.7999999999999999E-2</v>
      </c>
    </row>
    <row r="89" spans="2:10">
      <c r="B89" s="49" t="s">
        <v>46</v>
      </c>
      <c r="D89" s="14"/>
      <c r="E89" s="570"/>
      <c r="F89" s="14">
        <f>F87*F88</f>
        <v>7526.7359999999999</v>
      </c>
      <c r="G89" s="14">
        <f t="shared" ref="G89:J89" si="44">G87*G88</f>
        <v>7526.7359999999999</v>
      </c>
      <c r="H89" s="14">
        <f t="shared" si="44"/>
        <v>3763.3679999999999</v>
      </c>
      <c r="I89" s="14">
        <f t="shared" si="44"/>
        <v>0</v>
      </c>
      <c r="J89" s="14">
        <f t="shared" si="44"/>
        <v>0</v>
      </c>
    </row>
    <row r="90" spans="2:10">
      <c r="B90" s="49"/>
      <c r="D90" s="14"/>
      <c r="E90" s="570"/>
      <c r="F90" s="14"/>
      <c r="G90" s="14"/>
      <c r="H90" s="14"/>
      <c r="I90" s="14"/>
      <c r="J90" s="14"/>
    </row>
    <row r="91" spans="2:10">
      <c r="B91" s="50" t="s">
        <v>393</v>
      </c>
      <c r="D91" s="14"/>
      <c r="E91" s="570"/>
      <c r="F91" s="14"/>
      <c r="G91" s="14"/>
      <c r="H91" s="14"/>
      <c r="I91" s="14"/>
      <c r="J91" s="14"/>
    </row>
    <row r="92" spans="2:10">
      <c r="B92" s="299" t="s">
        <v>384</v>
      </c>
      <c r="D92" s="14"/>
      <c r="E92" s="570"/>
      <c r="F92" s="14">
        <f>E95</f>
        <v>495041</v>
      </c>
      <c r="G92" s="14">
        <f t="shared" ref="G92:J92" si="45">F95</f>
        <v>495041</v>
      </c>
      <c r="H92" s="14">
        <f t="shared" si="45"/>
        <v>495041</v>
      </c>
      <c r="I92" s="14">
        <f t="shared" si="45"/>
        <v>495041</v>
      </c>
      <c r="J92" s="14">
        <f t="shared" si="45"/>
        <v>495041</v>
      </c>
    </row>
    <row r="93" spans="2:10">
      <c r="B93" s="299" t="s">
        <v>385</v>
      </c>
      <c r="D93" s="14"/>
      <c r="E93" s="570"/>
      <c r="F93" s="14">
        <v>0</v>
      </c>
      <c r="G93" s="14">
        <v>0</v>
      </c>
      <c r="H93" s="14">
        <v>0</v>
      </c>
      <c r="I93" s="14">
        <v>0</v>
      </c>
      <c r="J93" s="14">
        <v>0</v>
      </c>
    </row>
    <row r="94" spans="2:10">
      <c r="B94" s="299" t="s">
        <v>386</v>
      </c>
      <c r="D94" s="14"/>
      <c r="E94" s="570"/>
      <c r="F94" s="14">
        <v>0</v>
      </c>
      <c r="G94" s="14">
        <v>0</v>
      </c>
      <c r="H94" s="14">
        <v>0</v>
      </c>
      <c r="I94" s="14">
        <v>0</v>
      </c>
      <c r="J94" s="14">
        <v>0</v>
      </c>
    </row>
    <row r="95" spans="2:10">
      <c r="B95" s="410" t="s">
        <v>387</v>
      </c>
      <c r="C95" s="572"/>
      <c r="D95" s="574"/>
      <c r="E95" s="575">
        <v>495041</v>
      </c>
      <c r="F95" s="574">
        <f>SUM(F92:F94)</f>
        <v>495041</v>
      </c>
      <c r="G95" s="574">
        <f t="shared" ref="G95:J95" si="46">SUM(G92:G94)</f>
        <v>495041</v>
      </c>
      <c r="H95" s="574">
        <f t="shared" si="46"/>
        <v>495041</v>
      </c>
      <c r="I95" s="574">
        <f t="shared" si="46"/>
        <v>495041</v>
      </c>
      <c r="J95" s="574">
        <f t="shared" si="46"/>
        <v>495041</v>
      </c>
    </row>
    <row r="96" spans="2:10">
      <c r="B96" s="49" t="s">
        <v>388</v>
      </c>
      <c r="D96" s="14"/>
      <c r="E96" s="570"/>
      <c r="F96" s="14">
        <f>AVERAGE(E95:F95)</f>
        <v>495041</v>
      </c>
      <c r="G96" s="14">
        <f t="shared" ref="G96:J96" si="47">AVERAGE(F95:G95)</f>
        <v>495041</v>
      </c>
      <c r="H96" s="14">
        <f t="shared" si="47"/>
        <v>495041</v>
      </c>
      <c r="I96" s="14">
        <f t="shared" si="47"/>
        <v>495041</v>
      </c>
      <c r="J96" s="14">
        <f t="shared" si="47"/>
        <v>495041</v>
      </c>
    </row>
    <row r="97" spans="2:10">
      <c r="B97" s="49" t="s">
        <v>389</v>
      </c>
      <c r="D97" s="14"/>
      <c r="E97" s="570"/>
      <c r="F97" s="391">
        <v>5.2499999999999998E-2</v>
      </c>
      <c r="G97" s="391">
        <v>5.2499999999999998E-2</v>
      </c>
      <c r="H97" s="391">
        <v>5.2499999999999998E-2</v>
      </c>
      <c r="I97" s="391">
        <v>5.2499999999999998E-2</v>
      </c>
      <c r="J97" s="391">
        <v>5.2499999999999998E-2</v>
      </c>
    </row>
    <row r="98" spans="2:10">
      <c r="B98" s="49" t="s">
        <v>46</v>
      </c>
      <c r="D98" s="14"/>
      <c r="E98" s="570"/>
      <c r="F98" s="14">
        <f>F97*F96</f>
        <v>25989.6525</v>
      </c>
      <c r="G98" s="14">
        <f t="shared" ref="G98:J98" si="48">G97*G96</f>
        <v>25989.6525</v>
      </c>
      <c r="H98" s="14">
        <f t="shared" si="48"/>
        <v>25989.6525</v>
      </c>
      <c r="I98" s="14">
        <f t="shared" si="48"/>
        <v>25989.6525</v>
      </c>
      <c r="J98" s="14">
        <f t="shared" si="48"/>
        <v>25989.6525</v>
      </c>
    </row>
    <row r="99" spans="2:10">
      <c r="B99" s="49"/>
      <c r="D99" s="14"/>
      <c r="E99" s="570"/>
      <c r="F99" s="14"/>
      <c r="G99" s="14"/>
      <c r="H99" s="14"/>
      <c r="I99" s="14"/>
      <c r="J99" s="14"/>
    </row>
    <row r="100" spans="2:10">
      <c r="B100" s="50" t="s">
        <v>394</v>
      </c>
      <c r="D100" s="14"/>
      <c r="E100" s="570"/>
      <c r="F100" s="14"/>
      <c r="G100" s="14"/>
      <c r="H100" s="14"/>
      <c r="I100" s="14"/>
      <c r="J100" s="14"/>
    </row>
    <row r="101" spans="2:10">
      <c r="B101" s="299" t="s">
        <v>384</v>
      </c>
      <c r="D101" s="14"/>
      <c r="E101" s="570"/>
      <c r="F101" s="14">
        <f>E104</f>
        <v>577949</v>
      </c>
      <c r="G101" s="14">
        <f t="shared" ref="G101:J101" si="49">F104</f>
        <v>577949</v>
      </c>
      <c r="H101" s="14">
        <f t="shared" si="49"/>
        <v>577949</v>
      </c>
      <c r="I101" s="14">
        <f t="shared" si="49"/>
        <v>577949</v>
      </c>
      <c r="J101" s="14">
        <f t="shared" si="49"/>
        <v>577949</v>
      </c>
    </row>
    <row r="102" spans="2:10">
      <c r="B102" s="299" t="s">
        <v>385</v>
      </c>
      <c r="D102" s="14"/>
      <c r="E102" s="570"/>
      <c r="F102" s="14">
        <v>0</v>
      </c>
      <c r="G102" s="14">
        <v>0</v>
      </c>
      <c r="H102" s="14">
        <v>0</v>
      </c>
      <c r="I102" s="14">
        <v>0</v>
      </c>
      <c r="J102" s="14">
        <v>0</v>
      </c>
    </row>
    <row r="103" spans="2:10">
      <c r="B103" s="299" t="s">
        <v>386</v>
      </c>
      <c r="D103" s="14"/>
      <c r="E103" s="570"/>
      <c r="F103" s="14">
        <v>0</v>
      </c>
      <c r="G103" s="14">
        <v>0</v>
      </c>
      <c r="H103" s="14">
        <v>0</v>
      </c>
      <c r="I103" s="14">
        <v>0</v>
      </c>
      <c r="J103" s="14">
        <v>-577949</v>
      </c>
    </row>
    <row r="104" spans="2:10">
      <c r="B104" s="410" t="s">
        <v>387</v>
      </c>
      <c r="C104" s="572"/>
      <c r="D104" s="574"/>
      <c r="E104" s="575">
        <v>577949</v>
      </c>
      <c r="F104" s="574">
        <f>SUM(F101:F103)</f>
        <v>577949</v>
      </c>
      <c r="G104" s="574">
        <f t="shared" ref="G104:J104" si="50">SUM(G101:G103)</f>
        <v>577949</v>
      </c>
      <c r="H104" s="574">
        <f t="shared" si="50"/>
        <v>577949</v>
      </c>
      <c r="I104" s="574">
        <f t="shared" si="50"/>
        <v>577949</v>
      </c>
      <c r="J104" s="574">
        <f t="shared" si="50"/>
        <v>0</v>
      </c>
    </row>
    <row r="105" spans="2:10">
      <c r="B105" s="49" t="s">
        <v>388</v>
      </c>
      <c r="D105" s="14"/>
      <c r="E105" s="570"/>
      <c r="F105" s="14">
        <f>AVERAGE(E104:F104)</f>
        <v>577949</v>
      </c>
      <c r="G105" s="14">
        <f t="shared" ref="G105:J105" si="51">AVERAGE(F104:G104)</f>
        <v>577949</v>
      </c>
      <c r="H105" s="14">
        <f t="shared" si="51"/>
        <v>577949</v>
      </c>
      <c r="I105" s="14">
        <f t="shared" si="51"/>
        <v>577949</v>
      </c>
      <c r="J105" s="14">
        <f t="shared" si="51"/>
        <v>288974.5</v>
      </c>
    </row>
    <row r="106" spans="2:10">
      <c r="B106" s="49" t="s">
        <v>389</v>
      </c>
      <c r="D106" s="14"/>
      <c r="E106" s="570"/>
      <c r="F106" s="391">
        <v>3.6249999999999998E-2</v>
      </c>
      <c r="G106" s="391">
        <v>3.6249999999999998E-2</v>
      </c>
      <c r="H106" s="391">
        <v>3.6249999999999998E-2</v>
      </c>
      <c r="I106" s="391">
        <v>3.6249999999999998E-2</v>
      </c>
      <c r="J106" s="391">
        <v>3.6249999999999998E-2</v>
      </c>
    </row>
    <row r="107" spans="2:10">
      <c r="B107" s="49" t="s">
        <v>46</v>
      </c>
      <c r="D107" s="14"/>
      <c r="E107" s="570"/>
      <c r="F107" s="14">
        <f>F105*F106</f>
        <v>20950.651249999999</v>
      </c>
      <c r="G107" s="14">
        <f t="shared" ref="G107:J107" si="52">G105*G106</f>
        <v>20950.651249999999</v>
      </c>
      <c r="H107" s="14">
        <f t="shared" si="52"/>
        <v>20950.651249999999</v>
      </c>
      <c r="I107" s="14">
        <f t="shared" si="52"/>
        <v>20950.651249999999</v>
      </c>
      <c r="J107" s="14">
        <f t="shared" si="52"/>
        <v>10475.325624999999</v>
      </c>
    </row>
    <row r="108" spans="2:10">
      <c r="B108" s="49"/>
      <c r="D108" s="14"/>
      <c r="E108" s="570"/>
      <c r="F108" s="14"/>
      <c r="G108" s="14"/>
      <c r="H108" s="14"/>
      <c r="I108" s="14"/>
      <c r="J108" s="14"/>
    </row>
    <row r="109" spans="2:10">
      <c r="B109" s="50" t="s">
        <v>395</v>
      </c>
      <c r="D109" s="14"/>
      <c r="E109" s="570"/>
      <c r="F109" s="14"/>
      <c r="G109" s="14"/>
      <c r="H109" s="14"/>
      <c r="I109" s="14"/>
      <c r="J109" s="14"/>
    </row>
    <row r="110" spans="2:10">
      <c r="B110" s="299" t="s">
        <v>384</v>
      </c>
      <c r="D110" s="14"/>
      <c r="E110" s="570"/>
      <c r="F110" s="14">
        <f>E113</f>
        <v>0</v>
      </c>
      <c r="G110" s="14">
        <f t="shared" ref="G110:J110" si="53">F113</f>
        <v>992579</v>
      </c>
      <c r="H110" s="14">
        <f t="shared" si="53"/>
        <v>992579</v>
      </c>
      <c r="I110" s="14">
        <f t="shared" si="53"/>
        <v>992579</v>
      </c>
      <c r="J110" s="14">
        <f t="shared" si="53"/>
        <v>992579</v>
      </c>
    </row>
    <row r="111" spans="2:10">
      <c r="B111" s="299" t="s">
        <v>385</v>
      </c>
      <c r="D111" s="14"/>
      <c r="E111" s="570"/>
      <c r="F111" s="14">
        <v>992579</v>
      </c>
      <c r="G111" s="14">
        <v>0</v>
      </c>
      <c r="H111" s="14">
        <v>0</v>
      </c>
      <c r="I111" s="14">
        <v>0</v>
      </c>
      <c r="J111" s="14">
        <v>0</v>
      </c>
    </row>
    <row r="112" spans="2:10">
      <c r="B112" s="299" t="s">
        <v>386</v>
      </c>
      <c r="D112" s="14"/>
      <c r="E112" s="570"/>
      <c r="F112" s="14">
        <v>0</v>
      </c>
      <c r="G112" s="14">
        <v>0</v>
      </c>
      <c r="H112" s="14">
        <v>0</v>
      </c>
      <c r="I112" s="14">
        <v>0</v>
      </c>
      <c r="J112" s="14">
        <v>0</v>
      </c>
    </row>
    <row r="113" spans="2:10">
      <c r="B113" s="410" t="s">
        <v>387</v>
      </c>
      <c r="C113" s="572"/>
      <c r="D113" s="574"/>
      <c r="E113" s="575">
        <v>0</v>
      </c>
      <c r="F113" s="574">
        <f>SUM(F110:F112)</f>
        <v>992579</v>
      </c>
      <c r="G113" s="574">
        <f t="shared" ref="G113:J113" si="54">SUM(G110:G112)</f>
        <v>992579</v>
      </c>
      <c r="H113" s="574">
        <f t="shared" si="54"/>
        <v>992579</v>
      </c>
      <c r="I113" s="574">
        <f t="shared" si="54"/>
        <v>992579</v>
      </c>
      <c r="J113" s="574">
        <f t="shared" si="54"/>
        <v>992579</v>
      </c>
    </row>
    <row r="114" spans="2:10">
      <c r="B114" s="49" t="s">
        <v>388</v>
      </c>
      <c r="D114" s="14"/>
      <c r="E114" s="570"/>
      <c r="F114" s="14">
        <f>AVERAGE(E113:F113)</f>
        <v>496289.5</v>
      </c>
      <c r="G114" s="14">
        <f t="shared" ref="G114:J114" si="55">AVERAGE(F113:G113)</f>
        <v>992579</v>
      </c>
      <c r="H114" s="14">
        <f t="shared" si="55"/>
        <v>992579</v>
      </c>
      <c r="I114" s="14">
        <f t="shared" si="55"/>
        <v>992579</v>
      </c>
      <c r="J114" s="14">
        <f t="shared" si="55"/>
        <v>992579</v>
      </c>
    </row>
    <row r="115" spans="2:10">
      <c r="B115" s="49" t="s">
        <v>389</v>
      </c>
      <c r="D115" s="14"/>
      <c r="E115" s="570"/>
      <c r="F115" s="391">
        <v>0.06</v>
      </c>
      <c r="G115" s="391">
        <v>0.06</v>
      </c>
      <c r="H115" s="391">
        <v>0.06</v>
      </c>
      <c r="I115" s="391">
        <v>0.06</v>
      </c>
      <c r="J115" s="391">
        <v>0.06</v>
      </c>
    </row>
    <row r="116" spans="2:10">
      <c r="B116" s="49" t="s">
        <v>46</v>
      </c>
      <c r="D116" s="14"/>
      <c r="E116" s="570"/>
      <c r="F116" s="14">
        <f>F114*F115</f>
        <v>29777.37</v>
      </c>
      <c r="G116" s="14">
        <f t="shared" ref="G116:J116" si="56">G114*G115</f>
        <v>59554.74</v>
      </c>
      <c r="H116" s="14">
        <f t="shared" si="56"/>
        <v>59554.74</v>
      </c>
      <c r="I116" s="14">
        <f t="shared" si="56"/>
        <v>59554.74</v>
      </c>
      <c r="J116" s="14">
        <f t="shared" si="56"/>
        <v>59554.74</v>
      </c>
    </row>
    <row r="117" spans="2:10">
      <c r="B117" s="50" t="s">
        <v>396</v>
      </c>
      <c r="D117" s="14"/>
      <c r="E117" s="570"/>
      <c r="F117" s="14"/>
      <c r="G117" s="14"/>
      <c r="H117" s="14"/>
      <c r="I117" s="14"/>
      <c r="J117" s="14"/>
    </row>
    <row r="118" spans="2:10">
      <c r="B118" s="299" t="s">
        <v>384</v>
      </c>
      <c r="D118" s="14"/>
      <c r="E118" s="570"/>
      <c r="F118" s="14">
        <f>E121</f>
        <v>24407</v>
      </c>
      <c r="G118" s="14">
        <f t="shared" ref="G118:J118" si="57">F121</f>
        <v>0</v>
      </c>
      <c r="H118" s="14">
        <f t="shared" si="57"/>
        <v>0</v>
      </c>
      <c r="I118" s="14">
        <f t="shared" si="57"/>
        <v>0</v>
      </c>
      <c r="J118" s="14">
        <f t="shared" si="57"/>
        <v>0</v>
      </c>
    </row>
    <row r="119" spans="2:10">
      <c r="B119" s="299" t="s">
        <v>385</v>
      </c>
      <c r="D119" s="14"/>
      <c r="E119" s="570"/>
      <c r="F119" s="14">
        <v>0</v>
      </c>
      <c r="G119" s="14">
        <v>0</v>
      </c>
      <c r="H119" s="14">
        <v>0</v>
      </c>
      <c r="I119" s="14">
        <v>0</v>
      </c>
      <c r="J119" s="14">
        <v>0</v>
      </c>
    </row>
    <row r="120" spans="2:10">
      <c r="B120" s="299" t="s">
        <v>386</v>
      </c>
      <c r="D120" s="14"/>
      <c r="E120" s="570"/>
      <c r="F120" s="14">
        <f>-F118</f>
        <v>-24407</v>
      </c>
      <c r="G120" s="14">
        <v>0</v>
      </c>
      <c r="H120" s="14">
        <v>0</v>
      </c>
      <c r="I120" s="14">
        <v>0</v>
      </c>
      <c r="J120" s="14">
        <v>0</v>
      </c>
    </row>
    <row r="121" spans="2:10">
      <c r="B121" s="410" t="s">
        <v>387</v>
      </c>
      <c r="C121" s="572"/>
      <c r="D121" s="574"/>
      <c r="E121" s="575">
        <f>'Operating Model'!F112</f>
        <v>24407</v>
      </c>
      <c r="F121" s="574">
        <f>SUM(F118:F120)</f>
        <v>0</v>
      </c>
      <c r="G121" s="574">
        <f t="shared" ref="G121:J121" si="58">SUM(G118:G120)</f>
        <v>0</v>
      </c>
      <c r="H121" s="574">
        <f t="shared" si="58"/>
        <v>0</v>
      </c>
      <c r="I121" s="574">
        <f t="shared" si="58"/>
        <v>0</v>
      </c>
      <c r="J121" s="574">
        <f t="shared" si="58"/>
        <v>0</v>
      </c>
    </row>
    <row r="122" spans="2:10">
      <c r="B122" s="49" t="s">
        <v>388</v>
      </c>
      <c r="D122" s="14"/>
      <c r="E122" s="570"/>
      <c r="F122" s="14">
        <f>AVERAGE(E121:F121)</f>
        <v>12203.5</v>
      </c>
      <c r="G122" s="14">
        <f t="shared" ref="G122:J122" si="59">AVERAGE(F121:G121)</f>
        <v>0</v>
      </c>
      <c r="H122" s="14">
        <f t="shared" si="59"/>
        <v>0</v>
      </c>
      <c r="I122" s="14">
        <f t="shared" si="59"/>
        <v>0</v>
      </c>
      <c r="J122" s="14">
        <f t="shared" si="59"/>
        <v>0</v>
      </c>
    </row>
    <row r="123" spans="2:10">
      <c r="B123" s="49" t="s">
        <v>389</v>
      </c>
      <c r="D123" s="14"/>
      <c r="E123" s="570"/>
      <c r="F123" s="391">
        <v>3.7999999999999999E-2</v>
      </c>
      <c r="G123" s="391">
        <v>2.5000000000000001E-2</v>
      </c>
      <c r="H123" s="391">
        <v>2.5000000000000001E-2</v>
      </c>
      <c r="I123" s="391">
        <v>2.5000000000000001E-2</v>
      </c>
      <c r="J123" s="391">
        <v>2.5000000000000001E-2</v>
      </c>
    </row>
    <row r="124" spans="2:10">
      <c r="B124" s="49" t="s">
        <v>46</v>
      </c>
      <c r="D124" s="14"/>
      <c r="E124" s="570"/>
      <c r="F124" s="14">
        <f>F122*F123</f>
        <v>463.733</v>
      </c>
      <c r="G124" s="14">
        <f t="shared" ref="G124:J124" si="60">G122*G123</f>
        <v>0</v>
      </c>
      <c r="H124" s="14">
        <f t="shared" si="60"/>
        <v>0</v>
      </c>
      <c r="I124" s="14">
        <f t="shared" si="60"/>
        <v>0</v>
      </c>
      <c r="J124" s="14">
        <f t="shared" si="60"/>
        <v>0</v>
      </c>
    </row>
    <row r="125" spans="2:10">
      <c r="B125" s="49"/>
      <c r="D125" s="14"/>
      <c r="E125" s="570"/>
      <c r="F125" s="14"/>
      <c r="G125" s="14"/>
      <c r="H125" s="14"/>
      <c r="I125" s="14"/>
      <c r="J125" s="14"/>
    </row>
    <row r="126" spans="2:10">
      <c r="B126" s="50" t="s">
        <v>397</v>
      </c>
      <c r="D126" s="14"/>
      <c r="E126" s="570"/>
      <c r="F126" s="14">
        <f>F62+F89+F98+F107+F124+F80+F71+F116</f>
        <v>104753.29474999999</v>
      </c>
      <c r="G126" s="14">
        <f>G62+G89+G98+G107+G124+G80+G71+G116</f>
        <v>138612.37774999999</v>
      </c>
      <c r="H126" s="14">
        <f>H62+H89+H98+H107+H124+H80+H71+H116</f>
        <v>117843.85775</v>
      </c>
      <c r="I126" s="14">
        <f>I62+I89+I98+I107+I124+I80+I71+I116</f>
        <v>106495.04375</v>
      </c>
      <c r="J126" s="14">
        <f>J62+J89+J98+J107+J124+J80+J71+J116</f>
        <v>96019.718124999999</v>
      </c>
    </row>
    <row r="127" spans="2:10">
      <c r="D127" s="14"/>
      <c r="E127" s="570"/>
      <c r="F127" s="14"/>
      <c r="G127" s="14"/>
      <c r="H127" s="14"/>
      <c r="I127" s="14"/>
      <c r="J127" s="14"/>
    </row>
    <row r="128" spans="2:10">
      <c r="B128" s="12" t="s">
        <v>398</v>
      </c>
      <c r="D128" s="14"/>
      <c r="E128" s="570"/>
      <c r="F128" s="14"/>
      <c r="G128" s="14"/>
      <c r="H128" s="14"/>
      <c r="I128" s="14"/>
      <c r="J128" s="14"/>
    </row>
    <row r="129" spans="2:11">
      <c r="B129" s="299" t="s">
        <v>384</v>
      </c>
      <c r="D129" s="14"/>
      <c r="E129" s="570"/>
      <c r="F129" s="14">
        <f>E131</f>
        <v>68906</v>
      </c>
      <c r="G129" s="14">
        <f t="shared" ref="G129:J129" si="61">F131</f>
        <v>2055827.9955126485</v>
      </c>
      <c r="H129" s="14">
        <f t="shared" ca="1" si="61"/>
        <v>1848009.274113501</v>
      </c>
      <c r="I129" s="14">
        <f t="shared" ca="1" si="61"/>
        <v>1584401.0555563208</v>
      </c>
      <c r="J129" s="14">
        <f t="shared" ca="1" si="61"/>
        <v>2140778.8267728039</v>
      </c>
    </row>
    <row r="130" spans="2:11">
      <c r="B130" s="299" t="s">
        <v>399</v>
      </c>
      <c r="D130" s="14"/>
      <c r="E130" s="570"/>
      <c r="F130" s="14">
        <f>SUM(F40:F42,F45,F46,F48,F50:F51)</f>
        <v>1986921.9955126485</v>
      </c>
      <c r="G130" s="14">
        <f ca="1">SUM(G40:G42)+G45+G46+G48+G50+G51</f>
        <v>-207818.72139914765</v>
      </c>
      <c r="H130" s="14">
        <f ca="1">SUM(H40:H42)+H45+H46+H48+H50+H51</f>
        <v>-263608.21855718014</v>
      </c>
      <c r="I130" s="14">
        <f ca="1">SUM(I40:I42)+I45+I46+I48+I50+I51</f>
        <v>556377.77121648309</v>
      </c>
      <c r="J130" s="14">
        <f ca="1">SUM(J40:J42)+J45+J46+J48+J50+J51</f>
        <v>26252.765059926431</v>
      </c>
    </row>
    <row r="131" spans="2:11">
      <c r="B131" s="433" t="s">
        <v>387</v>
      </c>
      <c r="C131" s="572"/>
      <c r="D131" s="574">
        <f>'Operating Model'!E95</f>
        <v>81617</v>
      </c>
      <c r="E131" s="575">
        <f>'Operating Model'!F95</f>
        <v>68906</v>
      </c>
      <c r="F131" s="574">
        <f>SUM(F129:F130)</f>
        <v>2055827.9955126485</v>
      </c>
      <c r="G131" s="574">
        <f t="shared" ref="G131:J131" ca="1" si="62">SUM(G129:G130)</f>
        <v>1848009.274113501</v>
      </c>
      <c r="H131" s="574">
        <f t="shared" ca="1" si="62"/>
        <v>1584401.0555563208</v>
      </c>
      <c r="I131" s="574">
        <f t="shared" ca="1" si="62"/>
        <v>2140778.8267728039</v>
      </c>
      <c r="J131" s="574">
        <f t="shared" ca="1" si="62"/>
        <v>2167031.5918327305</v>
      </c>
    </row>
    <row r="132" spans="2:11">
      <c r="B132" t="s">
        <v>388</v>
      </c>
      <c r="D132" s="14"/>
      <c r="E132" s="570">
        <f>AVERAGE(D131:E131)</f>
        <v>75261.5</v>
      </c>
      <c r="F132" s="14">
        <f t="shared" ref="F132:I132" si="63">AVERAGE(E131:F131)</f>
        <v>1062366.9977563242</v>
      </c>
      <c r="G132" s="14">
        <f t="shared" ca="1" si="63"/>
        <v>1951918.6348130747</v>
      </c>
      <c r="H132" s="14">
        <f t="shared" ca="1" si="63"/>
        <v>1716205.164834911</v>
      </c>
      <c r="I132" s="14">
        <f t="shared" ca="1" si="63"/>
        <v>1862589.9411645625</v>
      </c>
      <c r="J132" s="14">
        <f ca="1">AVERAGE(I131:J131)</f>
        <v>2153905.2093027672</v>
      </c>
    </row>
    <row r="133" spans="2:11">
      <c r="B133" t="s">
        <v>389</v>
      </c>
      <c r="D133" s="14"/>
      <c r="E133" s="435">
        <v>0</v>
      </c>
      <c r="F133" s="391">
        <f>E133</f>
        <v>0</v>
      </c>
      <c r="G133" s="391">
        <f t="shared" ref="G133:J133" si="64">F133</f>
        <v>0</v>
      </c>
      <c r="H133" s="391">
        <f t="shared" si="64"/>
        <v>0</v>
      </c>
      <c r="I133" s="391">
        <f t="shared" si="64"/>
        <v>0</v>
      </c>
      <c r="J133" s="391">
        <f t="shared" si="64"/>
        <v>0</v>
      </c>
    </row>
    <row r="134" spans="2:11">
      <c r="B134" t="s">
        <v>400</v>
      </c>
      <c r="D134" s="14"/>
      <c r="E134" s="570">
        <f>E132*E133</f>
        <v>0</v>
      </c>
      <c r="F134" s="14">
        <f t="shared" ref="F134:J134" si="65">F132*F133</f>
        <v>0</v>
      </c>
      <c r="G134" s="14">
        <f t="shared" ca="1" si="65"/>
        <v>0</v>
      </c>
      <c r="H134" s="14">
        <f t="shared" ca="1" si="65"/>
        <v>0</v>
      </c>
      <c r="I134" s="14">
        <f t="shared" ca="1" si="65"/>
        <v>0</v>
      </c>
      <c r="J134" s="14">
        <f t="shared" ca="1" si="65"/>
        <v>0</v>
      </c>
    </row>
    <row r="135" spans="2:11">
      <c r="B135" s="49"/>
    </row>
    <row r="136" spans="2:11">
      <c r="B136" s="49"/>
    </row>
    <row r="137" spans="2:11">
      <c r="B137" s="49" t="s">
        <v>401</v>
      </c>
      <c r="E137" t="str">
        <f>IF(E131='Operating Model'!F177, "Good", "Nah")</f>
        <v>Good</v>
      </c>
      <c r="F137" t="str">
        <f>IF(F131='Operating Model'!G177, "Good", "Error")</f>
        <v>Good</v>
      </c>
      <c r="G137" t="str">
        <f ca="1">IF(G131='Operating Model'!H177, "Good", "Error")</f>
        <v>Good</v>
      </c>
      <c r="H137" t="str">
        <f ca="1">IF(H131='Operating Model'!I177, "Good", "Error")</f>
        <v>Good</v>
      </c>
      <c r="I137" t="str">
        <f ca="1">IF(I131='Operating Model'!J177, "Good", "Error")</f>
        <v>Good</v>
      </c>
      <c r="J137" t="str">
        <f ca="1">IF(J131='Operating Model'!K177, "Good", "Error")</f>
        <v>Good</v>
      </c>
    </row>
    <row r="138" spans="2:11">
      <c r="B138" s="49"/>
    </row>
    <row r="139" spans="2:11">
      <c r="B139" s="49"/>
    </row>
    <row r="140" spans="2:11">
      <c r="B140" s="49"/>
    </row>
    <row r="142" spans="2:11">
      <c r="B142" s="541" t="s">
        <v>402</v>
      </c>
      <c r="C142" s="582" t="s">
        <v>14</v>
      </c>
      <c r="D142" s="582" t="s">
        <v>15</v>
      </c>
      <c r="E142" s="543" t="s">
        <v>17</v>
      </c>
      <c r="F142" s="544" t="s">
        <v>18</v>
      </c>
      <c r="G142" s="544" t="s">
        <v>19</v>
      </c>
      <c r="H142" s="544" t="s">
        <v>20</v>
      </c>
      <c r="I142" s="544" t="s">
        <v>21</v>
      </c>
      <c r="J142" s="544" t="s">
        <v>22</v>
      </c>
      <c r="K142" s="47"/>
    </row>
    <row r="143" spans="2:11">
      <c r="B143" s="545" t="s">
        <v>74</v>
      </c>
      <c r="C143" s="546"/>
      <c r="D143" s="546"/>
      <c r="E143" s="546"/>
      <c r="F143" s="546"/>
      <c r="G143" s="546"/>
      <c r="H143" s="546"/>
      <c r="I143" s="546"/>
      <c r="J143" s="546"/>
    </row>
    <row r="144" spans="2:11">
      <c r="B144" t="s">
        <v>403</v>
      </c>
      <c r="C144" s="14">
        <v>67021</v>
      </c>
      <c r="D144" s="14">
        <v>71230</v>
      </c>
      <c r="E144" s="570">
        <v>73190</v>
      </c>
      <c r="F144" s="14">
        <v>42431</v>
      </c>
      <c r="G144" s="14">
        <v>37823</v>
      </c>
      <c r="H144" s="14">
        <v>30406</v>
      </c>
      <c r="I144" s="14">
        <v>21735</v>
      </c>
      <c r="J144" s="14">
        <v>12783</v>
      </c>
    </row>
    <row r="145" spans="2:10">
      <c r="B145" t="s">
        <v>404</v>
      </c>
      <c r="C145" s="14">
        <f>C147+C148</f>
        <v>129229</v>
      </c>
      <c r="D145" s="14">
        <f>D147+D148</f>
        <v>149166</v>
      </c>
      <c r="E145" s="570">
        <f>E147+E148</f>
        <v>158482</v>
      </c>
      <c r="F145" s="14">
        <f>E145-F144</f>
        <v>116051</v>
      </c>
      <c r="G145" s="14">
        <f t="shared" ref="G145:J145" si="66">F145-G144</f>
        <v>78228</v>
      </c>
      <c r="H145" s="14">
        <f t="shared" si="66"/>
        <v>47822</v>
      </c>
      <c r="I145" s="14">
        <f t="shared" si="66"/>
        <v>26087</v>
      </c>
      <c r="J145" s="14">
        <f t="shared" si="66"/>
        <v>13304</v>
      </c>
    </row>
    <row r="146" spans="2:10">
      <c r="B146" s="12" t="s">
        <v>405</v>
      </c>
      <c r="C146" s="14"/>
      <c r="D146" s="14"/>
      <c r="E146" s="570"/>
      <c r="F146" s="14"/>
      <c r="G146" s="14"/>
      <c r="H146" s="14"/>
      <c r="I146" s="14"/>
      <c r="J146" s="14"/>
    </row>
    <row r="147" spans="2:10">
      <c r="B147" t="s">
        <v>406</v>
      </c>
      <c r="C147" s="14">
        <f>'Operating Model'!D115</f>
        <v>37805</v>
      </c>
      <c r="D147" s="14">
        <f>'Operating Model'!E115</f>
        <v>39459</v>
      </c>
      <c r="E147" s="570">
        <f>'Operating Model'!F115</f>
        <v>38168</v>
      </c>
      <c r="F147" s="14">
        <f>F144</f>
        <v>42431</v>
      </c>
      <c r="G147" s="14">
        <f t="shared" ref="G147:J147" si="67">G144</f>
        <v>37823</v>
      </c>
      <c r="H147" s="14">
        <f t="shared" si="67"/>
        <v>30406</v>
      </c>
      <c r="I147" s="14">
        <f t="shared" si="67"/>
        <v>21735</v>
      </c>
      <c r="J147" s="14">
        <f t="shared" si="67"/>
        <v>12783</v>
      </c>
    </row>
    <row r="148" spans="2:10">
      <c r="B148" t="s">
        <v>407</v>
      </c>
      <c r="C148" s="14">
        <f>'Operating Model'!D119</f>
        <v>91424</v>
      </c>
      <c r="D148" s="14">
        <f>'Operating Model'!E119</f>
        <v>109707</v>
      </c>
      <c r="E148" s="570">
        <f>'Operating Model'!F119</f>
        <v>120314</v>
      </c>
      <c r="F148" s="14">
        <f>F145</f>
        <v>116051</v>
      </c>
      <c r="G148" s="14">
        <f t="shared" ref="G148:J148" si="68">G145</f>
        <v>78228</v>
      </c>
      <c r="H148" s="14">
        <f t="shared" si="68"/>
        <v>47822</v>
      </c>
      <c r="I148" s="14">
        <f t="shared" si="68"/>
        <v>26087</v>
      </c>
      <c r="J148" s="14">
        <f t="shared" si="68"/>
        <v>13304</v>
      </c>
    </row>
    <row r="149" spans="2:10">
      <c r="B149" t="s">
        <v>408</v>
      </c>
      <c r="C149" s="14">
        <f>'Operating Model'!D107</f>
        <v>124726</v>
      </c>
      <c r="D149" s="14">
        <f>'Operating Model'!E107</f>
        <v>146563</v>
      </c>
      <c r="E149" s="570">
        <f>'Operating Model'!F107</f>
        <v>155464</v>
      </c>
      <c r="F149" s="14">
        <f>(F147+F148)*F150</f>
        <v>154713.36939289057</v>
      </c>
      <c r="G149" s="14">
        <f t="shared" ref="G149:J149" si="69">(G147+G148)*G150</f>
        <v>113291.35946930468</v>
      </c>
      <c r="H149" s="14">
        <f t="shared" si="69"/>
        <v>76367.773380365237</v>
      </c>
      <c r="I149" s="14">
        <f t="shared" si="69"/>
        <v>46684.814370760163</v>
      </c>
      <c r="J149" s="14">
        <f t="shared" si="69"/>
        <v>25466.662885074242</v>
      </c>
    </row>
    <row r="150" spans="2:10">
      <c r="B150" t="s">
        <v>409</v>
      </c>
      <c r="C150" s="391">
        <f>C149/(C147+C148)</f>
        <v>0.9651548800965728</v>
      </c>
      <c r="D150" s="391">
        <f>D149/(D147+D148)</f>
        <v>0.98254964267996725</v>
      </c>
      <c r="E150" s="435">
        <f>E149/(E147+E148)</f>
        <v>0.98095682790474625</v>
      </c>
      <c r="F150" s="391">
        <f>AVERAGE($C$150:$E$150)</f>
        <v>0.97622045022709558</v>
      </c>
      <c r="G150" s="391">
        <f t="shared" ref="G150:J150" si="70">AVERAGE($C$150:$E$150)</f>
        <v>0.97622045022709558</v>
      </c>
      <c r="H150" s="391">
        <f t="shared" si="70"/>
        <v>0.97622045022709558</v>
      </c>
      <c r="I150" s="391">
        <f t="shared" si="70"/>
        <v>0.97622045022709558</v>
      </c>
      <c r="J150" s="391">
        <f t="shared" si="70"/>
        <v>0.97622045022709558</v>
      </c>
    </row>
  </sheetData>
  <pageMargins left="0.7" right="0.7" top="0.75" bottom="0.75" header="0.3" footer="0.3"/>
  <ignoredErrors>
    <ignoredError sqref="G10:J10 F24" formula="1"/>
  </ignoredError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2:G55"/>
  <sheetViews>
    <sheetView showGridLines="0" topLeftCell="A10" zoomScale="109" workbookViewId="0">
      <selection activeCell="E15" sqref="E15"/>
    </sheetView>
  </sheetViews>
  <sheetFormatPr defaultColWidth="11" defaultRowHeight="15.95"/>
  <cols>
    <col min="1" max="1" width="2.875" customWidth="1"/>
    <col min="2" max="2" width="58" bestFit="1" customWidth="1"/>
    <col min="3" max="3" width="16.875" bestFit="1" customWidth="1"/>
    <col min="4" max="4" width="27" bestFit="1" customWidth="1"/>
    <col min="5" max="5" width="24.5" bestFit="1" customWidth="1"/>
  </cols>
  <sheetData>
    <row r="2" spans="2:7">
      <c r="B2" s="5" t="s">
        <v>410</v>
      </c>
      <c r="C2" s="5"/>
      <c r="D2" s="132"/>
      <c r="E2" s="132"/>
    </row>
    <row r="3" spans="2:7">
      <c r="B3" s="6" t="s">
        <v>411</v>
      </c>
      <c r="C3" s="5"/>
      <c r="D3" s="132"/>
      <c r="E3" s="132"/>
    </row>
    <row r="4" spans="2:7">
      <c r="B4" s="55" t="s">
        <v>412</v>
      </c>
      <c r="C4" s="56"/>
    </row>
    <row r="5" spans="2:7">
      <c r="B5" s="57" t="s">
        <v>413</v>
      </c>
      <c r="C5" s="58">
        <v>1.23</v>
      </c>
    </row>
    <row r="6" spans="2:7">
      <c r="B6" s="57" t="s">
        <v>414</v>
      </c>
      <c r="C6" s="59">
        <v>3.7999999999999999E-2</v>
      </c>
    </row>
    <row r="7" spans="2:7">
      <c r="B7" s="57" t="s">
        <v>415</v>
      </c>
      <c r="C7" s="59">
        <v>8.5000000000000006E-2</v>
      </c>
    </row>
    <row r="8" spans="2:7">
      <c r="B8" s="60" t="s">
        <v>416</v>
      </c>
      <c r="C8" s="59">
        <f>C6+(C5*(C7-C6))</f>
        <v>9.5810000000000006E-2</v>
      </c>
    </row>
    <row r="9" spans="2:7">
      <c r="B9" s="57"/>
      <c r="C9" s="61"/>
    </row>
    <row r="10" spans="2:7">
      <c r="B10" s="60" t="s">
        <v>417</v>
      </c>
      <c r="C10" s="61"/>
    </row>
    <row r="11" spans="2:7">
      <c r="B11" s="57" t="s">
        <v>418</v>
      </c>
      <c r="C11" s="52">
        <v>0.06</v>
      </c>
      <c r="D11" t="s">
        <v>11</v>
      </c>
      <c r="G11" s="39"/>
    </row>
    <row r="12" spans="2:7">
      <c r="B12" s="57" t="s">
        <v>419</v>
      </c>
      <c r="C12" s="62">
        <v>0.2</v>
      </c>
      <c r="G12" s="39"/>
    </row>
    <row r="13" spans="2:7">
      <c r="B13" s="60" t="s">
        <v>420</v>
      </c>
      <c r="C13" s="59">
        <f>C11*(1-C12)</f>
        <v>4.8000000000000001E-2</v>
      </c>
      <c r="F13" s="16"/>
      <c r="G13" s="17"/>
    </row>
    <row r="14" spans="2:7">
      <c r="B14" s="57"/>
      <c r="C14" s="61"/>
      <c r="G14" s="17"/>
    </row>
    <row r="15" spans="2:7">
      <c r="B15" s="60" t="s">
        <v>421</v>
      </c>
      <c r="C15" s="61"/>
    </row>
    <row r="16" spans="2:7">
      <c r="B16" s="57" t="s">
        <v>422</v>
      </c>
      <c r="C16" s="63">
        <f>C26*C28</f>
        <v>10125948.189240001</v>
      </c>
      <c r="E16" s="16"/>
    </row>
    <row r="17" spans="2:5">
      <c r="B17" s="57" t="s">
        <v>423</v>
      </c>
      <c r="C17" s="63">
        <f>C51</f>
        <v>3220901</v>
      </c>
      <c r="E17" s="16"/>
    </row>
    <row r="18" spans="2:5">
      <c r="B18" s="57" t="s">
        <v>424</v>
      </c>
      <c r="C18" s="63">
        <f>SUM(C16:C17)</f>
        <v>13346849.189240001</v>
      </c>
    </row>
    <row r="19" spans="2:5">
      <c r="B19" s="64" t="s">
        <v>425</v>
      </c>
      <c r="C19" s="65">
        <f>(C8*(C16/C18))+(C13*(C17/C18))</f>
        <v>8.4272349830539411E-2</v>
      </c>
    </row>
    <row r="21" spans="2:5">
      <c r="B21" s="5" t="s">
        <v>426</v>
      </c>
      <c r="C21" s="5"/>
      <c r="D21" s="5"/>
      <c r="E21" s="5"/>
    </row>
    <row r="22" spans="2:5">
      <c r="B22" s="6" t="s">
        <v>411</v>
      </c>
      <c r="C22" s="5"/>
      <c r="D22" s="5"/>
      <c r="E22" s="5"/>
    </row>
    <row r="24" spans="2:5">
      <c r="B24" s="12" t="s">
        <v>427</v>
      </c>
      <c r="C24" t="s">
        <v>3</v>
      </c>
    </row>
    <row r="25" spans="2:5">
      <c r="B25" s="12" t="s">
        <v>154</v>
      </c>
      <c r="C25" s="45" t="s">
        <v>155</v>
      </c>
    </row>
    <row r="26" spans="2:5">
      <c r="B26" s="12" t="s">
        <v>428</v>
      </c>
      <c r="C26" s="72">
        <v>63.18</v>
      </c>
    </row>
    <row r="28" spans="2:5">
      <c r="B28" s="12" t="s">
        <v>429</v>
      </c>
      <c r="C28" s="44">
        <v>160271.41800000001</v>
      </c>
    </row>
    <row r="29" spans="2:5">
      <c r="B29" s="12" t="s">
        <v>430</v>
      </c>
      <c r="C29" s="44">
        <f>E37</f>
        <v>1964.9096092117759</v>
      </c>
    </row>
    <row r="30" spans="2:5">
      <c r="B30" s="12" t="s">
        <v>431</v>
      </c>
      <c r="C30" s="44">
        <f>SUM(C28:C29)</f>
        <v>162236.32760921179</v>
      </c>
    </row>
    <row r="32" spans="2:5">
      <c r="B32" s="40" t="s">
        <v>432</v>
      </c>
      <c r="C32" s="40" t="s">
        <v>433</v>
      </c>
      <c r="D32" s="40" t="s">
        <v>434</v>
      </c>
      <c r="E32" s="40" t="s">
        <v>435</v>
      </c>
    </row>
    <row r="33" spans="2:5">
      <c r="B33" s="37" t="s">
        <v>436</v>
      </c>
      <c r="C33" s="16">
        <v>2611.8870000000002</v>
      </c>
      <c r="D33" s="43">
        <v>15.65</v>
      </c>
      <c r="E33" s="43">
        <f>IF(D33&lt;$C$26,D33*C33,0)</f>
        <v>40876.031550000007</v>
      </c>
    </row>
    <row r="35" spans="2:5">
      <c r="D35" s="40" t="s">
        <v>437</v>
      </c>
      <c r="E35" s="43">
        <f>SUM(E33:E33)</f>
        <v>40876.031550000007</v>
      </c>
    </row>
    <row r="36" spans="2:5">
      <c r="D36" s="40" t="s">
        <v>438</v>
      </c>
      <c r="E36" s="16">
        <f>E35/C26</f>
        <v>646.97739078822428</v>
      </c>
    </row>
    <row r="37" spans="2:5">
      <c r="D37" s="40" t="s">
        <v>439</v>
      </c>
      <c r="E37" s="41">
        <f>C33-E36</f>
        <v>1964.9096092117759</v>
      </c>
    </row>
    <row r="39" spans="2:5">
      <c r="B39" s="5" t="s">
        <v>440</v>
      </c>
      <c r="C39" s="5"/>
      <c r="D39" s="5"/>
      <c r="E39" s="5"/>
    </row>
    <row r="40" spans="2:5">
      <c r="B40" s="6" t="s">
        <v>411</v>
      </c>
      <c r="C40" s="5"/>
      <c r="D40" s="5"/>
      <c r="E40" s="5"/>
    </row>
    <row r="41" spans="2:5">
      <c r="B41" s="53">
        <v>44835</v>
      </c>
    </row>
    <row r="42" spans="2:5">
      <c r="B42" s="54" t="s">
        <v>441</v>
      </c>
      <c r="C42" s="66">
        <v>399234</v>
      </c>
      <c r="D42" s="38">
        <v>3.7999999999999999E-2</v>
      </c>
      <c r="E42">
        <f>C42/$C$53</f>
        <v>0.12154855256283635</v>
      </c>
    </row>
    <row r="43" spans="2:5">
      <c r="B43" s="49" t="s">
        <v>442</v>
      </c>
      <c r="C43" s="67">
        <v>495774</v>
      </c>
      <c r="D43" s="38">
        <v>3.7999999999999999E-2</v>
      </c>
      <c r="E43">
        <f t="shared" ref="E43:E49" si="0">C43/$C$53</f>
        <v>0.15094058145921346</v>
      </c>
    </row>
    <row r="44" spans="2:5">
      <c r="B44" s="49" t="s">
        <v>443</v>
      </c>
      <c r="C44" s="67">
        <v>198539</v>
      </c>
      <c r="D44" s="38">
        <v>3.7999999999999999E-2</v>
      </c>
      <c r="E44">
        <f t="shared" si="0"/>
        <v>6.0446074425707645E-2</v>
      </c>
    </row>
    <row r="45" spans="2:5">
      <c r="B45" s="49" t="s">
        <v>444</v>
      </c>
      <c r="C45" s="67">
        <v>992579</v>
      </c>
      <c r="D45" s="39">
        <v>0.06</v>
      </c>
      <c r="E45">
        <f t="shared" si="0"/>
        <v>0.30219505541679198</v>
      </c>
    </row>
    <row r="46" spans="2:5">
      <c r="B46" s="49" t="s">
        <v>445</v>
      </c>
      <c r="C46" s="67">
        <v>495663</v>
      </c>
      <c r="D46" s="38">
        <v>5.2499999999999998E-2</v>
      </c>
      <c r="E46">
        <f t="shared" si="0"/>
        <v>0.15090678701952526</v>
      </c>
    </row>
    <row r="47" spans="2:5">
      <c r="B47" s="49" t="s">
        <v>446</v>
      </c>
      <c r="C47" s="67">
        <v>498359</v>
      </c>
      <c r="D47" s="38">
        <v>3.7999999999999999E-2</v>
      </c>
      <c r="E47">
        <f t="shared" si="0"/>
        <v>0.15172759611321321</v>
      </c>
    </row>
    <row r="48" spans="2:5">
      <c r="B48" s="49" t="s">
        <v>447</v>
      </c>
      <c r="C48" s="67">
        <v>111183</v>
      </c>
      <c r="D48" s="39">
        <v>0.04</v>
      </c>
      <c r="E48">
        <f t="shared" si="0"/>
        <v>3.3850154845513743E-2</v>
      </c>
    </row>
    <row r="49" spans="2:5">
      <c r="B49" s="49" t="s">
        <v>448</v>
      </c>
      <c r="C49" s="67">
        <v>93233</v>
      </c>
      <c r="D49" s="38">
        <v>3.7999999999999999E-2</v>
      </c>
      <c r="E49">
        <f t="shared" si="0"/>
        <v>2.8385198157198338E-2</v>
      </c>
    </row>
    <row r="50" spans="2:5">
      <c r="B50" s="49" t="s">
        <v>449</v>
      </c>
      <c r="C50" s="68">
        <v>-63663</v>
      </c>
    </row>
    <row r="51" spans="2:5">
      <c r="B51" s="49" t="s">
        <v>208</v>
      </c>
      <c r="C51" s="436">
        <f>SUM(C42:C50)</f>
        <v>3220901</v>
      </c>
      <c r="E51" s="391">
        <f>(D42*E42)+(D43*E43)+(D44*E44)+(D45*E45)+(D46*E46)+(D47*E47)+(D48*E48)+(D49*E49)</f>
        <v>4.6904139940643561E-2</v>
      </c>
    </row>
    <row r="53" spans="2:5">
      <c r="C53" s="71">
        <f>SUM(C42:C49)</f>
        <v>3284564</v>
      </c>
    </row>
    <row r="54" spans="2:5">
      <c r="C54" s="71"/>
    </row>
    <row r="55" spans="2:5">
      <c r="C55" s="71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2:O28"/>
  <sheetViews>
    <sheetView showGridLines="0" topLeftCell="B1" zoomScale="84" workbookViewId="0">
      <selection activeCell="M15" sqref="M15"/>
    </sheetView>
  </sheetViews>
  <sheetFormatPr defaultColWidth="11" defaultRowHeight="15.75" customHeight="1"/>
  <cols>
    <col min="1" max="1" width="3.625" customWidth="1"/>
    <col min="2" max="2" width="44.625" bestFit="1" customWidth="1"/>
    <col min="3" max="3" width="8.875" customWidth="1"/>
    <col min="4" max="4" width="13.875" customWidth="1"/>
    <col min="5" max="5" width="17" customWidth="1"/>
    <col min="6" max="6" width="7.375" customWidth="1"/>
    <col min="12" max="12" width="11.125" bestFit="1" customWidth="1"/>
    <col min="13" max="14" width="11.375" bestFit="1" customWidth="1"/>
    <col min="15" max="15" width="12.625" bestFit="1" customWidth="1"/>
  </cols>
  <sheetData>
    <row r="2" spans="2:15" ht="20.100000000000001">
      <c r="B2" s="135" t="s">
        <v>450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</row>
    <row r="3" spans="2:15" ht="15.95">
      <c r="B3" s="6" t="s">
        <v>451</v>
      </c>
      <c r="C3" s="137"/>
      <c r="D3" s="137"/>
      <c r="E3" s="137"/>
      <c r="F3" s="137"/>
      <c r="G3" s="137"/>
      <c r="H3" s="137"/>
      <c r="I3" s="137"/>
      <c r="J3" s="137"/>
      <c r="K3" s="137"/>
      <c r="L3" s="138"/>
      <c r="M3" s="138"/>
      <c r="N3" s="138"/>
      <c r="O3" s="138"/>
    </row>
    <row r="4" spans="2:15" ht="20.25" customHeight="1">
      <c r="B4" s="379" t="s">
        <v>452</v>
      </c>
      <c r="C4" s="664" t="s">
        <v>453</v>
      </c>
      <c r="D4" s="664"/>
      <c r="E4" s="664"/>
      <c r="F4" s="380" t="s">
        <v>452</v>
      </c>
      <c r="G4" s="664" t="s">
        <v>454</v>
      </c>
      <c r="H4" s="664"/>
      <c r="I4" s="664"/>
      <c r="J4" s="664"/>
      <c r="K4" s="380" t="s">
        <v>452</v>
      </c>
      <c r="L4" s="664" t="s">
        <v>455</v>
      </c>
      <c r="M4" s="664"/>
      <c r="N4" s="664"/>
      <c r="O4" s="664"/>
    </row>
    <row r="5" spans="2:15" ht="15.95">
      <c r="B5" s="379" t="s">
        <v>456</v>
      </c>
      <c r="C5" s="379" t="s">
        <v>457</v>
      </c>
      <c r="D5" s="379" t="s">
        <v>458</v>
      </c>
      <c r="E5" s="379" t="s">
        <v>459</v>
      </c>
      <c r="F5" s="379" t="s">
        <v>452</v>
      </c>
      <c r="G5" s="379" t="s">
        <v>258</v>
      </c>
      <c r="H5" s="379" t="s">
        <v>175</v>
      </c>
      <c r="I5" s="379" t="s">
        <v>55</v>
      </c>
      <c r="J5" s="379" t="s">
        <v>325</v>
      </c>
      <c r="K5" s="379" t="s">
        <v>452</v>
      </c>
      <c r="L5" s="379" t="s">
        <v>460</v>
      </c>
      <c r="M5" s="379" t="s">
        <v>461</v>
      </c>
      <c r="N5" s="379" t="s">
        <v>462</v>
      </c>
      <c r="O5" s="379" t="s">
        <v>463</v>
      </c>
    </row>
    <row r="6" spans="2:15" ht="15.95">
      <c r="B6" s="381" t="s">
        <v>452</v>
      </c>
      <c r="C6" s="381" t="s">
        <v>452</v>
      </c>
      <c r="D6" s="381" t="s">
        <v>452</v>
      </c>
      <c r="E6" s="381" t="s">
        <v>452</v>
      </c>
      <c r="F6" s="381" t="s">
        <v>452</v>
      </c>
      <c r="G6" s="381" t="s">
        <v>452</v>
      </c>
      <c r="H6" s="381" t="s">
        <v>452</v>
      </c>
      <c r="I6" s="381" t="s">
        <v>452</v>
      </c>
      <c r="J6" s="381" t="s">
        <v>452</v>
      </c>
      <c r="K6" s="381" t="s">
        <v>452</v>
      </c>
      <c r="L6" s="381" t="s">
        <v>452</v>
      </c>
      <c r="M6" s="381" t="s">
        <v>452</v>
      </c>
      <c r="N6" s="381" t="s">
        <v>452</v>
      </c>
      <c r="O6" s="381" t="s">
        <v>452</v>
      </c>
    </row>
    <row r="7" spans="2:15" ht="15.95">
      <c r="B7" s="376" t="s">
        <v>464</v>
      </c>
      <c r="C7" s="376" t="s">
        <v>465</v>
      </c>
      <c r="D7" s="388">
        <v>12293</v>
      </c>
      <c r="E7" s="388">
        <v>14572</v>
      </c>
      <c r="F7" s="376"/>
      <c r="G7" s="538">
        <v>6074</v>
      </c>
      <c r="H7" s="538">
        <v>541</v>
      </c>
      <c r="I7" s="538">
        <v>403</v>
      </c>
      <c r="J7" s="538">
        <v>736</v>
      </c>
      <c r="K7" s="376"/>
      <c r="L7" s="387">
        <f>E7/G7</f>
        <v>2.3990780375370431</v>
      </c>
      <c r="M7" s="387">
        <f>E7/H7</f>
        <v>26.935304990757857</v>
      </c>
      <c r="N7" s="387">
        <f>D7/I7</f>
        <v>30.503722084367247</v>
      </c>
      <c r="O7" s="387">
        <f>E7/J7</f>
        <v>19.798913043478262</v>
      </c>
    </row>
    <row r="8" spans="2:15" ht="15.95">
      <c r="B8" s="376" t="s">
        <v>466</v>
      </c>
      <c r="C8" s="376" t="s">
        <v>467</v>
      </c>
      <c r="D8" s="388">
        <v>15337</v>
      </c>
      <c r="E8" s="388">
        <v>21094</v>
      </c>
      <c r="F8" s="376"/>
      <c r="G8" s="538">
        <v>67255</v>
      </c>
      <c r="H8" s="538">
        <v>2540</v>
      </c>
      <c r="I8" s="538">
        <v>-1505</v>
      </c>
      <c r="J8" s="538">
        <v>2948</v>
      </c>
      <c r="K8" s="376"/>
      <c r="L8" s="387">
        <f>E8/G8</f>
        <v>0.31364210839342799</v>
      </c>
      <c r="M8" s="387">
        <f>E8/H8</f>
        <v>8.3047244094488182</v>
      </c>
      <c r="N8" s="387">
        <f>D8/I8</f>
        <v>-10.190697674418605</v>
      </c>
      <c r="O8" s="387">
        <f>E8/J8</f>
        <v>7.155359565807327</v>
      </c>
    </row>
    <row r="9" spans="2:15" ht="15.95">
      <c r="B9" s="376" t="s">
        <v>468</v>
      </c>
      <c r="C9" s="376" t="s">
        <v>469</v>
      </c>
      <c r="D9" s="388">
        <v>52873</v>
      </c>
      <c r="E9" s="388">
        <v>61733</v>
      </c>
      <c r="F9" s="376"/>
      <c r="G9" s="538">
        <v>98707</v>
      </c>
      <c r="H9" s="538">
        <v>4270</v>
      </c>
      <c r="I9" s="538">
        <v>4103</v>
      </c>
      <c r="J9" s="538">
        <v>5301</v>
      </c>
      <c r="K9" s="376"/>
      <c r="L9" s="387">
        <f t="shared" ref="L9" si="0">E9/G9</f>
        <v>0.62541663711793494</v>
      </c>
      <c r="M9" s="387">
        <f t="shared" ref="M9" si="1">E9/H9</f>
        <v>14.457377049180328</v>
      </c>
      <c r="N9" s="387">
        <f t="shared" ref="N9" si="2">D9/I9</f>
        <v>12.886424567389716</v>
      </c>
      <c r="O9" s="387">
        <f t="shared" ref="O9" si="3">E9/J9</f>
        <v>11.645538577626862</v>
      </c>
    </row>
    <row r="10" spans="2:15" ht="15.95">
      <c r="B10" s="376" t="s">
        <v>470</v>
      </c>
      <c r="C10" s="376" t="s">
        <v>471</v>
      </c>
      <c r="D10" s="388">
        <v>3698</v>
      </c>
      <c r="E10" s="388">
        <v>5292</v>
      </c>
      <c r="F10" s="376"/>
      <c r="G10" s="538">
        <v>1133</v>
      </c>
      <c r="H10" s="538">
        <v>-128</v>
      </c>
      <c r="I10" s="538">
        <v>-214</v>
      </c>
      <c r="J10" s="538">
        <v>-14.1</v>
      </c>
      <c r="K10" s="376"/>
      <c r="L10" s="387">
        <f>E10/G10</f>
        <v>4.6707855251544572</v>
      </c>
      <c r="M10" s="387">
        <f>E10/H10</f>
        <v>-41.34375</v>
      </c>
      <c r="N10" s="387">
        <f>D10/I10</f>
        <v>-17.280373831775702</v>
      </c>
      <c r="O10" s="387">
        <f>E10/J10</f>
        <v>-375.31914893617022</v>
      </c>
    </row>
    <row r="11" spans="2:15" ht="15.95">
      <c r="B11" s="376"/>
      <c r="C11" s="376"/>
      <c r="D11" s="388"/>
      <c r="E11" s="388"/>
      <c r="F11" s="376"/>
      <c r="G11" s="388"/>
      <c r="H11" s="388"/>
      <c r="I11" s="388"/>
      <c r="J11" s="388"/>
      <c r="K11" s="376"/>
      <c r="L11" s="387"/>
      <c r="M11" s="387"/>
      <c r="N11" s="387"/>
      <c r="O11" s="387"/>
    </row>
    <row r="12" spans="2:15" ht="15.95">
      <c r="B12" s="382" t="s">
        <v>472</v>
      </c>
      <c r="C12" s="375" t="s">
        <v>452</v>
      </c>
      <c r="D12" s="375" t="s">
        <v>452</v>
      </c>
      <c r="E12" s="375"/>
      <c r="F12" s="375" t="s">
        <v>452</v>
      </c>
      <c r="G12" s="375" t="s">
        <v>452</v>
      </c>
      <c r="H12" s="375" t="s">
        <v>452</v>
      </c>
      <c r="I12" s="375" t="s">
        <v>452</v>
      </c>
      <c r="J12" s="375" t="s">
        <v>452</v>
      </c>
      <c r="K12" s="375" t="s">
        <v>452</v>
      </c>
      <c r="L12" s="495">
        <f>MEDIAN(L7:L10)</f>
        <v>1.5122473373274889</v>
      </c>
      <c r="M12" s="495">
        <f>MEDIAN(M7:M9)</f>
        <v>14.457377049180328</v>
      </c>
      <c r="N12" s="495">
        <f>MEDIAN(N7:N9)</f>
        <v>12.886424567389716</v>
      </c>
      <c r="O12" s="496">
        <f>MEDIAN(O7:O9)</f>
        <v>11.645538577626862</v>
      </c>
    </row>
    <row r="13" spans="2:15" ht="15.95">
      <c r="B13" s="383" t="s">
        <v>473</v>
      </c>
      <c r="C13" s="376"/>
      <c r="D13" s="376"/>
      <c r="E13" s="376"/>
      <c r="F13" s="376"/>
      <c r="G13" s="376"/>
      <c r="H13" s="376"/>
      <c r="I13" s="376"/>
      <c r="J13" s="376"/>
      <c r="K13" s="376"/>
      <c r="L13" s="497">
        <f>AVERAGE(L7:L10)</f>
        <v>2.0022305770507156</v>
      </c>
      <c r="M13" s="497">
        <f>AVERAGE(M7:M9)</f>
        <v>16.565802149795669</v>
      </c>
      <c r="N13" s="497">
        <f>AVERAGE(N7,N9)</f>
        <v>21.695073325878482</v>
      </c>
      <c r="O13" s="498">
        <f>AVERAGE(O7:O9)</f>
        <v>12.866603728970816</v>
      </c>
    </row>
    <row r="14" spans="2:15" ht="15.95">
      <c r="B14" s="383" t="s">
        <v>474</v>
      </c>
      <c r="C14" s="376"/>
      <c r="D14" s="376"/>
      <c r="E14" s="376"/>
      <c r="F14" s="376"/>
      <c r="G14" s="376"/>
      <c r="H14" s="376"/>
      <c r="I14" s="376"/>
      <c r="J14" s="376"/>
      <c r="K14" s="376"/>
      <c r="L14" s="497">
        <f>_xlfn.PERCENTILE.EXC(L7:L10,0.25)</f>
        <v>0.39158574057455475</v>
      </c>
      <c r="M14" s="497">
        <f>_xlfn.PERCENTILE.EXC(M7:M9,0.25)</f>
        <v>8.3047244094488182</v>
      </c>
      <c r="N14" s="497">
        <f t="shared" ref="N14:O14" si="4">_xlfn.PERCENTILE.EXC(N7:N9,0.25)</f>
        <v>-10.190697674418605</v>
      </c>
      <c r="O14" s="497">
        <f t="shared" si="4"/>
        <v>7.155359565807327</v>
      </c>
    </row>
    <row r="15" spans="2:15" ht="15.95">
      <c r="B15" s="384" t="s">
        <v>475</v>
      </c>
      <c r="C15" s="377" t="s">
        <v>452</v>
      </c>
      <c r="D15" s="377" t="s">
        <v>452</v>
      </c>
      <c r="E15" s="377"/>
      <c r="F15" s="377" t="s">
        <v>452</v>
      </c>
      <c r="G15" s="377" t="s">
        <v>452</v>
      </c>
      <c r="H15" s="377" t="s">
        <v>452</v>
      </c>
      <c r="I15" s="377" t="s">
        <v>452</v>
      </c>
      <c r="J15" s="377" t="s">
        <v>452</v>
      </c>
      <c r="K15" s="377" t="s">
        <v>452</v>
      </c>
      <c r="L15" s="499">
        <f>_xlfn.PERCENTILE.EXC(L7:L10,0.75)</f>
        <v>4.1028586532501041</v>
      </c>
      <c r="M15" s="497">
        <f>_xlfn.PERCENTILE.EXC(M8:M10,0.25)</f>
        <v>-41.34375</v>
      </c>
      <c r="N15" s="499">
        <f t="shared" ref="N15:O15" si="5">_xlfn.PERCENTILE.EXC(N7:N9,0.75)</f>
        <v>30.503722084367247</v>
      </c>
      <c r="O15" s="499">
        <f t="shared" si="5"/>
        <v>19.798913043478262</v>
      </c>
    </row>
    <row r="16" spans="2:15" ht="15.95">
      <c r="B16" s="385"/>
      <c r="C16" s="385"/>
      <c r="D16" s="385"/>
      <c r="E16" s="385"/>
      <c r="F16" s="385"/>
      <c r="G16" s="385"/>
      <c r="H16" s="385"/>
      <c r="I16" s="385"/>
      <c r="J16" s="385"/>
      <c r="K16" s="385"/>
      <c r="L16" s="500"/>
      <c r="M16" s="500"/>
      <c r="N16" s="500"/>
      <c r="O16" s="500"/>
    </row>
    <row r="17" spans="2:15" ht="15.75" customHeight="1">
      <c r="B17" s="386" t="s">
        <v>3</v>
      </c>
      <c r="C17" s="378" t="s">
        <v>155</v>
      </c>
      <c r="D17" s="390">
        <v>11267</v>
      </c>
      <c r="E17" s="390">
        <v>14692</v>
      </c>
      <c r="F17" s="378" t="s">
        <v>452</v>
      </c>
      <c r="G17" s="390">
        <v>6074</v>
      </c>
      <c r="H17" s="390">
        <v>1015</v>
      </c>
      <c r="I17" s="390">
        <v>737</v>
      </c>
      <c r="J17" s="390">
        <v>1373</v>
      </c>
      <c r="K17" s="378" t="s">
        <v>452</v>
      </c>
      <c r="L17" s="501">
        <f>E17/G17</f>
        <v>2.4188343760289759</v>
      </c>
      <c r="M17" s="501">
        <f>E17/H17</f>
        <v>14.474876847290641</v>
      </c>
      <c r="N17" s="501">
        <f>D17/I17</f>
        <v>15.2876526458616</v>
      </c>
      <c r="O17" s="502">
        <f>E17/J17</f>
        <v>10.700655498907501</v>
      </c>
    </row>
    <row r="22" spans="2:15" ht="15.95">
      <c r="E22" t="s">
        <v>11</v>
      </c>
    </row>
    <row r="27" spans="2:15" ht="15.95">
      <c r="E27" s="134"/>
    </row>
    <row r="28" spans="2:15" ht="15.95"/>
  </sheetData>
  <mergeCells count="3">
    <mergeCell ref="L4:O4"/>
    <mergeCell ref="G4:J4"/>
    <mergeCell ref="C4:E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7F22-8239-4B45-B859-9985C7151526}">
  <dimension ref="F6:I8"/>
  <sheetViews>
    <sheetView workbookViewId="0"/>
  </sheetViews>
  <sheetFormatPr defaultColWidth="11" defaultRowHeight="15.95"/>
  <cols>
    <col min="6" max="6" width="22.625" bestFit="1" customWidth="1"/>
  </cols>
  <sheetData>
    <row r="6" spans="6:9">
      <c r="F6" t="s">
        <v>476</v>
      </c>
    </row>
    <row r="7" spans="6:9">
      <c r="F7">
        <v>-0.14221492629351196</v>
      </c>
      <c r="G7">
        <f>F7/F8</f>
        <v>-0.5811372527677322</v>
      </c>
      <c r="I7" t="s">
        <v>477</v>
      </c>
    </row>
    <row r="8" spans="6:9">
      <c r="F8">
        <v>0.24471830985915499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5DFE-E554-4B63-8337-2EBDDC6F92E6}">
  <sheetPr>
    <tabColor theme="9" tint="0.59999389629810485"/>
  </sheetPr>
  <dimension ref="B1:AN29"/>
  <sheetViews>
    <sheetView showGridLines="0" topLeftCell="B1" workbookViewId="0">
      <pane xSplit="1" topLeftCell="C1" activePane="topRight" state="frozen"/>
      <selection pane="topRight" activeCell="C1" sqref="C1"/>
      <selection activeCell="B1" sqref="B1"/>
    </sheetView>
  </sheetViews>
  <sheetFormatPr defaultColWidth="10.875" defaultRowHeight="15.95"/>
  <cols>
    <col min="1" max="1" width="3.625" style="76" customWidth="1"/>
    <col min="2" max="2" width="27.375" style="76" bestFit="1" customWidth="1"/>
    <col min="3" max="41" width="12.625" style="76" customWidth="1"/>
    <col min="42" max="16384" width="10.875" style="76"/>
  </cols>
  <sheetData>
    <row r="1" spans="2:40">
      <c r="G1" s="76" t="s">
        <v>478</v>
      </c>
      <c r="L1" s="76" t="s">
        <v>478</v>
      </c>
      <c r="Q1" s="76" t="s">
        <v>478</v>
      </c>
      <c r="V1" s="76" t="s">
        <v>478</v>
      </c>
      <c r="AA1" s="76" t="s">
        <v>478</v>
      </c>
      <c r="AF1" s="76" t="s">
        <v>478</v>
      </c>
      <c r="AK1" s="76" t="s">
        <v>478</v>
      </c>
      <c r="AN1" s="76" t="s">
        <v>478</v>
      </c>
    </row>
    <row r="2" spans="2:40" ht="20.25" customHeight="1" thickBot="1">
      <c r="B2" s="79" t="s">
        <v>479</v>
      </c>
      <c r="C2" s="77" t="s">
        <v>480</v>
      </c>
      <c r="D2" s="77" t="s">
        <v>481</v>
      </c>
      <c r="E2" s="77" t="s">
        <v>482</v>
      </c>
      <c r="F2" s="77" t="s">
        <v>483</v>
      </c>
      <c r="G2" s="78" t="s">
        <v>484</v>
      </c>
      <c r="H2" s="77" t="s">
        <v>485</v>
      </c>
      <c r="I2" s="77" t="s">
        <v>486</v>
      </c>
      <c r="J2" s="77" t="s">
        <v>487</v>
      </c>
      <c r="K2" s="77" t="s">
        <v>488</v>
      </c>
      <c r="L2" s="82" t="s">
        <v>489</v>
      </c>
      <c r="M2" s="152" t="s">
        <v>490</v>
      </c>
      <c r="N2" s="152" t="s">
        <v>491</v>
      </c>
      <c r="O2" s="152" t="s">
        <v>492</v>
      </c>
      <c r="P2" s="152" t="s">
        <v>493</v>
      </c>
      <c r="Q2" s="82" t="s">
        <v>494</v>
      </c>
      <c r="R2" s="152" t="s">
        <v>495</v>
      </c>
      <c r="S2" s="152" t="s">
        <v>496</v>
      </c>
      <c r="T2" s="152" t="s">
        <v>497</v>
      </c>
      <c r="U2" s="152" t="s">
        <v>498</v>
      </c>
      <c r="V2" s="82" t="s">
        <v>499</v>
      </c>
      <c r="W2" s="152" t="s">
        <v>500</v>
      </c>
      <c r="X2" s="152" t="s">
        <v>501</v>
      </c>
      <c r="Y2" s="152" t="s">
        <v>502</v>
      </c>
      <c r="Z2" s="152" t="s">
        <v>503</v>
      </c>
      <c r="AA2" s="82" t="s">
        <v>504</v>
      </c>
      <c r="AB2" s="152" t="s">
        <v>505</v>
      </c>
      <c r="AC2" s="152" t="s">
        <v>506</v>
      </c>
      <c r="AD2" s="152" t="s">
        <v>507</v>
      </c>
      <c r="AE2" s="152" t="s">
        <v>508</v>
      </c>
      <c r="AF2" s="82" t="s">
        <v>509</v>
      </c>
      <c r="AG2" s="152" t="s">
        <v>510</v>
      </c>
      <c r="AH2" s="152" t="s">
        <v>511</v>
      </c>
      <c r="AI2" s="152" t="s">
        <v>512</v>
      </c>
      <c r="AJ2" s="152" t="s">
        <v>513</v>
      </c>
      <c r="AK2" s="82" t="s">
        <v>514</v>
      </c>
      <c r="AL2" s="152" t="s">
        <v>515</v>
      </c>
      <c r="AM2" s="152" t="s">
        <v>516</v>
      </c>
      <c r="AN2" s="78" t="s">
        <v>517</v>
      </c>
    </row>
    <row r="3" spans="2:40">
      <c r="B3" s="80" t="s">
        <v>518</v>
      </c>
      <c r="C3" s="99">
        <v>385.12</v>
      </c>
      <c r="D3" s="100">
        <v>348.88</v>
      </c>
      <c r="E3" s="100">
        <v>354.91</v>
      </c>
      <c r="F3" s="100">
        <v>249.29</v>
      </c>
      <c r="G3" s="101">
        <f t="shared" ref="G3:G9" si="0">AVERAGE(C3:F3)</f>
        <v>334.55</v>
      </c>
      <c r="H3" s="155">
        <v>220.98</v>
      </c>
      <c r="I3" s="155">
        <v>328.26</v>
      </c>
      <c r="J3" s="155">
        <v>325.56</v>
      </c>
      <c r="K3" s="155">
        <v>223.24</v>
      </c>
      <c r="L3" s="101">
        <f t="shared" ref="L3:L9" si="1">AVERAGE(H3:K3)</f>
        <v>274.51</v>
      </c>
      <c r="M3" s="155">
        <v>270.69</v>
      </c>
      <c r="N3" s="155">
        <v>251.91</v>
      </c>
      <c r="O3" s="155">
        <v>292.83</v>
      </c>
      <c r="P3" s="155">
        <v>222.73</v>
      </c>
      <c r="Q3" s="101">
        <f t="shared" ref="Q3:Q9" si="2">AVERAGE(M3:P3)</f>
        <v>259.54000000000002</v>
      </c>
      <c r="R3" s="155">
        <v>250.61</v>
      </c>
      <c r="S3" s="155">
        <v>301.43</v>
      </c>
      <c r="T3" s="156">
        <v>264.77999999999997</v>
      </c>
      <c r="U3" s="156">
        <v>250.18</v>
      </c>
      <c r="V3" s="101">
        <f t="shared" ref="V3:V9" si="3">AVERAGE(R3:U3)</f>
        <v>266.75</v>
      </c>
      <c r="W3" s="155">
        <v>250</v>
      </c>
      <c r="X3" s="155">
        <v>227.1</v>
      </c>
      <c r="Y3" s="155">
        <v>216.29</v>
      </c>
      <c r="Z3" s="155">
        <v>230.01</v>
      </c>
      <c r="AA3" s="101">
        <f t="shared" ref="AA3:AA9" si="4">AVERAGE(W3:Z3)</f>
        <v>230.85</v>
      </c>
      <c r="AB3" s="155">
        <v>237.1</v>
      </c>
      <c r="AC3" s="155">
        <v>290.42</v>
      </c>
      <c r="AD3" s="155">
        <v>212.91</v>
      </c>
      <c r="AE3" s="155">
        <v>305.29000000000002</v>
      </c>
      <c r="AF3" s="101">
        <f t="shared" ref="AF3:AF9" si="5">AVERAGE(AB3:AE3)</f>
        <v>261.43</v>
      </c>
      <c r="AG3" s="155">
        <v>386.97</v>
      </c>
      <c r="AH3" s="155">
        <v>408.63</v>
      </c>
      <c r="AI3" s="155">
        <v>385.53</v>
      </c>
      <c r="AJ3" s="155">
        <v>261.79000000000002</v>
      </c>
      <c r="AK3" s="101">
        <f>AVERAGE(AG3:AJ3)</f>
        <v>360.73</v>
      </c>
      <c r="AL3" s="155">
        <v>317.22000000000003</v>
      </c>
      <c r="AM3" s="155">
        <v>366.62</v>
      </c>
      <c r="AN3" s="101">
        <f t="shared" ref="AN3:AN9" si="6">AVERAGE(AL3:AM3)</f>
        <v>341.92</v>
      </c>
    </row>
    <row r="4" spans="2:40">
      <c r="B4" s="80" t="s">
        <v>519</v>
      </c>
      <c r="C4" s="99">
        <v>465</v>
      </c>
      <c r="D4" s="100">
        <v>426.94</v>
      </c>
      <c r="E4" s="100">
        <v>391.55</v>
      </c>
      <c r="F4" s="100">
        <v>334.67</v>
      </c>
      <c r="G4" s="102">
        <f t="shared" si="0"/>
        <v>404.54</v>
      </c>
      <c r="H4" s="155">
        <v>249.1</v>
      </c>
      <c r="I4" s="155">
        <v>305.58</v>
      </c>
      <c r="J4" s="155">
        <v>364.37</v>
      </c>
      <c r="K4" s="155">
        <v>281.43</v>
      </c>
      <c r="L4" s="102">
        <f t="shared" si="1"/>
        <v>300.12</v>
      </c>
      <c r="M4" s="155">
        <v>287.42</v>
      </c>
      <c r="N4" s="155">
        <v>284.89999999999998</v>
      </c>
      <c r="O4" s="155">
        <v>285.14</v>
      </c>
      <c r="P4" s="155">
        <v>252.22</v>
      </c>
      <c r="Q4" s="102">
        <f t="shared" si="2"/>
        <v>277.41999999999996</v>
      </c>
      <c r="R4" s="155">
        <v>250.16</v>
      </c>
      <c r="S4" s="155">
        <v>285.56</v>
      </c>
      <c r="T4" s="156">
        <v>268.13</v>
      </c>
      <c r="U4" s="156">
        <v>267.19</v>
      </c>
      <c r="V4" s="102">
        <f t="shared" si="3"/>
        <v>267.76</v>
      </c>
      <c r="W4" s="155">
        <v>269.26</v>
      </c>
      <c r="X4" s="155">
        <v>238.16</v>
      </c>
      <c r="Y4" s="155">
        <v>234.6</v>
      </c>
      <c r="Z4" s="155">
        <v>223.46</v>
      </c>
      <c r="AA4" s="102">
        <f t="shared" si="4"/>
        <v>241.37</v>
      </c>
      <c r="AB4" s="155">
        <v>225.73</v>
      </c>
      <c r="AC4" s="155">
        <v>269.07</v>
      </c>
      <c r="AD4" s="155">
        <v>226.07</v>
      </c>
      <c r="AE4" s="155">
        <v>283.64999999999998</v>
      </c>
      <c r="AF4" s="102">
        <f t="shared" si="5"/>
        <v>251.12999999999997</v>
      </c>
      <c r="AG4" s="155">
        <v>357.79</v>
      </c>
      <c r="AH4" s="155">
        <v>339.31</v>
      </c>
      <c r="AI4" s="155">
        <v>337.15</v>
      </c>
      <c r="AJ4" s="155">
        <v>335.07</v>
      </c>
      <c r="AK4" s="102">
        <f t="shared" ref="AK4:AK9" si="7">AVERAGE(AG4:AJ4)</f>
        <v>342.33</v>
      </c>
      <c r="AL4" s="155">
        <v>367.03</v>
      </c>
      <c r="AM4" s="155">
        <v>385.83</v>
      </c>
      <c r="AN4" s="102">
        <f t="shared" si="6"/>
        <v>376.42999999999995</v>
      </c>
    </row>
    <row r="5" spans="2:40">
      <c r="B5" s="80" t="s">
        <v>520</v>
      </c>
      <c r="C5" s="99">
        <v>655.12</v>
      </c>
      <c r="D5" s="100">
        <v>521.5</v>
      </c>
      <c r="E5" s="100">
        <v>532.45000000000005</v>
      </c>
      <c r="F5" s="100">
        <v>469.49</v>
      </c>
      <c r="G5" s="102">
        <f t="shared" si="0"/>
        <v>544.64</v>
      </c>
      <c r="H5" s="155">
        <v>506.31</v>
      </c>
      <c r="I5" s="155">
        <v>557.80999999999995</v>
      </c>
      <c r="J5" s="155">
        <v>593.47</v>
      </c>
      <c r="K5" s="155">
        <v>571.09</v>
      </c>
      <c r="L5" s="102">
        <f t="shared" si="1"/>
        <v>557.16999999999996</v>
      </c>
      <c r="M5" s="155">
        <v>635.89</v>
      </c>
      <c r="N5" s="155">
        <v>688.91</v>
      </c>
      <c r="O5" s="155">
        <v>577.02</v>
      </c>
      <c r="P5" s="155">
        <v>593.74</v>
      </c>
      <c r="Q5" s="102">
        <f t="shared" si="2"/>
        <v>623.89</v>
      </c>
      <c r="R5" s="155">
        <v>781.27</v>
      </c>
      <c r="S5" s="155">
        <v>734.53</v>
      </c>
      <c r="T5" s="156">
        <v>556.48</v>
      </c>
      <c r="U5" s="156">
        <v>540.67999999999995</v>
      </c>
      <c r="V5" s="102">
        <f t="shared" si="3"/>
        <v>653.2399999999999</v>
      </c>
      <c r="W5" s="155">
        <v>684.51</v>
      </c>
      <c r="X5" s="155">
        <v>584.53</v>
      </c>
      <c r="Y5" s="155">
        <v>411.77</v>
      </c>
      <c r="Z5" s="155">
        <v>408.75</v>
      </c>
      <c r="AA5" s="102">
        <f t="shared" si="4"/>
        <v>522.39</v>
      </c>
      <c r="AB5" s="155">
        <v>540.44000000000005</v>
      </c>
      <c r="AC5" s="155">
        <v>679.08</v>
      </c>
      <c r="AD5" s="155">
        <v>581.79999999999995</v>
      </c>
      <c r="AE5" s="155">
        <v>733.12</v>
      </c>
      <c r="AF5" s="102">
        <f t="shared" si="5"/>
        <v>633.61</v>
      </c>
      <c r="AG5" s="155">
        <v>845.08</v>
      </c>
      <c r="AH5" s="155">
        <v>823.18</v>
      </c>
      <c r="AI5" s="155">
        <v>680.77</v>
      </c>
      <c r="AJ5" s="155">
        <v>650.25</v>
      </c>
      <c r="AK5" s="102">
        <f t="shared" si="7"/>
        <v>749.81999999999994</v>
      </c>
      <c r="AL5" s="155">
        <v>761.69</v>
      </c>
      <c r="AM5" s="155">
        <v>801.37</v>
      </c>
      <c r="AN5" s="102">
        <f t="shared" si="6"/>
        <v>781.53</v>
      </c>
    </row>
    <row r="6" spans="2:40">
      <c r="B6" s="80" t="s">
        <v>521</v>
      </c>
      <c r="C6" s="99">
        <v>523.77</v>
      </c>
      <c r="D6" s="100">
        <v>499.13</v>
      </c>
      <c r="E6" s="100">
        <v>499.12</v>
      </c>
      <c r="F6" s="100">
        <v>367.06</v>
      </c>
      <c r="G6" s="102">
        <f t="shared" si="0"/>
        <v>472.27</v>
      </c>
      <c r="H6" s="155">
        <v>277.20999999999998</v>
      </c>
      <c r="I6" s="155">
        <v>358.91</v>
      </c>
      <c r="J6" s="155">
        <v>432.57</v>
      </c>
      <c r="K6" s="155">
        <v>356.91</v>
      </c>
      <c r="L6" s="102">
        <f t="shared" si="1"/>
        <v>356.40000000000003</v>
      </c>
      <c r="M6" s="155">
        <v>422.94</v>
      </c>
      <c r="N6" s="155">
        <v>390.14</v>
      </c>
      <c r="O6" s="155">
        <v>408.82</v>
      </c>
      <c r="P6" s="155">
        <v>361.46</v>
      </c>
      <c r="Q6" s="102">
        <f t="shared" si="2"/>
        <v>395.84</v>
      </c>
      <c r="R6" s="155">
        <v>409.26</v>
      </c>
      <c r="S6" s="155">
        <v>540.5</v>
      </c>
      <c r="T6" s="156">
        <v>453.58</v>
      </c>
      <c r="U6" s="156">
        <v>405.9</v>
      </c>
      <c r="V6" s="102">
        <f t="shared" si="3"/>
        <v>452.30999999999995</v>
      </c>
      <c r="W6" s="155">
        <v>447.83</v>
      </c>
      <c r="X6" s="155">
        <v>346.41</v>
      </c>
      <c r="Y6" s="155">
        <v>333.43</v>
      </c>
      <c r="Z6" s="155">
        <v>283.81</v>
      </c>
      <c r="AA6" s="102">
        <f t="shared" si="4"/>
        <v>352.87</v>
      </c>
      <c r="AB6" s="155">
        <v>282.5</v>
      </c>
      <c r="AC6" s="155">
        <v>300.89999999999998</v>
      </c>
      <c r="AD6" s="155">
        <v>267.91000000000003</v>
      </c>
      <c r="AE6" s="155">
        <v>405.49</v>
      </c>
      <c r="AF6" s="102">
        <f t="shared" si="5"/>
        <v>314.2</v>
      </c>
      <c r="AG6" s="155">
        <v>539.02</v>
      </c>
      <c r="AH6" s="155">
        <v>465.5</v>
      </c>
      <c r="AI6" s="155">
        <v>482.79</v>
      </c>
      <c r="AJ6" s="155">
        <v>444.61</v>
      </c>
      <c r="AK6" s="102">
        <f t="shared" si="7"/>
        <v>482.98</v>
      </c>
      <c r="AL6" s="155">
        <v>525.32000000000005</v>
      </c>
      <c r="AM6" s="155">
        <v>571.58000000000004</v>
      </c>
      <c r="AN6" s="102">
        <f t="shared" si="6"/>
        <v>548.45000000000005</v>
      </c>
    </row>
    <row r="7" spans="2:40">
      <c r="B7" s="80" t="s">
        <v>522</v>
      </c>
      <c r="C7" s="99">
        <v>29.66</v>
      </c>
      <c r="D7" s="100">
        <v>29.18</v>
      </c>
      <c r="E7" s="100">
        <v>29.42</v>
      </c>
      <c r="F7" s="100">
        <v>21.18</v>
      </c>
      <c r="G7" s="102">
        <f t="shared" si="0"/>
        <v>27.36</v>
      </c>
      <c r="H7" s="155">
        <v>27.07</v>
      </c>
      <c r="I7" s="155">
        <v>32.57</v>
      </c>
      <c r="J7" s="155">
        <v>28.59</v>
      </c>
      <c r="K7" s="155">
        <v>30.77</v>
      </c>
      <c r="L7" s="102">
        <f t="shared" si="1"/>
        <v>29.75</v>
      </c>
      <c r="M7" s="155">
        <v>31.35</v>
      </c>
      <c r="N7" s="155">
        <v>33.61</v>
      </c>
      <c r="O7" s="155">
        <v>35.36</v>
      </c>
      <c r="P7" s="155">
        <v>27.4</v>
      </c>
      <c r="Q7" s="102">
        <f t="shared" si="2"/>
        <v>31.93</v>
      </c>
      <c r="R7" s="155">
        <v>26.14</v>
      </c>
      <c r="S7" s="155">
        <v>25.72</v>
      </c>
      <c r="T7" s="156">
        <v>27.7</v>
      </c>
      <c r="U7" s="156">
        <v>25.8</v>
      </c>
      <c r="V7" s="102">
        <f t="shared" si="3"/>
        <v>26.34</v>
      </c>
      <c r="W7" s="155">
        <v>27</v>
      </c>
      <c r="X7" s="155">
        <v>29.2</v>
      </c>
      <c r="Y7" s="155">
        <v>30.5</v>
      </c>
      <c r="Z7" s="155">
        <v>25.62</v>
      </c>
      <c r="AA7" s="102">
        <f t="shared" si="4"/>
        <v>28.080000000000002</v>
      </c>
      <c r="AB7" s="155">
        <v>32.69</v>
      </c>
      <c r="AC7" s="155">
        <v>29.95</v>
      </c>
      <c r="AD7" s="155">
        <v>29.04</v>
      </c>
      <c r="AE7" s="155">
        <v>34.24</v>
      </c>
      <c r="AF7" s="102">
        <f t="shared" si="5"/>
        <v>31.480000000000004</v>
      </c>
      <c r="AG7" s="155">
        <v>46.42</v>
      </c>
      <c r="AH7" s="155">
        <v>56.6</v>
      </c>
      <c r="AI7" s="155">
        <v>66.75</v>
      </c>
      <c r="AJ7" s="155">
        <v>66.150000000000006</v>
      </c>
      <c r="AK7" s="102">
        <f t="shared" si="7"/>
        <v>58.980000000000004</v>
      </c>
      <c r="AL7" s="155">
        <v>71.39</v>
      </c>
      <c r="AM7" s="155">
        <v>79.510000000000005</v>
      </c>
      <c r="AN7" s="102">
        <f t="shared" si="6"/>
        <v>75.45</v>
      </c>
    </row>
    <row r="8" spans="2:40">
      <c r="B8" s="80" t="s">
        <v>523</v>
      </c>
      <c r="C8" s="99">
        <v>24.58</v>
      </c>
      <c r="D8" s="100">
        <v>23.24</v>
      </c>
      <c r="E8" s="100">
        <v>21.48</v>
      </c>
      <c r="F8" s="100">
        <v>17.86</v>
      </c>
      <c r="G8" s="102">
        <f t="shared" si="0"/>
        <v>21.79</v>
      </c>
      <c r="H8" s="155">
        <v>21.25</v>
      </c>
      <c r="I8" s="155">
        <v>26.77</v>
      </c>
      <c r="J8" s="155">
        <v>24.01</v>
      </c>
      <c r="K8" s="155">
        <v>23.05</v>
      </c>
      <c r="L8" s="102">
        <f t="shared" si="1"/>
        <v>23.77</v>
      </c>
      <c r="M8" s="155">
        <v>23.78</v>
      </c>
      <c r="N8" s="155">
        <v>25.64</v>
      </c>
      <c r="O8" s="155">
        <v>27.2</v>
      </c>
      <c r="P8" s="155">
        <v>23.18</v>
      </c>
      <c r="Q8" s="102">
        <f t="shared" si="2"/>
        <v>24.950000000000003</v>
      </c>
      <c r="R8" s="155">
        <v>19.61</v>
      </c>
      <c r="S8" s="155">
        <v>20.69</v>
      </c>
      <c r="T8" s="156">
        <v>22.19</v>
      </c>
      <c r="U8" s="156">
        <v>19.91</v>
      </c>
      <c r="V8" s="102">
        <f t="shared" si="3"/>
        <v>20.599999999999998</v>
      </c>
      <c r="W8" s="155">
        <v>20.72</v>
      </c>
      <c r="X8" s="155">
        <v>22.4</v>
      </c>
      <c r="Y8" s="155">
        <v>24.53</v>
      </c>
      <c r="Z8" s="155">
        <v>20.39</v>
      </c>
      <c r="AA8" s="102">
        <f t="shared" si="4"/>
        <v>22.01</v>
      </c>
      <c r="AB8" s="155">
        <v>22.92</v>
      </c>
      <c r="AC8" s="155">
        <v>20.18</v>
      </c>
      <c r="AD8" s="155">
        <v>19.48</v>
      </c>
      <c r="AE8" s="155">
        <v>25.22</v>
      </c>
      <c r="AF8" s="102">
        <f t="shared" si="5"/>
        <v>21.95</v>
      </c>
      <c r="AG8" s="155">
        <v>34.450000000000003</v>
      </c>
      <c r="AH8" s="155">
        <v>42.47</v>
      </c>
      <c r="AI8" s="155">
        <v>44.7</v>
      </c>
      <c r="AJ8" s="155">
        <v>44.3</v>
      </c>
      <c r="AK8" s="102">
        <f t="shared" si="7"/>
        <v>41.480000000000004</v>
      </c>
      <c r="AL8" s="155">
        <v>53.91</v>
      </c>
      <c r="AM8" s="155">
        <v>60.11</v>
      </c>
      <c r="AN8" s="102">
        <f t="shared" si="6"/>
        <v>57.01</v>
      </c>
    </row>
    <row r="9" spans="2:40" ht="17.100000000000001" thickBot="1">
      <c r="B9" s="81" t="s">
        <v>524</v>
      </c>
      <c r="C9" s="103">
        <v>3.9</v>
      </c>
      <c r="D9" s="104">
        <v>3.8</v>
      </c>
      <c r="E9" s="104">
        <v>3.91</v>
      </c>
      <c r="F9" s="105">
        <v>3.95</v>
      </c>
      <c r="G9" s="106">
        <f t="shared" si="0"/>
        <v>3.8899999999999997</v>
      </c>
      <c r="H9" s="157">
        <v>3.81</v>
      </c>
      <c r="I9" s="158">
        <v>3.99</v>
      </c>
      <c r="J9" s="158">
        <v>3.42</v>
      </c>
      <c r="K9" s="159">
        <v>3.58</v>
      </c>
      <c r="L9" s="107">
        <f t="shared" si="1"/>
        <v>3.7</v>
      </c>
      <c r="M9" s="157">
        <v>3.69</v>
      </c>
      <c r="N9" s="158">
        <v>3.73</v>
      </c>
      <c r="O9" s="158">
        <v>3.56</v>
      </c>
      <c r="P9" s="159">
        <v>3.38</v>
      </c>
      <c r="Q9" s="107">
        <f t="shared" si="2"/>
        <v>3.59</v>
      </c>
      <c r="R9" s="157">
        <v>3.62</v>
      </c>
      <c r="S9" s="158">
        <v>3.8</v>
      </c>
      <c r="T9" s="160">
        <v>3.53</v>
      </c>
      <c r="U9" s="161">
        <v>3.69</v>
      </c>
      <c r="V9" s="107">
        <f t="shared" si="3"/>
        <v>3.6599999999999997</v>
      </c>
      <c r="W9" s="157">
        <v>3.69</v>
      </c>
      <c r="X9" s="158">
        <v>3.97</v>
      </c>
      <c r="Y9" s="158">
        <v>4.16</v>
      </c>
      <c r="Z9" s="159">
        <v>3.98</v>
      </c>
      <c r="AA9" s="107">
        <f t="shared" si="4"/>
        <v>3.95</v>
      </c>
      <c r="AB9" s="157">
        <v>3.9</v>
      </c>
      <c r="AC9" s="158">
        <v>3.26</v>
      </c>
      <c r="AD9" s="158">
        <v>3.55</v>
      </c>
      <c r="AE9" s="159">
        <v>4.29</v>
      </c>
      <c r="AF9" s="107">
        <f t="shared" si="5"/>
        <v>3.75</v>
      </c>
      <c r="AG9" s="157">
        <v>5.56</v>
      </c>
      <c r="AH9" s="158">
        <v>6.84</v>
      </c>
      <c r="AI9" s="158">
        <v>6.2</v>
      </c>
      <c r="AJ9" s="159">
        <v>5.84</v>
      </c>
      <c r="AK9" s="107">
        <f t="shared" si="7"/>
        <v>6.1099999999999994</v>
      </c>
      <c r="AL9" s="157">
        <v>6.9</v>
      </c>
      <c r="AM9" s="159">
        <v>8.1999999999999993</v>
      </c>
      <c r="AN9" s="108">
        <f t="shared" si="6"/>
        <v>7.55</v>
      </c>
    </row>
    <row r="10" spans="2:40">
      <c r="T10" s="76" t="s">
        <v>11</v>
      </c>
    </row>
    <row r="11" spans="2:40">
      <c r="C11" s="665" t="s">
        <v>525</v>
      </c>
      <c r="D11" s="666"/>
      <c r="E11" s="666"/>
      <c r="F11" s="665" t="s">
        <v>526</v>
      </c>
      <c r="G11" s="666"/>
      <c r="H11" s="666"/>
      <c r="I11" s="665" t="s">
        <v>527</v>
      </c>
      <c r="J11" s="666"/>
      <c r="K11" s="666"/>
      <c r="L11" s="665" t="s">
        <v>528</v>
      </c>
      <c r="M11" s="666"/>
      <c r="N11" s="667"/>
      <c r="V11" s="162"/>
    </row>
    <row r="12" spans="2:40" ht="17.100000000000001" thickBot="1">
      <c r="B12" s="79" t="s">
        <v>529</v>
      </c>
      <c r="C12" s="82" t="s">
        <v>530</v>
      </c>
      <c r="D12" s="82" t="s">
        <v>531</v>
      </c>
      <c r="E12" s="82" t="s">
        <v>532</v>
      </c>
      <c r="F12" s="86" t="s">
        <v>530</v>
      </c>
      <c r="G12" s="82" t="s">
        <v>531</v>
      </c>
      <c r="H12" s="82" t="s">
        <v>532</v>
      </c>
      <c r="I12" s="86" t="s">
        <v>530</v>
      </c>
      <c r="J12" s="82" t="s">
        <v>531</v>
      </c>
      <c r="K12" s="82" t="s">
        <v>532</v>
      </c>
      <c r="L12" s="86" t="s">
        <v>530</v>
      </c>
      <c r="M12" s="82" t="s">
        <v>531</v>
      </c>
      <c r="N12" s="94" t="s">
        <v>532</v>
      </c>
    </row>
    <row r="13" spans="2:40">
      <c r="B13" s="80" t="s">
        <v>518</v>
      </c>
      <c r="C13" s="83">
        <f>_xlfn.QUARTILE.INC((G3,L3,Q3,V3,AA3,AF3,AK3,AN3),1)</f>
        <v>260.95749999999998</v>
      </c>
      <c r="D13" s="84">
        <f t="shared" ref="D13:D19" si="8">AVERAGE(G3,L3,Q3,V3,AA3,AF3,AK3,AN3)</f>
        <v>291.28499999999997</v>
      </c>
      <c r="E13" s="85">
        <f>_xlfn.QUARTILE.INC((G3,L3,Q3,V3,AA3,AF3,AK3,AN3),3)</f>
        <v>336.39250000000004</v>
      </c>
      <c r="F13" s="83">
        <f>_xlfn.QUARTILE.INC((L3,Q3,V3,AA3,AF3,AK3,AN3),1)</f>
        <v>260.48500000000001</v>
      </c>
      <c r="G13" s="84">
        <f t="shared" ref="G13:G19" si="9">AVERAGE(L3,Q3,V3,AA3,AF3,AK3,AN3)</f>
        <v>285.10428571428571</v>
      </c>
      <c r="H13" s="85">
        <f>_xlfn.QUARTILE.INC((L3,Q3,V3,AA3,AF3,AK3,AN3),3)</f>
        <v>308.21500000000003</v>
      </c>
      <c r="I13" s="83">
        <f>_xlfn.QUARTILE.INC((N3,S3,X3,AC3,AH3,AM3),1)</f>
        <v>261.53750000000002</v>
      </c>
      <c r="J13" s="84">
        <f t="shared" ref="J13:J19" si="10">AVERAGE(N3,S3,X3,AC3,AH3,AM3)</f>
        <v>307.685</v>
      </c>
      <c r="K13" s="85">
        <f>_xlfn.QUARTILE.INC((N3,S3,X3,AC3,AH3,AM3),3)</f>
        <v>350.32249999999999</v>
      </c>
      <c r="L13" s="83">
        <f>_xlfn.QUARTILE.INC((AC3,AH3,AM3),1)</f>
        <v>328.52</v>
      </c>
      <c r="M13" s="84">
        <f t="shared" ref="M13:M19" si="11">AVERAGE(AF3,AK3,AP3)</f>
        <v>311.08000000000004</v>
      </c>
      <c r="N13" s="97">
        <f>_xlfn.QUARTILE.INC((AC3,AH3,AM3),3)</f>
        <v>387.625</v>
      </c>
    </row>
    <row r="14" spans="2:40">
      <c r="B14" s="80" t="s">
        <v>519</v>
      </c>
      <c r="C14" s="83">
        <f>_xlfn.QUARTILE.INC((G4,L4,Q4,V4,AA4,AF4,AK4,AN4),1)</f>
        <v>263.60249999999996</v>
      </c>
      <c r="D14" s="84">
        <f t="shared" si="8"/>
        <v>307.63749999999999</v>
      </c>
      <c r="E14" s="85">
        <f>_xlfn.QUARTILE.INC((G4,L4,Q4,V4,AA4,AF4,AK4,AN4),3)</f>
        <v>350.85499999999996</v>
      </c>
      <c r="F14" s="83">
        <f>_xlfn.QUARTILE.INC((L4,Q4,V4,AA4,AF4,AK4,AN4),1)</f>
        <v>259.44499999999999</v>
      </c>
      <c r="G14" s="84">
        <f t="shared" si="9"/>
        <v>293.79428571428571</v>
      </c>
      <c r="H14" s="85">
        <f>_xlfn.QUARTILE.INC((L4,Q4,V4,AA4,AF4,AK4,AN4),3)</f>
        <v>321.22500000000002</v>
      </c>
      <c r="I14" s="83">
        <f>_xlfn.QUARTILE.INC((N4,S4,X4,AC4,AH4,AM4),1)</f>
        <v>273.02749999999997</v>
      </c>
      <c r="J14" s="84">
        <f t="shared" si="10"/>
        <v>300.47166666666664</v>
      </c>
      <c r="K14" s="85">
        <f>_xlfn.QUARTILE.INC((N4,S4,X4,AC4,AH4,AM4),3)</f>
        <v>325.8725</v>
      </c>
      <c r="L14" s="83">
        <f>_xlfn.QUARTILE.INC((AC4,AH4,AM4),1)</f>
        <v>304.19</v>
      </c>
      <c r="M14" s="84">
        <f t="shared" si="11"/>
        <v>296.72999999999996</v>
      </c>
      <c r="N14" s="97">
        <f>_xlfn.QUARTILE.INC((AC4,AH4,AM4),3)</f>
        <v>362.57</v>
      </c>
    </row>
    <row r="15" spans="2:40">
      <c r="B15" s="80" t="s">
        <v>520</v>
      </c>
      <c r="C15" s="83">
        <f>_xlfn.QUARTILE.INC((G5,L5,Q5,V5,AA5,AF5,AK5,AN5),1)</f>
        <v>554.03749999999991</v>
      </c>
      <c r="D15" s="84">
        <f t="shared" si="8"/>
        <v>633.28624999999988</v>
      </c>
      <c r="E15" s="85">
        <f>_xlfn.QUARTILE.INC((G5,L5,Q5,V5,AA5,AF5,AK5,AN5),3)</f>
        <v>677.38499999999988</v>
      </c>
      <c r="F15" s="83">
        <f>_xlfn.QUARTILE.INC((L5,Q5,V5,AA5,AF5,AK5,AN5),1)</f>
        <v>590.53</v>
      </c>
      <c r="G15" s="84">
        <f t="shared" si="9"/>
        <v>645.94999999999993</v>
      </c>
      <c r="H15" s="85">
        <f>_xlfn.QUARTILE.INC((L5,Q5,V5,AA5,AF5,AK5,AN5),3)</f>
        <v>701.53</v>
      </c>
      <c r="I15" s="83">
        <f>_xlfn.QUARTILE.INC((N5,S5,X5,AC5,AH5,AM5),1)</f>
        <v>681.53750000000002</v>
      </c>
      <c r="J15" s="84">
        <f t="shared" si="10"/>
        <v>718.6</v>
      </c>
      <c r="K15" s="85">
        <f>_xlfn.QUARTILE.INC((N5,S5,X5,AC5,AH5,AM5),3)</f>
        <v>784.66</v>
      </c>
      <c r="L15" s="83">
        <f>_xlfn.QUARTILE.INC((AC5,AH5,AM5),1)</f>
        <v>740.22500000000002</v>
      </c>
      <c r="M15" s="84">
        <f t="shared" si="11"/>
        <v>691.71499999999992</v>
      </c>
      <c r="N15" s="97">
        <f>_xlfn.QUARTILE.INC((AC5,AH5,AM5),3)</f>
        <v>812.27499999999998</v>
      </c>
    </row>
    <row r="16" spans="2:40">
      <c r="B16" s="80" t="s">
        <v>521</v>
      </c>
      <c r="C16" s="83">
        <f>_xlfn.QUARTILE.INC((G6,L6,Q6,V6,AA6,AF6,AK6,AN6),1)</f>
        <v>355.51750000000004</v>
      </c>
      <c r="D16" s="84">
        <f t="shared" si="8"/>
        <v>421.91499999999996</v>
      </c>
      <c r="E16" s="85">
        <f>_xlfn.QUARTILE.INC((G6,L6,Q6,V6,AA6,AF6,AK6,AN6),3)</f>
        <v>474.94749999999999</v>
      </c>
      <c r="F16" s="83">
        <f>_xlfn.QUARTILE.INC((L6,Q6,V6,AA6,AF6,AK6,AN6),1)</f>
        <v>354.63499999999999</v>
      </c>
      <c r="G16" s="84">
        <f t="shared" si="9"/>
        <v>414.72142857142859</v>
      </c>
      <c r="H16" s="85">
        <f>_xlfn.QUARTILE.INC((L6,Q6,V6,AA6,AF6,AK6,AN6),3)</f>
        <v>467.64499999999998</v>
      </c>
      <c r="I16" s="83">
        <f>_xlfn.QUARTILE.INC((N6,S6,X6,AC6,AH6,AM6),1)</f>
        <v>357.34250000000003</v>
      </c>
      <c r="J16" s="84">
        <f t="shared" si="10"/>
        <v>435.83833333333331</v>
      </c>
      <c r="K16" s="85">
        <f>_xlfn.QUARTILE.INC((N6,S6,X6,AC6,AH6,AM6),3)</f>
        <v>521.75</v>
      </c>
      <c r="L16" s="83">
        <f>_xlfn.QUARTILE.INC((AC6,AH6,AM6),1)</f>
        <v>383.2</v>
      </c>
      <c r="M16" s="84">
        <f t="shared" si="11"/>
        <v>398.59000000000003</v>
      </c>
      <c r="N16" s="97">
        <f>_xlfn.QUARTILE.INC((AC6,AH6,AM6),3)</f>
        <v>518.54</v>
      </c>
    </row>
    <row r="17" spans="2:14">
      <c r="B17" s="80" t="s">
        <v>522</v>
      </c>
      <c r="C17" s="83">
        <f>_xlfn.QUARTILE.INC((G7,L7,Q7,V7,AA7,AF7,AK7,AN7),1)</f>
        <v>27.900000000000002</v>
      </c>
      <c r="D17" s="84">
        <f t="shared" si="8"/>
        <v>38.671250000000001</v>
      </c>
      <c r="E17" s="85">
        <f>_xlfn.QUARTILE.INC((G7,L7,Q7,V7,AA7,AF7,AK7,AN7),3)</f>
        <v>38.692500000000003</v>
      </c>
      <c r="F17" s="83">
        <f>_xlfn.QUARTILE.INC((L7,Q7,V7,AA7,AF7,AK7,AN7),1)</f>
        <v>28.914999999999999</v>
      </c>
      <c r="G17" s="84">
        <f t="shared" si="9"/>
        <v>40.287142857142854</v>
      </c>
      <c r="H17" s="85">
        <f>_xlfn.QUARTILE.INC((L7,Q7,V7,AA7,AF7,AK7,AN7),3)</f>
        <v>45.454999999999998</v>
      </c>
      <c r="I17" s="83">
        <f>_xlfn.QUARTILE.INC((N7,S7,X7,AC7,AH7,AM7),1)</f>
        <v>29.387499999999999</v>
      </c>
      <c r="J17" s="84">
        <f t="shared" si="10"/>
        <v>42.431666666666672</v>
      </c>
      <c r="K17" s="85">
        <f>_xlfn.QUARTILE.INC((N7,S7,X7,AC7,AH7,AM7),3)</f>
        <v>50.852499999999999</v>
      </c>
      <c r="L17" s="83">
        <f>_xlfn.QUARTILE.INC((AC7,AH7,AM7),1)</f>
        <v>43.274999999999999</v>
      </c>
      <c r="M17" s="84">
        <f t="shared" si="11"/>
        <v>45.230000000000004</v>
      </c>
      <c r="N17" s="97">
        <f>_xlfn.QUARTILE.INC((AC7,AH7,AM7),3)</f>
        <v>68.055000000000007</v>
      </c>
    </row>
    <row r="18" spans="2:14">
      <c r="B18" s="80" t="s">
        <v>523</v>
      </c>
      <c r="C18" s="83">
        <f>_xlfn.QUARTILE.INC((G8,L8,Q8,V8,AA8,AF8,AK8,AN8),1)</f>
        <v>21.91</v>
      </c>
      <c r="D18" s="84">
        <f t="shared" si="8"/>
        <v>29.195</v>
      </c>
      <c r="E18" s="85">
        <f>_xlfn.QUARTILE.INC((G8,L8,Q8,V8,AA8,AF8,AK8,AN8),3)</f>
        <v>29.082500000000003</v>
      </c>
      <c r="F18" s="83">
        <f>_xlfn.QUARTILE.INC((L8,Q8,V8,AA8,AF8,AK8,AN8),1)</f>
        <v>21.98</v>
      </c>
      <c r="G18" s="84">
        <f t="shared" si="9"/>
        <v>30.252857142857142</v>
      </c>
      <c r="H18" s="85">
        <f>_xlfn.QUARTILE.INC((L8,Q8,V8,AA8,AF8,AK8,AN8),3)</f>
        <v>33.215000000000003</v>
      </c>
      <c r="I18" s="83">
        <f>_xlfn.QUARTILE.INC((N8,S8,X8,AC8,AH8,AM8),1)</f>
        <v>21.1175</v>
      </c>
      <c r="J18" s="84">
        <f t="shared" si="10"/>
        <v>31.915000000000003</v>
      </c>
      <c r="K18" s="85">
        <f>_xlfn.QUARTILE.INC((N8,S8,X8,AC8,AH8,AM8),3)</f>
        <v>38.262500000000003</v>
      </c>
      <c r="L18" s="83">
        <f>_xlfn.QUARTILE.INC((AC8,AH8,AM8),1)</f>
        <v>31.324999999999999</v>
      </c>
      <c r="M18" s="84">
        <f t="shared" si="11"/>
        <v>31.715000000000003</v>
      </c>
      <c r="N18" s="97">
        <f>_xlfn.QUARTILE.INC((AC8,AH8,AM8),3)</f>
        <v>51.29</v>
      </c>
    </row>
    <row r="19" spans="2:14">
      <c r="B19" s="81" t="s">
        <v>524</v>
      </c>
      <c r="C19" s="91">
        <f>_xlfn.QUARTILE.INC((G9,L9,Q9,V9,AA9,AF9,AK9,AN9),1)</f>
        <v>3.69</v>
      </c>
      <c r="D19" s="92">
        <f t="shared" si="8"/>
        <v>4.5249999999999995</v>
      </c>
      <c r="E19" s="93">
        <f>_xlfn.QUARTILE.INC((G9,L9,Q9,V9,AA9,AF9,AK9,AN9),3)</f>
        <v>4.49</v>
      </c>
      <c r="F19" s="91">
        <f>_xlfn.QUARTILE.INC((L9,Q9,V9,AA9,AF9,AK9,AN9),1)</f>
        <v>3.6799999999999997</v>
      </c>
      <c r="G19" s="92">
        <f t="shared" si="9"/>
        <v>4.6157142857142848</v>
      </c>
      <c r="H19" s="93">
        <f>_xlfn.QUARTILE.INC((L9,Q9,V9,AA9,AF9,AK9,AN9),3)</f>
        <v>5.0299999999999994</v>
      </c>
      <c r="I19" s="91">
        <f>_xlfn.QUARTILE.INC((N9,S9,X9,AC9,AH9,AM9),1)</f>
        <v>3.7475000000000001</v>
      </c>
      <c r="J19" s="92">
        <f t="shared" si="10"/>
        <v>4.9666666666666668</v>
      </c>
      <c r="K19" s="93">
        <f>_xlfn.QUARTILE.INC((N9,S9,X9,AC9,AH9,AM9),3)</f>
        <v>6.1225000000000005</v>
      </c>
      <c r="L19" s="91">
        <f>_xlfn.QUARTILE.INC((AC9,AH9,AM9),1)</f>
        <v>5.05</v>
      </c>
      <c r="M19" s="92">
        <f t="shared" si="11"/>
        <v>4.93</v>
      </c>
      <c r="N19" s="98">
        <f>_xlfn.QUARTILE.INC((AC9,AH9,AM9),3)</f>
        <v>7.52</v>
      </c>
    </row>
    <row r="21" spans="2:14">
      <c r="C21" s="665" t="s">
        <v>525</v>
      </c>
      <c r="D21" s="666"/>
      <c r="E21" s="666"/>
      <c r="F21" s="665" t="s">
        <v>526</v>
      </c>
      <c r="G21" s="666"/>
      <c r="H21" s="666"/>
      <c r="I21" s="665" t="s">
        <v>527</v>
      </c>
      <c r="J21" s="666"/>
      <c r="K21" s="666"/>
      <c r="L21" s="665" t="s">
        <v>528</v>
      </c>
      <c r="M21" s="666"/>
      <c r="N21" s="667"/>
    </row>
    <row r="22" spans="2:14" ht="17.100000000000001" thickBot="1">
      <c r="B22" s="79" t="s">
        <v>533</v>
      </c>
      <c r="C22" s="82" t="s">
        <v>530</v>
      </c>
      <c r="D22" s="82" t="s">
        <v>531</v>
      </c>
      <c r="E22" s="82" t="s">
        <v>532</v>
      </c>
      <c r="F22" s="86" t="s">
        <v>530</v>
      </c>
      <c r="G22" s="82" t="s">
        <v>531</v>
      </c>
      <c r="H22" s="82" t="s">
        <v>532</v>
      </c>
      <c r="I22" s="86" t="s">
        <v>530</v>
      </c>
      <c r="J22" s="82" t="s">
        <v>531</v>
      </c>
      <c r="K22" s="82" t="s">
        <v>532</v>
      </c>
      <c r="L22" s="86" t="s">
        <v>530</v>
      </c>
      <c r="M22" s="82" t="s">
        <v>531</v>
      </c>
      <c r="N22" s="94" t="s">
        <v>532</v>
      </c>
    </row>
    <row r="23" spans="2:14">
      <c r="B23" s="80" t="s">
        <v>534</v>
      </c>
      <c r="C23" s="87">
        <f t="shared" ref="C23:C29" si="12">$AN3/C13  - 1</f>
        <v>0.3102516693331292</v>
      </c>
      <c r="D23" s="150">
        <f t="shared" ref="D23:N23" si="13">$AN$3/D13  - 1</f>
        <v>0.17383318742812048</v>
      </c>
      <c r="E23" s="151">
        <f t="shared" si="13"/>
        <v>1.643169809077194E-2</v>
      </c>
      <c r="F23" s="87">
        <f t="shared" si="13"/>
        <v>0.31262836631667845</v>
      </c>
      <c r="G23" s="150">
        <f t="shared" si="13"/>
        <v>0.19928046379019215</v>
      </c>
      <c r="H23" s="151">
        <f t="shared" si="13"/>
        <v>0.10935548237431658</v>
      </c>
      <c r="I23" s="87">
        <f t="shared" si="13"/>
        <v>0.30734598288964299</v>
      </c>
      <c r="J23" s="150">
        <f t="shared" si="13"/>
        <v>0.1112663925768238</v>
      </c>
      <c r="K23" s="151">
        <f t="shared" si="13"/>
        <v>-2.3985042353831032E-2</v>
      </c>
      <c r="L23" s="87">
        <f t="shared" si="13"/>
        <v>4.0788993059783341E-2</v>
      </c>
      <c r="M23" s="150">
        <f t="shared" si="13"/>
        <v>9.913848527709912E-2</v>
      </c>
      <c r="N23" s="95">
        <f t="shared" si="13"/>
        <v>-0.11791035149951623</v>
      </c>
    </row>
    <row r="24" spans="2:14">
      <c r="B24" s="80" t="s">
        <v>535</v>
      </c>
      <c r="C24" s="87">
        <f t="shared" si="12"/>
        <v>0.4280213579158012</v>
      </c>
      <c r="D24" s="150">
        <f t="shared" ref="D24:N24" si="14">$AN4/D14  - 1</f>
        <v>0.22361545650318959</v>
      </c>
      <c r="E24" s="151">
        <f t="shared" si="14"/>
        <v>7.2893360505051907E-2</v>
      </c>
      <c r="F24" s="87">
        <f t="shared" si="14"/>
        <v>0.45090481604964427</v>
      </c>
      <c r="G24" s="150">
        <f t="shared" si="14"/>
        <v>0.28127066557746905</v>
      </c>
      <c r="H24" s="151">
        <f>$AN4/H14  - 1</f>
        <v>0.17185773211923072</v>
      </c>
      <c r="I24" s="87">
        <f t="shared" si="14"/>
        <v>0.37872558625046926</v>
      </c>
      <c r="J24" s="150">
        <f t="shared" si="14"/>
        <v>0.25279699139685929</v>
      </c>
      <c r="K24" s="151">
        <f t="shared" si="14"/>
        <v>0.15514503371717447</v>
      </c>
      <c r="L24" s="87">
        <f t="shared" si="14"/>
        <v>0.23748315197738235</v>
      </c>
      <c r="M24" s="150">
        <f t="shared" si="14"/>
        <v>0.26859434502746615</v>
      </c>
      <c r="N24" s="95">
        <f t="shared" si="14"/>
        <v>3.8227100973605044E-2</v>
      </c>
    </row>
    <row r="25" spans="2:14">
      <c r="B25" s="80" t="s">
        <v>536</v>
      </c>
      <c r="C25" s="87">
        <f t="shared" si="12"/>
        <v>0.41060848769262037</v>
      </c>
      <c r="D25" s="150">
        <f t="shared" ref="D25:N25" si="15">$AN5/D15  - 1</f>
        <v>0.23408648142921162</v>
      </c>
      <c r="E25" s="151">
        <f t="shared" si="15"/>
        <v>0.15374565424389397</v>
      </c>
      <c r="F25" s="87">
        <f t="shared" si="15"/>
        <v>0.32343826731918779</v>
      </c>
      <c r="G25" s="150">
        <f t="shared" si="15"/>
        <v>0.20989240653301344</v>
      </c>
      <c r="H25" s="151">
        <f t="shared" si="15"/>
        <v>0.1140364631590951</v>
      </c>
      <c r="I25" s="87">
        <f t="shared" si="15"/>
        <v>0.14671606478000099</v>
      </c>
      <c r="J25" s="150">
        <f t="shared" si="15"/>
        <v>8.7573058725299191E-2</v>
      </c>
      <c r="K25" s="151">
        <f t="shared" si="15"/>
        <v>-3.9889888614176305E-3</v>
      </c>
      <c r="L25" s="87">
        <f t="shared" si="15"/>
        <v>5.5800601168563446E-2</v>
      </c>
      <c r="M25" s="150">
        <f t="shared" si="15"/>
        <v>0.1298439386163377</v>
      </c>
      <c r="N25" s="95">
        <f t="shared" si="15"/>
        <v>-3.7850481671847569E-2</v>
      </c>
    </row>
    <row r="26" spans="2:14">
      <c r="B26" s="80" t="s">
        <v>537</v>
      </c>
      <c r="C26" s="87">
        <f t="shared" si="12"/>
        <v>0.5426807400479583</v>
      </c>
      <c r="D26" s="150">
        <f t="shared" ref="D26:N26" si="16">$AN6/D16  - 1</f>
        <v>0.29990637924700492</v>
      </c>
      <c r="E26" s="151">
        <f t="shared" si="16"/>
        <v>0.15475921022849914</v>
      </c>
      <c r="F26" s="87">
        <f t="shared" si="16"/>
        <v>0.54651966105996319</v>
      </c>
      <c r="G26" s="150">
        <f t="shared" si="16"/>
        <v>0.32245397082378879</v>
      </c>
      <c r="H26" s="151">
        <f t="shared" si="16"/>
        <v>0.17279132675426889</v>
      </c>
      <c r="I26" s="87">
        <f t="shared" si="16"/>
        <v>0.53480204565647793</v>
      </c>
      <c r="J26" s="150">
        <f t="shared" si="16"/>
        <v>0.25837944497768683</v>
      </c>
      <c r="K26" s="151">
        <f t="shared" si="16"/>
        <v>5.1173933876377697E-2</v>
      </c>
      <c r="L26" s="87">
        <f t="shared" si="16"/>
        <v>0.43123695198329859</v>
      </c>
      <c r="M26" s="150">
        <f t="shared" si="16"/>
        <v>0.37597531297824838</v>
      </c>
      <c r="N26" s="95">
        <f t="shared" si="16"/>
        <v>5.7681181779612123E-2</v>
      </c>
    </row>
    <row r="27" spans="2:14">
      <c r="B27" s="80" t="s">
        <v>538</v>
      </c>
      <c r="C27" s="87">
        <f t="shared" si="12"/>
        <v>1.704301075268817</v>
      </c>
      <c r="D27" s="150">
        <f t="shared" ref="D27:N27" si="17">$AN7/D17  - 1</f>
        <v>0.95106183534279354</v>
      </c>
      <c r="E27" s="151">
        <f t="shared" si="17"/>
        <v>0.94999030819926333</v>
      </c>
      <c r="F27" s="87">
        <f t="shared" si="17"/>
        <v>1.6093722981151655</v>
      </c>
      <c r="G27" s="150">
        <f t="shared" si="17"/>
        <v>0.87280592886777097</v>
      </c>
      <c r="H27" s="151">
        <f t="shared" si="17"/>
        <v>0.65988340116598843</v>
      </c>
      <c r="I27" s="87">
        <f t="shared" si="17"/>
        <v>1.5674181199489579</v>
      </c>
      <c r="J27" s="150">
        <f t="shared" si="17"/>
        <v>0.77815310892022449</v>
      </c>
      <c r="K27" s="151">
        <f t="shared" si="17"/>
        <v>0.48370286613244184</v>
      </c>
      <c r="L27" s="87">
        <f t="shared" si="17"/>
        <v>0.74350086655112668</v>
      </c>
      <c r="M27" s="150">
        <f t="shared" si="17"/>
        <v>0.66814061463630336</v>
      </c>
      <c r="N27" s="95">
        <f t="shared" si="17"/>
        <v>0.10866211152744087</v>
      </c>
    </row>
    <row r="28" spans="2:14">
      <c r="B28" s="80" t="s">
        <v>539</v>
      </c>
      <c r="C28" s="87">
        <f t="shared" si="12"/>
        <v>1.6020082154267459</v>
      </c>
      <c r="D28" s="150">
        <f t="shared" ref="D28:N28" si="18">$AN8/D18  - 1</f>
        <v>0.95273163212878909</v>
      </c>
      <c r="E28" s="151">
        <f t="shared" si="18"/>
        <v>0.96028539499699095</v>
      </c>
      <c r="F28" s="87">
        <f t="shared" si="18"/>
        <v>1.5937215650591448</v>
      </c>
      <c r="G28" s="150">
        <f t="shared" si="18"/>
        <v>0.88445011096944803</v>
      </c>
      <c r="H28" s="151">
        <f t="shared" si="18"/>
        <v>0.7163931958452503</v>
      </c>
      <c r="I28" s="87">
        <f t="shared" si="18"/>
        <v>1.6996566828459807</v>
      </c>
      <c r="J28" s="150">
        <f t="shared" si="18"/>
        <v>0.78630737897540315</v>
      </c>
      <c r="K28" s="151">
        <f t="shared" si="18"/>
        <v>0.48997059784384178</v>
      </c>
      <c r="L28" s="87">
        <f t="shared" si="18"/>
        <v>0.81995211492418196</v>
      </c>
      <c r="M28" s="150">
        <f t="shared" si="18"/>
        <v>0.79757212675390177</v>
      </c>
      <c r="N28" s="95">
        <f t="shared" si="18"/>
        <v>0.11152271397933311</v>
      </c>
    </row>
    <row r="29" spans="2:14">
      <c r="B29" s="81" t="s">
        <v>540</v>
      </c>
      <c r="C29" s="88">
        <f t="shared" si="12"/>
        <v>1.0460704607046072</v>
      </c>
      <c r="D29" s="89">
        <f t="shared" ref="D29:N29" si="19">$AN9/D19  - 1</f>
        <v>0.66850828729281786</v>
      </c>
      <c r="E29" s="90">
        <f t="shared" si="19"/>
        <v>0.68151447661469922</v>
      </c>
      <c r="F29" s="88">
        <f t="shared" si="19"/>
        <v>1.0516304347826089</v>
      </c>
      <c r="G29" s="89">
        <f t="shared" si="19"/>
        <v>0.63571649644073069</v>
      </c>
      <c r="H29" s="90">
        <f t="shared" si="19"/>
        <v>0.50099403578528845</v>
      </c>
      <c r="I29" s="88">
        <f t="shared" si="19"/>
        <v>1.0146764509673116</v>
      </c>
      <c r="J29" s="89">
        <f t="shared" si="19"/>
        <v>0.52013422818791932</v>
      </c>
      <c r="K29" s="90">
        <f t="shared" si="19"/>
        <v>0.23315639036341351</v>
      </c>
      <c r="L29" s="88">
        <f t="shared" si="19"/>
        <v>0.49504950495049505</v>
      </c>
      <c r="M29" s="89">
        <f t="shared" si="19"/>
        <v>0.53144016227180524</v>
      </c>
      <c r="N29" s="96">
        <f t="shared" si="19"/>
        <v>3.9893617021276029E-3</v>
      </c>
    </row>
  </sheetData>
  <mergeCells count="8">
    <mergeCell ref="L11:N11"/>
    <mergeCell ref="L21:N21"/>
    <mergeCell ref="C11:E11"/>
    <mergeCell ref="F11:H11"/>
    <mergeCell ref="I11:K11"/>
    <mergeCell ref="C21:E21"/>
    <mergeCell ref="F21:H21"/>
    <mergeCell ref="I21:K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A859D3DE317246B75B35B100C0ACB8" ma:contentTypeVersion="7" ma:contentTypeDescription="Create a new document." ma:contentTypeScope="" ma:versionID="b48c7340cb81de03a1cd1308ef5eda16">
  <xsd:schema xmlns:xsd="http://www.w3.org/2001/XMLSchema" xmlns:xs="http://www.w3.org/2001/XMLSchema" xmlns:p="http://schemas.microsoft.com/office/2006/metadata/properties" xmlns:ns3="14143449-db7f-47e7-9a38-660ccbad047f" xmlns:ns4="cecdaf4f-b873-4dce-8d10-fb6095ac3df4" targetNamespace="http://schemas.microsoft.com/office/2006/metadata/properties" ma:root="true" ma:fieldsID="a9b90c047ad73ccde9f4038eede754af" ns3:_="" ns4:_="">
    <xsd:import namespace="14143449-db7f-47e7-9a38-660ccbad047f"/>
    <xsd:import namespace="cecdaf4f-b873-4dce-8d10-fb6095ac3d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43449-db7f-47e7-9a38-660ccbad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daf4f-b873-4dce-8d10-fb6095ac3d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719E4C-324D-43F9-9E12-79E0022F3FFD}"/>
</file>

<file path=customXml/itemProps2.xml><?xml version="1.0" encoding="utf-8"?>
<ds:datastoreItem xmlns:ds="http://schemas.openxmlformats.org/officeDocument/2006/customXml" ds:itemID="{7873D97C-D0E8-4E43-A595-55F5E5415EFB}"/>
</file>

<file path=customXml/itemProps3.xml><?xml version="1.0" encoding="utf-8"?>
<ds:datastoreItem xmlns:ds="http://schemas.openxmlformats.org/officeDocument/2006/customXml" ds:itemID="{36F1292B-120B-4197-BB9C-FEF353BAC2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2022-10-22T14:13:51Z</dcterms:created>
  <dcterms:modified xsi:type="dcterms:W3CDTF">2024-01-31T05:41:59Z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0x01010030A859D3DE317246B75B35B100C0ACB8</vt:lpwstr>
  </property>
</Properties>
</file>