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xl/tables/table10.xml" ContentType="application/vnd.openxmlformats-officedocument.spreadsheetml.table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16.xml" ContentType="application/vnd.openxmlformats-officedocument.spreadsheetml.table+xml"/>
  <Override PartName="/xl/tables/table15.xml" ContentType="application/vnd.openxmlformats-officedocument.spreadsheetml.table+xml"/>
  <Override PartName="/xl/tables/table14.xml" ContentType="application/vnd.openxmlformats-officedocument.spreadsheetml.table+xml"/>
  <Override PartName="/xl/tables/table13.xml" ContentType="application/vnd.openxmlformats-officedocument.spreadsheetml.table+xml"/>
  <Override PartName="/xl/tables/table2.xml" ContentType="application/vnd.openxmlformats-officedocument.spreadsheetml.table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ishareteam4.na.xom.com/sites/Architect/Artifacts/Working library/Enterprise Services/12.1.1 Enterprise Architecture Management/Templates/"/>
    </mc:Choice>
  </mc:AlternateContent>
  <bookViews>
    <workbookView xWindow="0" yWindow="0" windowWidth="28764" windowHeight="6120" tabRatio="575"/>
  </bookViews>
  <sheets>
    <sheet name="Introduction" sheetId="1" r:id="rId1"/>
    <sheet name="Information Flow Catalogue" sheetId="5" r:id="rId2"/>
    <sheet name="Statistics" sheetId="7" r:id="rId3"/>
    <sheet name="IF Visual (Static)" sheetId="6" r:id="rId4"/>
    <sheet name="IF Data Export" sheetId="8" r:id="rId5"/>
    <sheet name="Lookups" sheetId="4" r:id="rId6"/>
  </sheets>
  <definedNames>
    <definedName name="_Base">#REF!</definedName>
    <definedName name="_Exchange">ExchangeLIst[[#Data],[_Exchange]]</definedName>
    <definedName name="_Format">Formats[[#Data],[_Format]]</definedName>
    <definedName name="_Initiator">Initiator[[#Data],[_Initiator]]</definedName>
    <definedName name="_Protocol">Protocol[[#Data],[_Protocol]]</definedName>
    <definedName name="_ProtocolName">Protocol[[#Data],[_ProtocolName]]</definedName>
    <definedName name="_Status">Status[[#Data],[_Status]]</definedName>
    <definedName name="_Type">Type[[#Data],[_Type]]</definedName>
    <definedName name="Conversation_Id">InfoFlow[[#Data],[Info Flow Id]]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2" i="5"/>
  <c r="O3" i="5"/>
  <c r="C3" i="7"/>
  <c r="K3" i="7"/>
  <c r="L3" i="7" s="1"/>
  <c r="K4" i="7"/>
  <c r="L4" i="7" s="1"/>
  <c r="K5" i="7"/>
  <c r="L5" i="7" s="1"/>
  <c r="K6" i="7"/>
  <c r="L6" i="7"/>
  <c r="K7" i="7"/>
  <c r="L7" i="7" s="1"/>
  <c r="K8" i="7"/>
  <c r="L8" i="7" s="1"/>
  <c r="K9" i="7"/>
  <c r="L9" i="7" s="1"/>
  <c r="K10" i="7"/>
  <c r="L10" i="7" s="1"/>
  <c r="K11" i="7"/>
  <c r="L11" i="7"/>
  <c r="K12" i="7"/>
  <c r="L12" i="7"/>
  <c r="K13" i="7"/>
  <c r="L13" i="7"/>
  <c r="K14" i="7"/>
  <c r="L14" i="7" s="1"/>
  <c r="K15" i="7"/>
  <c r="L15" i="7" s="1"/>
  <c r="K16" i="7"/>
  <c r="L16" i="7" s="1"/>
  <c r="K17" i="7"/>
  <c r="L17" i="7"/>
  <c r="K18" i="7"/>
  <c r="L18" i="7" s="1"/>
  <c r="K19" i="7"/>
  <c r="L19" i="7" s="1"/>
  <c r="H3" i="7"/>
  <c r="I3" i="7" s="1"/>
  <c r="H4" i="7"/>
  <c r="I4" i="7" s="1"/>
  <c r="H5" i="7"/>
  <c r="I5" i="7" s="1"/>
  <c r="H6" i="7"/>
  <c r="I6" i="7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/>
  <c r="H14" i="7"/>
  <c r="I14" i="7" s="1"/>
  <c r="H15" i="7"/>
  <c r="I15" i="7" s="1"/>
  <c r="H16" i="7"/>
  <c r="I16" i="7" s="1"/>
  <c r="H17" i="7"/>
  <c r="I17" i="7" s="1"/>
  <c r="H18" i="7"/>
  <c r="I18" i="7"/>
  <c r="H19" i="7"/>
  <c r="I19" i="7"/>
  <c r="E3" i="7"/>
  <c r="F3" i="7"/>
  <c r="E4" i="7"/>
  <c r="F4" i="7" s="1"/>
  <c r="E5" i="7"/>
  <c r="F5" i="7" s="1"/>
  <c r="E6" i="7"/>
  <c r="F6" i="7" s="1"/>
  <c r="E7" i="7"/>
  <c r="F7" i="7" s="1"/>
  <c r="E8" i="7"/>
  <c r="F8" i="7"/>
  <c r="E9" i="7"/>
  <c r="F9" i="7" s="1"/>
  <c r="E10" i="7"/>
  <c r="F10" i="7" s="1"/>
  <c r="E11" i="7"/>
  <c r="F11" i="7" s="1"/>
  <c r="E12" i="7"/>
  <c r="F12" i="7" s="1"/>
  <c r="E13" i="7"/>
  <c r="F13" i="7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C11" i="7"/>
  <c r="C12" i="7"/>
  <c r="C13" i="7"/>
  <c r="C14" i="7"/>
  <c r="C4" i="7"/>
  <c r="C5" i="7"/>
  <c r="C6" i="7"/>
  <c r="C7" i="7"/>
  <c r="B2" i="6"/>
  <c r="D2" i="8"/>
  <c r="D3" i="8"/>
  <c r="D4" i="8"/>
  <c r="D5" i="8"/>
  <c r="D6" i="8"/>
  <c r="D7" i="8"/>
  <c r="D8" i="8"/>
  <c r="D9" i="8"/>
  <c r="D10" i="8"/>
  <c r="D11" i="8"/>
  <c r="C2" i="8"/>
  <c r="C3" i="8"/>
  <c r="C4" i="8"/>
  <c r="C5" i="8"/>
  <c r="C6" i="8"/>
  <c r="C7" i="8"/>
  <c r="C8" i="8"/>
  <c r="C9" i="8"/>
  <c r="C10" i="8"/>
  <c r="C11" i="8"/>
  <c r="B2" i="8"/>
  <c r="B3" i="8"/>
  <c r="B4" i="8"/>
  <c r="B5" i="8"/>
  <c r="B6" i="8"/>
  <c r="B7" i="8"/>
  <c r="B8" i="8"/>
  <c r="B9" i="8"/>
  <c r="B10" i="8"/>
  <c r="B11" i="8"/>
  <c r="A2" i="8"/>
  <c r="J2" i="8" s="1"/>
  <c r="A3" i="8"/>
  <c r="F3" i="8" s="1"/>
  <c r="A4" i="8"/>
  <c r="A5" i="8"/>
  <c r="G5" i="8" s="1"/>
  <c r="A6" i="8"/>
  <c r="N6" i="8" s="1"/>
  <c r="A7" i="8"/>
  <c r="H7" i="8" s="1"/>
  <c r="A8" i="8"/>
  <c r="A9" i="8"/>
  <c r="A10" i="8"/>
  <c r="A11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E10" i="8"/>
  <c r="N10" i="8"/>
  <c r="M10" i="8"/>
  <c r="L10" i="8"/>
  <c r="F10" i="8"/>
  <c r="E11" i="8"/>
  <c r="F11" i="8"/>
  <c r="N11" i="8"/>
  <c r="L11" i="8"/>
  <c r="M11" i="8"/>
  <c r="E3" i="8"/>
  <c r="M3" i="8"/>
  <c r="E9" i="8"/>
  <c r="M9" i="8"/>
  <c r="N9" i="8"/>
  <c r="L9" i="8"/>
  <c r="F9" i="8"/>
  <c r="M5" i="8"/>
  <c r="E8" i="8"/>
  <c r="L8" i="8"/>
  <c r="F8" i="8"/>
  <c r="M8" i="8"/>
  <c r="N8" i="8"/>
  <c r="E4" i="8"/>
  <c r="L4" i="8"/>
  <c r="F4" i="8"/>
  <c r="N4" i="8"/>
  <c r="M4" i="8"/>
  <c r="E2" i="8"/>
  <c r="M2" i="8"/>
  <c r="F2" i="8"/>
  <c r="N2" i="8"/>
  <c r="L2" i="8"/>
  <c r="H10" i="8"/>
  <c r="K10" i="8"/>
  <c r="H2" i="8"/>
  <c r="K2" i="8"/>
  <c r="J11" i="8"/>
  <c r="K11" i="8"/>
  <c r="K9" i="8"/>
  <c r="I8" i="8"/>
  <c r="K8" i="8"/>
  <c r="I4" i="8"/>
  <c r="K4" i="8"/>
  <c r="I9" i="8"/>
  <c r="G11" i="8"/>
  <c r="G9" i="8"/>
  <c r="H11" i="8"/>
  <c r="I5" i="8"/>
  <c r="H9" i="8"/>
  <c r="I11" i="8"/>
  <c r="I3" i="8"/>
  <c r="J10" i="8"/>
  <c r="G10" i="8"/>
  <c r="G2" i="8"/>
  <c r="H8" i="8"/>
  <c r="H4" i="8"/>
  <c r="I10" i="8"/>
  <c r="I2" i="8"/>
  <c r="J9" i="8"/>
  <c r="J4" i="8"/>
  <c r="J8" i="8"/>
  <c r="G8" i="8"/>
  <c r="G4" i="8"/>
  <c r="L3" i="8" l="1"/>
  <c r="K7" i="8"/>
  <c r="G7" i="8"/>
  <c r="J7" i="8"/>
  <c r="N3" i="8"/>
  <c r="M6" i="8"/>
  <c r="H3" i="8"/>
  <c r="L7" i="8"/>
  <c r="M7" i="8"/>
  <c r="I7" i="8"/>
  <c r="F7" i="8"/>
  <c r="J3" i="8"/>
  <c r="G3" i="8"/>
  <c r="E7" i="8"/>
  <c r="N7" i="8"/>
  <c r="K3" i="8"/>
  <c r="K6" i="8"/>
  <c r="G6" i="8"/>
  <c r="H6" i="8"/>
  <c r="E6" i="8"/>
  <c r="F5" i="8"/>
  <c r="H5" i="8"/>
  <c r="J6" i="8"/>
  <c r="J5" i="8"/>
  <c r="N5" i="8"/>
  <c r="L6" i="8"/>
  <c r="K5" i="8"/>
  <c r="L5" i="8"/>
  <c r="F6" i="8"/>
  <c r="I6" i="8"/>
  <c r="E5" i="8"/>
</calcChain>
</file>

<file path=xl/sharedStrings.xml><?xml version="1.0" encoding="utf-8"?>
<sst xmlns="http://schemas.openxmlformats.org/spreadsheetml/2006/main" count="469" uniqueCount="281">
  <si>
    <t>Office of Modern Architecture</t>
  </si>
  <si>
    <t>Information Flow Catalog, V1.5</t>
  </si>
  <si>
    <t>Worksheet Name</t>
  </si>
  <si>
    <t xml:space="preserve"> </t>
  </si>
  <si>
    <t>Purpose</t>
  </si>
  <si>
    <t>Instructions</t>
  </si>
  <si>
    <t>This sheet</t>
  </si>
  <si>
    <t>Information Flow Catalogue</t>
  </si>
  <si>
    <t>A listing of information flows (Interfaces). Note the Interface name is a concatenation of the source, destination and data content.</t>
  </si>
  <si>
    <t>Statistics</t>
  </si>
  <si>
    <t>Statistical data for drop downs, applications &amp; data entities.</t>
  </si>
  <si>
    <t>Information Flow Visual (Static)</t>
  </si>
  <si>
    <t>Used as a legend for the Application Interaction Model and Application Cooperation Diagram changes to be manually updated.</t>
  </si>
  <si>
    <t>IF Data Export</t>
  </si>
  <si>
    <t>For linking to MS Visio.</t>
  </si>
  <si>
    <t>Lookups</t>
  </si>
  <si>
    <t>Common lookup list values used throughout workbook.</t>
  </si>
  <si>
    <t>Info Flow Id</t>
  </si>
  <si>
    <t>Displayed Id</t>
  </si>
  <si>
    <t>Source Application</t>
  </si>
  <si>
    <t>Destination Application</t>
  </si>
  <si>
    <t>Data Entity 1</t>
  </si>
  <si>
    <t>Data Entity 2</t>
  </si>
  <si>
    <t>Data Entity 3</t>
  </si>
  <si>
    <t>Data Entity 4</t>
  </si>
  <si>
    <t>Data Entity 5</t>
  </si>
  <si>
    <t>Data Entity 6</t>
  </si>
  <si>
    <t>Initiator</t>
  </si>
  <si>
    <t>Exchange</t>
  </si>
  <si>
    <t>Type</t>
  </si>
  <si>
    <t>Protocol Name</t>
  </si>
  <si>
    <t>Protocol</t>
  </si>
  <si>
    <t>Format</t>
  </si>
  <si>
    <t>Status</t>
  </si>
  <si>
    <t>Description</t>
  </si>
  <si>
    <t>Location</t>
  </si>
  <si>
    <t>IF001</t>
  </si>
  <si>
    <t>Source physical application component name</t>
  </si>
  <si>
    <t>Destination physical application component name</t>
  </si>
  <si>
    <t>DE 1</t>
  </si>
  <si>
    <t>DE 2</t>
  </si>
  <si>
    <t>Event Driven</t>
  </si>
  <si>
    <t>App-API</t>
  </si>
  <si>
    <t>XML</t>
  </si>
  <si>
    <t>Enter description here</t>
  </si>
  <si>
    <t>Enter location here</t>
  </si>
  <si>
    <t>IF002</t>
  </si>
  <si>
    <t>App-SOAP</t>
  </si>
  <si>
    <t>IF003</t>
  </si>
  <si>
    <t>IF004</t>
  </si>
  <si>
    <t>IF005</t>
  </si>
  <si>
    <t>IF006</t>
  </si>
  <si>
    <t>IF007</t>
  </si>
  <si>
    <t>IF008</t>
  </si>
  <si>
    <t>IF009</t>
  </si>
  <si>
    <t>IF010</t>
  </si>
  <si>
    <t>IF011</t>
  </si>
  <si>
    <t>IF012</t>
  </si>
  <si>
    <t>IF013</t>
  </si>
  <si>
    <t>IF014</t>
  </si>
  <si>
    <t>IF015</t>
  </si>
  <si>
    <t>IF016</t>
  </si>
  <si>
    <t>IF017</t>
  </si>
  <si>
    <t>IF018</t>
  </si>
  <si>
    <t>IF019</t>
  </si>
  <si>
    <t>IF020</t>
  </si>
  <si>
    <t>IF021</t>
  </si>
  <si>
    <t>IF022</t>
  </si>
  <si>
    <t>IF023</t>
  </si>
  <si>
    <t>IF024</t>
  </si>
  <si>
    <t>IF025</t>
  </si>
  <si>
    <t>IF026</t>
  </si>
  <si>
    <t>IF027</t>
  </si>
  <si>
    <t>IF028</t>
  </si>
  <si>
    <t>IF029</t>
  </si>
  <si>
    <t>IF030</t>
  </si>
  <si>
    <t>IF031</t>
  </si>
  <si>
    <t>IF032</t>
  </si>
  <si>
    <t>IF033</t>
  </si>
  <si>
    <t>IF034</t>
  </si>
  <si>
    <t>IF035</t>
  </si>
  <si>
    <t>IF036</t>
  </si>
  <si>
    <t>IF037</t>
  </si>
  <si>
    <t>IF038</t>
  </si>
  <si>
    <t>IF039</t>
  </si>
  <si>
    <t>IF040</t>
  </si>
  <si>
    <t>Type / Method &amp; Format</t>
  </si>
  <si>
    <t>Count</t>
  </si>
  <si>
    <t>Operational</t>
  </si>
  <si>
    <t>API/REST</t>
  </si>
  <si>
    <t>In development</t>
  </si>
  <si>
    <t>API/SOAP</t>
  </si>
  <si>
    <t>Planned</t>
  </si>
  <si>
    <t>Batch</t>
  </si>
  <si>
    <t>Decommissioning</t>
  </si>
  <si>
    <t>Email</t>
  </si>
  <si>
    <t>Retired</t>
  </si>
  <si>
    <t>ESB/REST</t>
  </si>
  <si>
    <t>Folder/NFS (XML)</t>
  </si>
  <si>
    <t>Folder/SCP (CSV)</t>
  </si>
  <si>
    <t>Folder/SFTP (CSV)</t>
  </si>
  <si>
    <t>Source</t>
  </si>
  <si>
    <t>Manual/File</t>
  </si>
  <si>
    <t>Destination</t>
  </si>
  <si>
    <t>MQ/AWS SQS</t>
  </si>
  <si>
    <t>Both</t>
  </si>
  <si>
    <t>ODBC</t>
  </si>
  <si>
    <t>Unknown</t>
  </si>
  <si>
    <t>Operator Entry</t>
  </si>
  <si>
    <t>File/XML</t>
  </si>
  <si>
    <t>RPC</t>
  </si>
  <si>
    <t>API Bulk</t>
  </si>
  <si>
    <t>API</t>
  </si>
  <si>
    <t>Conversation Description</t>
  </si>
  <si>
    <t>Conversation Id</t>
  </si>
  <si>
    <t>CV041</t>
  </si>
  <si>
    <t>CV081</t>
  </si>
  <si>
    <t>CV042</t>
  </si>
  <si>
    <t>CV082</t>
  </si>
  <si>
    <t>CV043</t>
  </si>
  <si>
    <t>CV083</t>
  </si>
  <si>
    <t>CV044</t>
  </si>
  <si>
    <t>CV084</t>
  </si>
  <si>
    <t>CV045</t>
  </si>
  <si>
    <t>CV085</t>
  </si>
  <si>
    <t>CV046</t>
  </si>
  <si>
    <t>CV086</t>
  </si>
  <si>
    <t>CV047</t>
  </si>
  <si>
    <t>CV087</t>
  </si>
  <si>
    <t>CV048</t>
  </si>
  <si>
    <t>CV088</t>
  </si>
  <si>
    <t>CV049</t>
  </si>
  <si>
    <t>CV089</t>
  </si>
  <si>
    <t>CV050</t>
  </si>
  <si>
    <t>CV090</t>
  </si>
  <si>
    <t>CV051</t>
  </si>
  <si>
    <t>CV091</t>
  </si>
  <si>
    <t>CV052</t>
  </si>
  <si>
    <t>CV092</t>
  </si>
  <si>
    <t>CV053</t>
  </si>
  <si>
    <t>CV093</t>
  </si>
  <si>
    <t>CV054</t>
  </si>
  <si>
    <t>CV094</t>
  </si>
  <si>
    <t>CV055</t>
  </si>
  <si>
    <t>CV095</t>
  </si>
  <si>
    <t>CV056</t>
  </si>
  <si>
    <t>CV096</t>
  </si>
  <si>
    <t>CV057</t>
  </si>
  <si>
    <t>CV097</t>
  </si>
  <si>
    <t>CV058</t>
  </si>
  <si>
    <t>CV098</t>
  </si>
  <si>
    <t>CV059</t>
  </si>
  <si>
    <t>CV099</t>
  </si>
  <si>
    <t>CV060</t>
  </si>
  <si>
    <t>CV100</t>
  </si>
  <si>
    <t>CV061</t>
  </si>
  <si>
    <t>CV101</t>
  </si>
  <si>
    <t>CV062</t>
  </si>
  <si>
    <t>CV102</t>
  </si>
  <si>
    <t>CV063</t>
  </si>
  <si>
    <t>CV103</t>
  </si>
  <si>
    <t>CV064</t>
  </si>
  <si>
    <t>CV104</t>
  </si>
  <si>
    <t>CV065</t>
  </si>
  <si>
    <t>CV105</t>
  </si>
  <si>
    <t>CV066</t>
  </si>
  <si>
    <t>CV106</t>
  </si>
  <si>
    <t>CV067</t>
  </si>
  <si>
    <t>CV107</t>
  </si>
  <si>
    <t>CV068</t>
  </si>
  <si>
    <t>CV108</t>
  </si>
  <si>
    <t>CV069</t>
  </si>
  <si>
    <t>CV109</t>
  </si>
  <si>
    <t>CV070</t>
  </si>
  <si>
    <t>CV110</t>
  </si>
  <si>
    <t>CV071</t>
  </si>
  <si>
    <t>CV111</t>
  </si>
  <si>
    <t>CV072</t>
  </si>
  <si>
    <t>CV112</t>
  </si>
  <si>
    <t>CV073</t>
  </si>
  <si>
    <t>CV113</t>
  </si>
  <si>
    <t>CV074</t>
  </si>
  <si>
    <t>CV114</t>
  </si>
  <si>
    <t>CV075</t>
  </si>
  <si>
    <t>CV115</t>
  </si>
  <si>
    <t>CV076</t>
  </si>
  <si>
    <t>CV116</t>
  </si>
  <si>
    <t>CV077</t>
  </si>
  <si>
    <t>CV117</t>
  </si>
  <si>
    <t>CV078</t>
  </si>
  <si>
    <t>CV118</t>
  </si>
  <si>
    <t>CV079</t>
  </si>
  <si>
    <t>CV119</t>
  </si>
  <si>
    <t>CV080</t>
  </si>
  <si>
    <t>CV120</t>
  </si>
  <si>
    <t>Line1</t>
  </si>
  <si>
    <t>Line2</t>
  </si>
  <si>
    <t>_Initiator</t>
  </si>
  <si>
    <t>_Exchange</t>
  </si>
  <si>
    <t>_Type</t>
  </si>
  <si>
    <t>_ProtocolName</t>
  </si>
  <si>
    <t>_Protocol</t>
  </si>
  <si>
    <t>_Format</t>
  </si>
  <si>
    <t>_Status</t>
  </si>
  <si>
    <t>1-Way</t>
  </si>
  <si>
    <t>Parameters</t>
  </si>
  <si>
    <t>2-Way</t>
  </si>
  <si>
    <t>App-HTTP</t>
  </si>
  <si>
    <t>HTTP</t>
  </si>
  <si>
    <t>Object</t>
  </si>
  <si>
    <t>Real Time</t>
  </si>
  <si>
    <t>App-MQ</t>
  </si>
  <si>
    <t>MQ</t>
  </si>
  <si>
    <t>Manual</t>
  </si>
  <si>
    <t>App-REST</t>
  </si>
  <si>
    <t>REST</t>
  </si>
  <si>
    <t>JSON</t>
  </si>
  <si>
    <t>Multiple</t>
  </si>
  <si>
    <t>App-RPC</t>
  </si>
  <si>
    <t>CSV</t>
  </si>
  <si>
    <t>SOAP</t>
  </si>
  <si>
    <t>Tabular</t>
  </si>
  <si>
    <t>DB-ODBC</t>
  </si>
  <si>
    <t>Excel</t>
  </si>
  <si>
    <t>DB-RDBMS</t>
  </si>
  <si>
    <t>RDBMS</t>
  </si>
  <si>
    <t>Stream</t>
  </si>
  <si>
    <t>DB-SQL Server</t>
  </si>
  <si>
    <t>SQL</t>
  </si>
  <si>
    <t>File</t>
  </si>
  <si>
    <t>Email-IMAP</t>
  </si>
  <si>
    <t>IMAP</t>
  </si>
  <si>
    <t>Other</t>
  </si>
  <si>
    <t>Email-POP</t>
  </si>
  <si>
    <t>POP</t>
  </si>
  <si>
    <t>Email-SMTP</t>
  </si>
  <si>
    <t>SMTP</t>
  </si>
  <si>
    <t>File-NFS</t>
  </si>
  <si>
    <t>NFS</t>
  </si>
  <si>
    <t>File-SMB</t>
  </si>
  <si>
    <t>SMB</t>
  </si>
  <si>
    <t>File-CIFS</t>
  </si>
  <si>
    <t>CIFS</t>
  </si>
  <si>
    <t>File-FTP</t>
  </si>
  <si>
    <t>FTP</t>
  </si>
  <si>
    <t>File-SFTP</t>
  </si>
  <si>
    <t>SFTP</t>
  </si>
  <si>
    <t>IOT-AMQP</t>
  </si>
  <si>
    <t>AMQP</t>
  </si>
  <si>
    <t>IOT-DDS</t>
  </si>
  <si>
    <t>DDS</t>
  </si>
  <si>
    <t>IOT-XMPP</t>
  </si>
  <si>
    <t>XMPP</t>
  </si>
  <si>
    <t>IOT-MQTT</t>
  </si>
  <si>
    <t>MQTT</t>
  </si>
  <si>
    <t>Mobile-Apple</t>
  </si>
  <si>
    <t>Apple</t>
  </si>
  <si>
    <t>Mobile-Android</t>
  </si>
  <si>
    <t>Android</t>
  </si>
  <si>
    <t>Mobile-SMS</t>
  </si>
  <si>
    <t>SMS</t>
  </si>
  <si>
    <t>Mobile-iMessage</t>
  </si>
  <si>
    <t>iMsg</t>
  </si>
  <si>
    <t>Net-DHCP</t>
  </si>
  <si>
    <t>DHCP</t>
  </si>
  <si>
    <t>Net-DNS</t>
  </si>
  <si>
    <t>DNS</t>
  </si>
  <si>
    <t>Net-RDP</t>
  </si>
  <si>
    <t>RDP</t>
  </si>
  <si>
    <t>Net-TCP</t>
  </si>
  <si>
    <t>TCP</t>
  </si>
  <si>
    <t>Net-UDP</t>
  </si>
  <si>
    <t>UDP</t>
  </si>
  <si>
    <t>Security-CMP</t>
  </si>
  <si>
    <t>CMP</t>
  </si>
  <si>
    <t>Security-LDAP/Kerberos</t>
  </si>
  <si>
    <t>LDAP-KRB</t>
  </si>
  <si>
    <t>Security-Firewall</t>
  </si>
  <si>
    <t>TMG</t>
  </si>
  <si>
    <t>Other-Operator Entry</t>
  </si>
  <si>
    <t>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</si>
</sst>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3" fillId="0" borderId="0" xfId="2" applyAlignment="1">
      <alignment vertical="top"/>
    </xf>
    <xf numFmtId="0" fontId="5" fillId="0" borderId="0" xfId="1" applyFont="1" applyAlignment="1">
      <alignment vertical="top"/>
    </xf>
    <xf numFmtId="0" fontId="4" fillId="0" borderId="0" xfId="3"/>
    <xf numFmtId="0" fontId="0" fillId="0" borderId="0" xfId="0" applyAlignment="1">
      <alignment vertical="top" wrapText="1"/>
    </xf>
    <xf numFmtId="0" fontId="4" fillId="0" borderId="0" xfId="3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2" borderId="0" xfId="3" applyFill="1" applyAlignment="1">
      <alignment vertical="top" wrapText="1"/>
    </xf>
    <xf numFmtId="0" fontId="4" fillId="3" borderId="0" xfId="3" applyFill="1" applyAlignment="1">
      <alignment vertical="top" wrapText="1"/>
    </xf>
    <xf numFmtId="0" fontId="0" fillId="4" borderId="0" xfId="0" applyFill="1"/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</cellXfs>
  <cellStyles count="4">
    <cellStyle name="Explanatory Text" xfId="2" builtinId="53"/>
    <cellStyle name="Hyperlink" xfId="3" builtinId="8"/>
    <cellStyle name="Normal" xfId="0" builtinId="0"/>
    <cellStyle name="Title" xfId="1" builtinId="15"/>
  </cellStyles>
  <dxfs count="97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9" defaultPivotStyle="PivotStyleMedium7"/>
  <colors>
    <mruColors>
      <color rgb="FF3A397B"/>
      <color rgb="FF00A3E0"/>
      <color rgb="FF007096"/>
      <color rgb="FF002F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22710</xdr:colOff>
      <xdr:row>5</xdr:row>
      <xdr:rowOff>243</xdr:rowOff>
    </xdr:from>
    <xdr:to>
      <xdr:col>8</xdr:col>
      <xdr:colOff>782511</xdr:colOff>
      <xdr:row>15</xdr:row>
      <xdr:rowOff>178042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7251941" y="1080964"/>
          <a:ext cx="3305907" cy="257126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This workbook makes extensive use of Excel Tables and Named Ranges.</a:t>
          </a:r>
        </a:p>
        <a:p>
          <a:pPr algn="l"/>
          <a:endParaRPr lang="en-US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Excel tables allow Rows to be easily deleted or added (even where two Tables share the same sheet) without breaking formulas.  Right click and selecting 'Add Row' or 'Delete Row'.</a:t>
          </a:r>
        </a:p>
        <a:p>
          <a:pPr algn="l"/>
          <a:endParaRPr lang="en-US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Tables can be increased in size (more rows, or more columns) by dragging the bottom righthand corner of the last row or simply typing in the row below the table.</a:t>
          </a:r>
        </a:p>
        <a:p>
          <a:pPr algn="l"/>
          <a:endParaRPr lang="en-US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 Total Row can be added to the bottom of each Table (see Table Tools tab -&gt; Design -&gt; Total Row. This feature allows a range of additional formulas to be used (e.g., Average) which is re-calculated when column filters are applied.</a:t>
          </a:r>
        </a:p>
        <a:p>
          <a:pPr algn="l"/>
          <a:endParaRPr lang="en-US" sz="11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14654</xdr:colOff>
      <xdr:row>0</xdr:row>
      <xdr:rowOff>36634</xdr:rowOff>
    </xdr:from>
    <xdr:to>
      <xdr:col>9</xdr:col>
      <xdr:colOff>463062</xdr:colOff>
      <xdr:row>4</xdr:row>
      <xdr:rowOff>149859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253654" y="36634"/>
          <a:ext cx="3848100" cy="100711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WARNING: </a:t>
          </a:r>
        </a:p>
        <a:p>
          <a:pPr marL="228600" indent="-228600">
            <a:buFont typeface="+mj-lt"/>
            <a:buAutoNum type="arabicPeriod"/>
          </a:pPr>
          <a:r>
            <a:rPr lang="en-AU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This template will overwrite any data manually entered into the Visio Data Shape form.</a:t>
          </a:r>
        </a:p>
        <a:p>
          <a:pPr marL="228600" indent="-228600">
            <a:buFont typeface="+mj-lt"/>
            <a:buAutoNum type="arabicPeriod"/>
          </a:pPr>
          <a:r>
            <a:rPr lang="en-AU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Adding an external link to another Excel or external data</a:t>
          </a:r>
          <a:r>
            <a:rPr lang="en-AU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source is not supported by Excel Online browser editing.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_Introduction" displayName="_Introduction" ref="B6:D13" totalsRowShown="0" headerRowDxfId="96" dataDxfId="95">
  <autoFilter ref="B6:D13"/>
  <tableColumns count="3">
    <tableColumn id="1" name="Worksheet Name" dataDxfId="94"/>
    <tableColumn id="3" name=" " dataDxfId="93"/>
    <tableColumn id="2" name="Purpose" dataDxfId="9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ConversationVisuals2" displayName="ConversationVisuals2" ref="D1:E41" totalsRowShown="0" headerRowDxfId="42" dataDxfId="41">
  <autoFilter ref="D1:E41"/>
  <tableColumns count="2">
    <tableColumn id="1" name="Conversation Id" dataDxfId="40"/>
    <tableColumn id="2" name="Conversation Description" dataDxfId="39">
      <calculatedColumnFormula>VLOOKUP(ConversationVisuals2[[#This Row],[Conversation Id]],InfoFlow[[Info Flow Id]:[Source Application]],3,FALSE) &amp; " to " &amp; VLOOKUP(ConversationVisuals2[[#This Row],[Conversation Id]],InfoFlow[[Info Flow Id]:[Destination Application]],4,FALSE)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ConversationVisuals3" displayName="ConversationVisuals3" ref="G1:H41" totalsRowShown="0" headerRowDxfId="38" dataDxfId="37">
  <autoFilter ref="G1:H41"/>
  <tableColumns count="2">
    <tableColumn id="1" name="Conversation Id" dataDxfId="36"/>
    <tableColumn id="2" name="Conversation Description" dataDxfId="35">
      <calculatedColumnFormula>VLOOKUP(ConversationVisuals3[[#This Row],[Conversation Id]],InfoFlow[[Info Flow Id]:[Source Application]],3,FALSE) &amp; " to " &amp; VLOOKUP(ConversationVisuals3[[#This Row],[Conversation Id]],InfoFlow[[Info Flow Id]:[Destination Application]],4,FALSE)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4" name="DataExport" displayName="DataExport" ref="A1:N11" totalsRowShown="0" headerRowDxfId="34" dataDxfId="33">
  <autoFilter ref="A1:N11"/>
  <tableColumns count="14">
    <tableColumn id="1" name="Info Flow Id" dataDxfId="32">
      <calculatedColumnFormula>IFERROR(InfoFlow[[#This Row],[Info Flow Id]],"")</calculatedColumnFormula>
    </tableColumn>
    <tableColumn id="2" name="Displayed Id" dataDxfId="31">
      <calculatedColumnFormula>IFERROR(InfoFlow[[#This Row],[Displayed Id]],"")</calculatedColumnFormula>
    </tableColumn>
    <tableColumn id="3" name="Source Application" dataDxfId="30">
      <calculatedColumnFormula>IFERROR(InfoFlow[[#This Row],[Source Application]],"")</calculatedColumnFormula>
    </tableColumn>
    <tableColumn id="4" name="Destination Application" dataDxfId="29">
      <calculatedColumnFormula>IFERROR(InfoFlow[[#This Row],[Destination Application]],"")</calculatedColumnFormula>
    </tableColumn>
    <tableColumn id="5" name="Line1" dataDxfId="28">
      <calculatedColumnFormula>INDEX(InfoFlow[Type],MATCH(DataExport[[#This Row],[Info Flow Id]],InfoFlow[Info Flow Id],0)) &amp; "/" &amp; INDEX(InfoFlow[Protocol Name],MATCH(DataExport[[#This Row],[Info Flow Id]],InfoFlow[Info Flow Id],0)) &amp; "/" &amp; INDEX(InfoFlow[Format],MATCH(DataExport[[#This Row],[Info Flow Id]],InfoFlow[Info Flow Id],0))</calculatedColumnFormula>
    </tableColumn>
    <tableColumn id="6" name="Line2" dataDxfId="27">
      <calculatedColumnFormula>CONCATENATE(
INDEX(InfoFlow[Data Entity 1],MATCH(DataExport[[#This Row],[Info Flow Id]],InfoFlow[Info Flow Id],0)),
IF(INDEX(InfoFlow[Data Entity 2],MATCH(DataExport[[#This Row],[Info Flow Id]],InfoFlow[Info Flow Id],0)) = "", "",", " &amp; INDEX(InfoFlow[Data Entity 2],MATCH(DataExport[[#This Row],[Info Flow Id]],InfoFlow[Info Flow Id],0))),
IF(INDEX(InfoFlow[Data Entity 3],MATCH(DataExport[[#This Row],[Info Flow Id]],InfoFlow[Info Flow Id],0)) = "", "",", " &amp; INDEX(InfoFlow[Data Entity 3],MATCH(DataExport[[#This Row],[Info Flow Id]],InfoFlow[Info Flow Id],0))),
IF(INDEX(InfoFlow[Data Entity 4],MATCH(DataExport[[#This Row],[Info Flow Id]],InfoFlow[Info Flow Id],0)) = "", "",", " &amp; INDEX(InfoFlow[Data Entity 4],MATCH(DataExport[[#This Row],[Info Flow Id]],InfoFlow[Info Flow Id],0))),
IF(INDEX(InfoFlow[Data Entity 5],MATCH(DataExport[[#This Row],[Info Flow Id]],InfoFlow[Info Flow Id],0)) = "", "",", " &amp; INDEX(InfoFlow[Data Entity 5],MATCH(DataExport[[#This Row],[Info Flow Id]],InfoFlow[Info Flow Id],0))),
IF(INDEX(InfoFlow[Data Entity 6],MATCH(DataExport[[#This Row],[Info Flow Id]],InfoFlow[Info Flow Id],0)) = "", "",", " &amp; INDEX(InfoFlow[Data Entity 6],MATCH(DataExport[[#This Row],[Info Flow Id]],InfoFlow[Info Flow Id],0))))</calculatedColumnFormula>
    </tableColumn>
    <tableColumn id="7" name="Initiator" dataDxfId="26">
      <calculatedColumnFormula>INDEX(InfoFlow[Initiator],MATCH(DataExport[[#This Row],[Info Flow Id]],InfoFlow[Info Flow Id],0))</calculatedColumnFormula>
    </tableColumn>
    <tableColumn id="8" name="Exchange" dataDxfId="25">
      <calculatedColumnFormula>INDEX(InfoFlow[Exchange],MATCH(DataExport[[#This Row],[Info Flow Id]],InfoFlow[Info Flow Id],0))</calculatedColumnFormula>
    </tableColumn>
    <tableColumn id="9" name="Type" dataDxfId="24">
      <calculatedColumnFormula>INDEX(InfoFlow[Type],MATCH(DataExport[[#This Row],[Info Flow Id]],InfoFlow[Info Flow Id],0))</calculatedColumnFormula>
    </tableColumn>
    <tableColumn id="10" name="Protocol Name" dataDxfId="23">
      <calculatedColumnFormula>INDEX(InfoFlow[Protocol Name],MATCH(DataExport[[#This Row],[Info Flow Id]],InfoFlow[Info Flow Id],0))</calculatedColumnFormula>
    </tableColumn>
    <tableColumn id="12" name="Format" dataDxfId="22">
      <calculatedColumnFormula>INDEX(InfoFlow[Format],MATCH(DataExport[[#This Row],[Info Flow Id]],InfoFlow[Info Flow Id],0))</calculatedColumnFormula>
    </tableColumn>
    <tableColumn id="11" name="Status" dataDxfId="21">
      <calculatedColumnFormula>INDEX(InfoFlow[Status],MATCH(DataExport[[#This Row],[Info Flow Id]],InfoFlow[Info Flow Id],0))</calculatedColumnFormula>
    </tableColumn>
    <tableColumn id="13" name="Description" dataDxfId="20">
      <calculatedColumnFormula>INDEX(InfoFlow[Description],MATCH(DataExport[[#This Row],[Info Flow Id]],InfoFlow[Info Flow Id],0))</calculatedColumnFormula>
    </tableColumn>
    <tableColumn id="14" name="Location" dataDxfId="19">
      <calculatedColumnFormula>INDEX(InfoFlow[Location],MATCH(DataExport[[#This Row],[Info Flow Id]],InfoFlow[Info Flow Id],0))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5" name="Initiator" displayName="Initiator" ref="A1:A5" totalsRowShown="0" headerRowDxfId="18" dataDxfId="17">
  <autoFilter ref="A1:A5"/>
  <tableColumns count="1">
    <tableColumn id="1" name="_Initiator" dataDxfId="1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8" name="ExchangeLIst" displayName="ExchangeLIst" ref="C1:C3" totalsRowShown="0" headerRowDxfId="15" dataDxfId="14">
  <autoFilter ref="C1:C3"/>
  <tableColumns count="1">
    <tableColumn id="1" name="_Exchange" dataDxfId="13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9" name="Type" displayName="Type" ref="E1:E7" totalsRowShown="0" headerRowDxfId="12" dataDxfId="11">
  <autoFilter ref="E1:E7"/>
  <tableColumns count="1">
    <tableColumn id="1" name="_Type" dataDxfId="1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0" name="Protocol" displayName="Protocol" ref="G1:H37" totalsRowShown="0" headerRowDxfId="9" dataDxfId="8">
  <autoFilter ref="G1:H37"/>
  <sortState ref="H2:H19">
    <sortCondition ref="H2:H19"/>
  </sortState>
  <tableColumns count="2">
    <tableColumn id="2" name="_ProtocolName" dataDxfId="7"/>
    <tableColumn id="1" name="_Protocol" dataDxfId="6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1" name="Status" displayName="Status" ref="L1:L6" totalsRowShown="0" headerRowDxfId="5" dataDxfId="4">
  <autoFilter ref="L1:L6"/>
  <tableColumns count="1">
    <tableColumn id="1" name="_Status" dataDxfId="3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7" name="Formats" displayName="Formats" ref="J1:J12" totalsRowShown="0" headerRowDxfId="2" dataDxfId="1">
  <autoFilter ref="J1:J12"/>
  <tableColumns count="1">
    <tableColumn id="1" name="_Forma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foFlow" displayName="InfoFlow" ref="A1:S41" totalsRowShown="0" headerRowDxfId="91" dataDxfId="90">
  <autoFilter ref="A1:S41"/>
  <tableColumns count="19">
    <tableColumn id="2" name="Info Flow Id" dataDxfId="89"/>
    <tableColumn id="19" name="Displayed Id" dataDxfId="88"/>
    <tableColumn id="3" name="Source Application" dataDxfId="87"/>
    <tableColumn id="4" name="Destination Application" dataDxfId="86"/>
    <tableColumn id="5" name="Data Entity 1" dataDxfId="85"/>
    <tableColumn id="6" name="Data Entity 2" dataDxfId="84"/>
    <tableColumn id="7" name="Data Entity 3" dataDxfId="83"/>
    <tableColumn id="8" name="Data Entity 4" dataDxfId="82"/>
    <tableColumn id="9" name="Data Entity 5" dataDxfId="81"/>
    <tableColumn id="10" name="Data Entity 6" dataDxfId="80"/>
    <tableColumn id="11" name="Initiator" dataDxfId="79"/>
    <tableColumn id="12" name="Exchange" dataDxfId="78"/>
    <tableColumn id="13" name="Type" dataDxfId="77"/>
    <tableColumn id="14" name="Protocol Name" dataDxfId="76"/>
    <tableColumn id="18" name="Protocol" dataDxfId="75">
      <calculatedColumnFormula>VLOOKUP(InfoFlow[[#This Row],[Protocol Name]],Protocol[],2)</calculatedColumnFormula>
    </tableColumn>
    <tableColumn id="1" name="Format" dataDxfId="74"/>
    <tableColumn id="15" name="Status" dataDxfId="73"/>
    <tableColumn id="16" name="Description" dataDxfId="72"/>
    <tableColumn id="17" name="Location" dataDxfId="7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4" name="StatusTable" displayName="StatusTable" ref="B2:C7" totalsRowShown="0" headerRowDxfId="70" dataDxfId="69">
  <autoFilter ref="B2:C7"/>
  <tableColumns count="2">
    <tableColumn id="1" name="Status" dataDxfId="68"/>
    <tableColumn id="2" name="Count" dataDxfId="67">
      <calculatedColumnFormula>COUNTIF(InfoFlow[Status],StatusTable[Status])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15" name="InitiatorTable" displayName="InitiatorTable" ref="B10:C14" totalsRowShown="0" headerRowDxfId="66" dataDxfId="65">
  <autoFilter ref="B10:C14"/>
  <tableColumns count="2">
    <tableColumn id="1" name="Initiator" dataDxfId="64"/>
    <tableColumn id="2" name="Count" dataDxfId="63">
      <calculatedColumnFormula>COUNTIF(InfoFlow[Initiator],InitiatorTable[Initiator])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16" name="ApplicationTable" displayName="ApplicationTable" ref="E2:F19" totalsRowShown="0" headerRowDxfId="62" dataDxfId="61">
  <autoFilter ref="E2:F19"/>
  <sortState ref="E3:F66">
    <sortCondition ref="E66"/>
  </sortState>
  <tableColumns count="2">
    <tableColumn id="1" name="Source Application" dataDxfId="60">
      <calculatedColumnFormula>InfoFlow[Source Application]</calculatedColumnFormula>
    </tableColumn>
    <tableColumn id="2" name="Count" dataDxfId="59">
      <calculatedColumnFormula>COUNTIF(InfoFlow[[Source Application]:[Destination Application]],ApplicationTable[Source Application])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18" name="ProtocolTable" displayName="ProtocolTable" ref="N2:O20" totalsRowShown="0" headerRowDxfId="58" dataDxfId="57">
  <autoFilter ref="N2:O20"/>
  <tableColumns count="2">
    <tableColumn id="1" name="Protocol" dataDxfId="56"/>
    <tableColumn id="2" name="Count" dataDxfId="55">
      <calculatedColumnFormula>COUNTIF(InfoFlow[Protocol Name],ProtocolTable[Protocol])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20" name="ApplicationTable21" displayName="ApplicationTable21" ref="H2:I19" totalsRowShown="0" headerRowDxfId="54" dataDxfId="53">
  <autoFilter ref="H2:I19"/>
  <sortState ref="H3:I66">
    <sortCondition ref="H66"/>
  </sortState>
  <tableColumns count="2">
    <tableColumn id="1" name="Destination Application" dataDxfId="52">
      <calculatedColumnFormula>InfoFlow[Destination Application]</calculatedColumnFormula>
    </tableColumn>
    <tableColumn id="2" name="Count" dataDxfId="51">
      <calculatedColumnFormula>COUNTIF(InfoFlow[[Source Application]:[Destination Application]],ApplicationTable21[Destination Application])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21" name="Table21" displayName="Table21" ref="K2:L19" totalsRowShown="0" headerRowDxfId="50" dataDxfId="49">
  <autoFilter ref="K2:L19"/>
  <tableColumns count="2">
    <tableColumn id="1" name="Data Entity 1" dataDxfId="48">
      <calculatedColumnFormula>InfoFlow[Data Entity 1]</calculatedColumnFormula>
    </tableColumn>
    <tableColumn id="2" name="Count" dataDxfId="47">
      <calculatedColumnFormula>COUNTIF(InfoFlow[Data Entity 1],Table21[Data Entity 1])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6" name="InfoFlowVisuals1" displayName="InfoFlowVisuals1" ref="A1:B41" totalsRowShown="0" headerRowDxfId="46" dataDxfId="45">
  <autoFilter ref="A1:B41"/>
  <tableColumns count="2">
    <tableColumn id="1" name="Info Flow Id" dataDxfId="44"/>
    <tableColumn id="2" name="Conversation Description" dataDxfId="43">
      <calculatedColumnFormula>VLOOKUP(InfoFlowVisuals1[[#This Row],[Info Flow Id]],InfoFlow[[Info Flow Id]:[Source Application]],3,FALSE) &amp; " to " &amp; VLOOKUP(InfoFlowVisuals1[[#This Row],[Info Flow Id]],InfoFlow[[Info Flow Id]:[Destination Application]],4,FALSE)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B2:D13"/>
  <sheetViews>
    <sheetView showGridLines="0" tabSelected="1" zoomScale="104" zoomScaleNormal="104" workbookViewId="0">
      <selection activeCell="A4" sqref="A4"/>
    </sheetView>
  </sheetViews>
  <sheetFormatPr defaultColWidth="11.25" defaultRowHeight="15.6" x14ac:dyDescent="0.6"/>
  <cols>
    <col min="1" max="1" width="4.59765625" style="1" customWidth="1"/>
    <col min="2" max="2" width="30.59765625" style="1" customWidth="1"/>
    <col min="3" max="3" width="4.59765625" style="1" customWidth="1"/>
    <col min="4" max="4" width="50.59765625" style="1" customWidth="1"/>
    <col min="5" max="5" width="4.59765625" style="1" customWidth="1"/>
    <col min="6" max="16384" width="11.25" style="1"/>
  </cols>
  <sheetData>
    <row r="2" spans="2:4" ht="23.1" x14ac:dyDescent="0.6">
      <c r="B2" s="3" t="s">
        <v>0</v>
      </c>
    </row>
    <row r="4" spans="2:4" x14ac:dyDescent="0.6">
      <c r="B4" s="2" t="s">
        <v>1</v>
      </c>
    </row>
    <row r="6" spans="2:4" x14ac:dyDescent="0.6">
      <c r="B6" s="5" t="s">
        <v>2</v>
      </c>
      <c r="C6" s="5" t="s">
        <v>3</v>
      </c>
      <c r="D6" s="5" t="s">
        <v>4</v>
      </c>
    </row>
    <row r="7" spans="2:4" x14ac:dyDescent="0.6">
      <c r="B7" s="5" t="s">
        <v>5</v>
      </c>
      <c r="C7" s="10"/>
      <c r="D7" s="5" t="s">
        <v>6</v>
      </c>
    </row>
    <row r="8" spans="2:4" ht="46.8" x14ac:dyDescent="0.6">
      <c r="B8" s="4" t="s">
        <v>7</v>
      </c>
      <c r="C8" s="11"/>
      <c r="D8" s="7" t="s">
        <v>8</v>
      </c>
    </row>
    <row r="9" spans="2:4" x14ac:dyDescent="0.6">
      <c r="B9" s="6" t="s">
        <v>9</v>
      </c>
      <c r="C9" s="13"/>
      <c r="D9" s="5" t="s">
        <v>10</v>
      </c>
    </row>
    <row r="10" spans="2:4" ht="46.8" x14ac:dyDescent="0.6">
      <c r="B10" s="6" t="s">
        <v>11</v>
      </c>
      <c r="C10" s="13"/>
      <c r="D10" s="5" t="s">
        <v>12</v>
      </c>
    </row>
    <row r="11" spans="2:4" x14ac:dyDescent="0.6">
      <c r="B11" s="6" t="s">
        <v>13</v>
      </c>
      <c r="C11" s="12"/>
      <c r="D11" s="5" t="s">
        <v>14</v>
      </c>
    </row>
    <row r="12" spans="2:4" ht="4.1500000000000004" customHeight="1" x14ac:dyDescent="0.6">
      <c r="B12" s="5"/>
      <c r="C12" s="5"/>
      <c r="D12" s="5"/>
    </row>
    <row r="13" spans="2:4" x14ac:dyDescent="0.6">
      <c r="B13" s="6" t="s">
        <v>15</v>
      </c>
      <c r="C13" s="9"/>
      <c r="D13" s="5" t="s">
        <v>16</v>
      </c>
    </row>
  </sheetData>
  <phoneticPr fontId="1" type="noConversion"/>
  <hyperlinks>
    <hyperlink ref="B13" location="Lookups!A1" display="Lookups"/>
    <hyperlink ref="B8" location="'Information Flow Catalogue'!A1" display="Information Flow Catalogue"/>
    <hyperlink ref="B9" location="Statistics!A1" display="Statistics"/>
    <hyperlink ref="B11" location="'IF Data Export'!A1" display="IF Data Export"/>
    <hyperlink ref="B10" location="'IF Visual (Static)'!A1" display="Information Flow Visual (Static)"/>
  </hyperlinks>
  <pageMargins left="0.25" right="0.25" top="0.75" bottom="0.75" header="0.3" footer="0.3"/>
  <pageSetup orientation="landscape" r:id="rId1"/>
  <headerFooter>
    <oddHeader>&amp;L&amp;"EMprint Regular,Regular"&amp;16&amp;K3A397BTitle&amp;R&amp;G</oddHeader>
  </headerFooter>
  <drawing r:id="rId2"/>
  <tableParts count="1">
    <tablePart r:id="rId3"/>
  </tablePart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S41"/>
  <sheetViews>
    <sheetView showGridLines="0" workbookViewId="0">
      <pane ySplit="1" topLeftCell="A2" activePane="bottomLeft" state="frozen"/>
      <selection pane="bottomLeft" activeCell="A4" sqref="A4:XFD41"/>
    </sheetView>
  </sheetViews>
  <sheetFormatPr defaultColWidth="11.25" defaultRowHeight="15.6" x14ac:dyDescent="0.6"/>
  <cols>
    <col min="1" max="1" width="16" style="1" bestFit="1" customWidth="1"/>
    <col min="2" max="2" width="11.25" style="1"/>
    <col min="3" max="4" width="48.59765625" style="1" customWidth="1"/>
    <col min="5" max="10" width="13.34765625" style="1" bestFit="1" customWidth="1"/>
    <col min="11" max="11" width="9.59765625" style="1" bestFit="1" customWidth="1"/>
    <col min="12" max="12" width="13.25" style="1" customWidth="1"/>
    <col min="13" max="13" width="11" style="1" customWidth="1"/>
    <col min="14" max="14" width="15" style="1" bestFit="1" customWidth="1"/>
    <col min="15" max="15" width="11.75" style="1" customWidth="1"/>
    <col min="16" max="16" width="12.75" style="1" customWidth="1"/>
    <col min="17" max="17" width="11.75" style="1" customWidth="1"/>
    <col min="18" max="18" width="55.59765625" style="1" customWidth="1"/>
    <col min="19" max="19" width="18.59765625" style="1" customWidth="1"/>
    <col min="20" max="16384" width="11.25" style="1"/>
  </cols>
  <sheetData>
    <row r="1" spans="1:19" x14ac:dyDescent="0.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</row>
    <row r="2" spans="1:19" x14ac:dyDescent="0.6">
      <c r="A2" s="1" t="s">
        <v>36</v>
      </c>
      <c r="B2" s="1">
        <v>1</v>
      </c>
      <c r="C2" s="1" t="s">
        <v>37</v>
      </c>
      <c r="D2" s="1" t="s">
        <v>38</v>
      </c>
      <c r="E2" s="1" t="s">
        <v>39</v>
      </c>
      <c r="F2" s="1" t="s">
        <v>40</v>
      </c>
      <c r="M2" s="1" t="s">
        <v>41</v>
      </c>
      <c r="N2" s="1" t="s">
        <v>42</v>
      </c>
      <c r="O2" s="1" t="str">
        <f>VLOOKUP(InfoFlow[[#This Row],[Protocol Name]],Protocol[],2)</f>
        <v>API</v>
      </c>
      <c r="P2" s="1" t="s">
        <v>43</v>
      </c>
      <c r="R2" s="1" t="s">
        <v>44</v>
      </c>
      <c r="S2" s="1" t="s">
        <v>45</v>
      </c>
    </row>
    <row r="3" spans="1:19" x14ac:dyDescent="0.6">
      <c r="A3" s="1" t="s">
        <v>46</v>
      </c>
      <c r="B3" s="1">
        <v>2</v>
      </c>
      <c r="C3" s="1" t="s">
        <v>37</v>
      </c>
      <c r="D3" s="1" t="s">
        <v>38</v>
      </c>
      <c r="N3" s="1" t="s">
        <v>47</v>
      </c>
      <c r="O3" s="1" t="str">
        <f>VLOOKUP(InfoFlow[[#This Row],[Protocol Name]],Protocol[],2)</f>
        <v>SOAP</v>
      </c>
      <c r="R3" s="1" t="s">
        <v>44</v>
      </c>
      <c r="S3" s="1" t="s">
        <v>45</v>
      </c>
    </row>
    <row r="4" spans="1:19" x14ac:dyDescent="0.6">
      <c r="A4" s="1" t="s">
        <v>48</v>
      </c>
      <c r="B4" s="1">
        <v>3</v>
      </c>
      <c r="C4" s="1" t="s">
        <v>37</v>
      </c>
      <c r="D4" s="1" t="s">
        <v>38</v>
      </c>
      <c r="O4" s="1" t="e">
        <f>VLOOKUP(InfoFlow[[#This Row],[Protocol Name]],Protocol[],2)</f>
        <v>#N/A</v>
      </c>
      <c r="R4" s="1" t="s">
        <v>44</v>
      </c>
      <c r="S4" s="1" t="s">
        <v>45</v>
      </c>
    </row>
    <row r="5" spans="1:19" x14ac:dyDescent="0.6">
      <c r="A5" s="1" t="s">
        <v>49</v>
      </c>
      <c r="B5" s="1">
        <v>4</v>
      </c>
      <c r="C5" s="1" t="s">
        <v>37</v>
      </c>
      <c r="D5" s="1" t="s">
        <v>38</v>
      </c>
      <c r="O5" s="1" t="e">
        <f>VLOOKUP(InfoFlow[[#This Row],[Protocol Name]],Protocol[],2)</f>
        <v>#N/A</v>
      </c>
      <c r="R5" s="1" t="s">
        <v>44</v>
      </c>
      <c r="S5" s="1" t="s">
        <v>45</v>
      </c>
    </row>
    <row r="6" spans="1:19" x14ac:dyDescent="0.6">
      <c r="A6" s="1" t="s">
        <v>50</v>
      </c>
      <c r="B6" s="1">
        <v>5</v>
      </c>
      <c r="C6" s="1" t="s">
        <v>37</v>
      </c>
      <c r="D6" s="1" t="s">
        <v>38</v>
      </c>
      <c r="O6" s="1" t="e">
        <f>VLOOKUP(InfoFlow[[#This Row],[Protocol Name]],Protocol[],2)</f>
        <v>#N/A</v>
      </c>
      <c r="R6" s="1" t="s">
        <v>44</v>
      </c>
      <c r="S6" s="1" t="s">
        <v>45</v>
      </c>
    </row>
    <row r="7" spans="1:19" x14ac:dyDescent="0.6">
      <c r="A7" s="1" t="s">
        <v>51</v>
      </c>
      <c r="B7" s="1">
        <v>6</v>
      </c>
      <c r="C7" s="1" t="s">
        <v>37</v>
      </c>
      <c r="D7" s="1" t="s">
        <v>38</v>
      </c>
      <c r="O7" s="1" t="e">
        <f>VLOOKUP(InfoFlow[[#This Row],[Protocol Name]],Protocol[],2)</f>
        <v>#N/A</v>
      </c>
      <c r="R7" s="1" t="s">
        <v>44</v>
      </c>
      <c r="S7" s="1" t="s">
        <v>45</v>
      </c>
    </row>
    <row r="8" spans="1:19" x14ac:dyDescent="0.6">
      <c r="A8" s="1" t="s">
        <v>52</v>
      </c>
      <c r="B8" s="1">
        <v>7</v>
      </c>
      <c r="C8" s="1" t="s">
        <v>37</v>
      </c>
      <c r="D8" s="1" t="s">
        <v>38</v>
      </c>
      <c r="O8" s="1" t="e">
        <f>VLOOKUP(InfoFlow[[#This Row],[Protocol Name]],Protocol[],2)</f>
        <v>#N/A</v>
      </c>
      <c r="R8" s="1" t="s">
        <v>44</v>
      </c>
      <c r="S8" s="1" t="s">
        <v>45</v>
      </c>
    </row>
    <row r="9" spans="1:19" x14ac:dyDescent="0.6">
      <c r="A9" s="1" t="s">
        <v>53</v>
      </c>
      <c r="B9" s="1">
        <v>8</v>
      </c>
      <c r="C9" s="1" t="s">
        <v>37</v>
      </c>
      <c r="D9" s="1" t="s">
        <v>38</v>
      </c>
      <c r="O9" s="1" t="e">
        <f>VLOOKUP(InfoFlow[[#This Row],[Protocol Name]],Protocol[],2)</f>
        <v>#N/A</v>
      </c>
      <c r="R9" s="1" t="s">
        <v>44</v>
      </c>
      <c r="S9" s="1" t="s">
        <v>45</v>
      </c>
    </row>
    <row r="10" spans="1:19" x14ac:dyDescent="0.6">
      <c r="A10" s="1" t="s">
        <v>54</v>
      </c>
      <c r="B10" s="1">
        <v>9</v>
      </c>
      <c r="C10" s="1" t="s">
        <v>37</v>
      </c>
      <c r="D10" s="1" t="s">
        <v>38</v>
      </c>
      <c r="O10" s="1" t="e">
        <f>VLOOKUP(InfoFlow[[#This Row],[Protocol Name]],Protocol[],2)</f>
        <v>#N/A</v>
      </c>
      <c r="R10" s="1" t="s">
        <v>44</v>
      </c>
      <c r="S10" s="1" t="s">
        <v>45</v>
      </c>
    </row>
    <row r="11" spans="1:19" x14ac:dyDescent="0.6">
      <c r="A11" s="1" t="s">
        <v>55</v>
      </c>
      <c r="B11" s="1">
        <v>10</v>
      </c>
      <c r="C11" s="1" t="s">
        <v>37</v>
      </c>
      <c r="D11" s="1" t="s">
        <v>38</v>
      </c>
      <c r="O11" s="1" t="e">
        <f>VLOOKUP(InfoFlow[[#This Row],[Protocol Name]],Protocol[],2)</f>
        <v>#N/A</v>
      </c>
      <c r="R11" s="1" t="s">
        <v>44</v>
      </c>
      <c r="S11" s="1" t="s">
        <v>45</v>
      </c>
    </row>
    <row r="12" spans="1:19" x14ac:dyDescent="0.6">
      <c r="A12" s="1" t="s">
        <v>56</v>
      </c>
      <c r="B12" s="1">
        <v>11</v>
      </c>
      <c r="C12" s="1" t="s">
        <v>37</v>
      </c>
      <c r="D12" s="1" t="s">
        <v>38</v>
      </c>
      <c r="O12" s="1" t="e">
        <f>VLOOKUP(InfoFlow[[#This Row],[Protocol Name]],Protocol[],2)</f>
        <v>#N/A</v>
      </c>
    </row>
    <row r="13" spans="1:19" x14ac:dyDescent="0.6">
      <c r="A13" s="1" t="s">
        <v>57</v>
      </c>
      <c r="B13" s="1">
        <v>12</v>
      </c>
      <c r="C13" s="1" t="s">
        <v>37</v>
      </c>
      <c r="D13" s="1" t="s">
        <v>38</v>
      </c>
      <c r="O13" s="1" t="e">
        <f>VLOOKUP(InfoFlow[[#This Row],[Protocol Name]],Protocol[],2)</f>
        <v>#N/A</v>
      </c>
    </row>
    <row r="14" spans="1:19" x14ac:dyDescent="0.6">
      <c r="A14" s="1" t="s">
        <v>58</v>
      </c>
      <c r="B14" s="1">
        <v>13</v>
      </c>
      <c r="C14" s="1" t="s">
        <v>37</v>
      </c>
      <c r="D14" s="1" t="s">
        <v>38</v>
      </c>
      <c r="O14" s="1" t="e">
        <f>VLOOKUP(InfoFlow[[#This Row],[Protocol Name]],Protocol[],2)</f>
        <v>#N/A</v>
      </c>
    </row>
    <row r="15" spans="1:19" x14ac:dyDescent="0.6">
      <c r="A15" s="1" t="s">
        <v>59</v>
      </c>
      <c r="B15" s="1">
        <v>14</v>
      </c>
      <c r="C15" s="1" t="s">
        <v>37</v>
      </c>
      <c r="D15" s="1" t="s">
        <v>38</v>
      </c>
      <c r="O15" s="1" t="e">
        <f>VLOOKUP(InfoFlow[[#This Row],[Protocol Name]],Protocol[],2)</f>
        <v>#N/A</v>
      </c>
    </row>
    <row r="16" spans="1:19" x14ac:dyDescent="0.6">
      <c r="A16" s="1" t="s">
        <v>60</v>
      </c>
      <c r="B16" s="1">
        <v>15</v>
      </c>
      <c r="C16" s="1" t="s">
        <v>37</v>
      </c>
      <c r="D16" s="1" t="s">
        <v>38</v>
      </c>
      <c r="O16" s="1" t="e">
        <f>VLOOKUP(InfoFlow[[#This Row],[Protocol Name]],Protocol[],2)</f>
        <v>#N/A</v>
      </c>
    </row>
    <row r="17" spans="1:15" x14ac:dyDescent="0.6">
      <c r="A17" s="1" t="s">
        <v>61</v>
      </c>
      <c r="B17" s="1">
        <v>16</v>
      </c>
      <c r="C17" s="1" t="s">
        <v>37</v>
      </c>
      <c r="D17" s="1" t="s">
        <v>38</v>
      </c>
      <c r="O17" s="1" t="e">
        <f>VLOOKUP(InfoFlow[[#This Row],[Protocol Name]],Protocol[],2)</f>
        <v>#N/A</v>
      </c>
    </row>
    <row r="18" spans="1:15" x14ac:dyDescent="0.6">
      <c r="A18" s="1" t="s">
        <v>62</v>
      </c>
      <c r="B18" s="1">
        <v>17</v>
      </c>
      <c r="C18" s="1" t="s">
        <v>37</v>
      </c>
      <c r="D18" s="1" t="s">
        <v>38</v>
      </c>
      <c r="O18" s="1" t="e">
        <f>VLOOKUP(InfoFlow[[#This Row],[Protocol Name]],Protocol[],2)</f>
        <v>#N/A</v>
      </c>
    </row>
    <row r="19" spans="1:15" x14ac:dyDescent="0.6">
      <c r="A19" s="1" t="s">
        <v>63</v>
      </c>
      <c r="B19" s="1">
        <v>18</v>
      </c>
      <c r="C19" s="1" t="s">
        <v>37</v>
      </c>
      <c r="D19" s="1" t="s">
        <v>38</v>
      </c>
      <c r="O19" s="1" t="e">
        <f>VLOOKUP(InfoFlow[[#This Row],[Protocol Name]],Protocol[],2)</f>
        <v>#N/A</v>
      </c>
    </row>
    <row r="20" spans="1:15" x14ac:dyDescent="0.6">
      <c r="A20" s="1" t="s">
        <v>64</v>
      </c>
      <c r="B20" s="1">
        <v>19</v>
      </c>
      <c r="C20" s="1" t="s">
        <v>37</v>
      </c>
      <c r="D20" s="1" t="s">
        <v>38</v>
      </c>
      <c r="O20" s="1" t="e">
        <f>VLOOKUP(InfoFlow[[#This Row],[Protocol Name]],Protocol[],2)</f>
        <v>#N/A</v>
      </c>
    </row>
    <row r="21" spans="1:15" x14ac:dyDescent="0.6">
      <c r="A21" s="1" t="s">
        <v>65</v>
      </c>
      <c r="B21" s="1">
        <v>20</v>
      </c>
      <c r="C21" s="1" t="s">
        <v>37</v>
      </c>
      <c r="D21" s="1" t="s">
        <v>38</v>
      </c>
      <c r="O21" s="1" t="e">
        <f>VLOOKUP(InfoFlow[[#This Row],[Protocol Name]],Protocol[],2)</f>
        <v>#N/A</v>
      </c>
    </row>
    <row r="22" spans="1:15" x14ac:dyDescent="0.6">
      <c r="A22" s="1" t="s">
        <v>66</v>
      </c>
      <c r="B22" s="1">
        <v>21</v>
      </c>
      <c r="C22" s="1" t="s">
        <v>37</v>
      </c>
      <c r="D22" s="1" t="s">
        <v>38</v>
      </c>
      <c r="O22" s="1" t="e">
        <f>VLOOKUP(InfoFlow[[#This Row],[Protocol Name]],Protocol[],2)</f>
        <v>#N/A</v>
      </c>
    </row>
    <row r="23" spans="1:15" x14ac:dyDescent="0.6">
      <c r="A23" s="1" t="s">
        <v>67</v>
      </c>
      <c r="B23" s="1">
        <v>22</v>
      </c>
      <c r="C23" s="1" t="s">
        <v>37</v>
      </c>
      <c r="D23" s="1" t="s">
        <v>38</v>
      </c>
      <c r="O23" s="1" t="e">
        <f>VLOOKUP(InfoFlow[[#This Row],[Protocol Name]],Protocol[],2)</f>
        <v>#N/A</v>
      </c>
    </row>
    <row r="24" spans="1:15" x14ac:dyDescent="0.6">
      <c r="A24" s="1" t="s">
        <v>68</v>
      </c>
      <c r="B24" s="1">
        <v>23</v>
      </c>
      <c r="C24" s="1" t="s">
        <v>37</v>
      </c>
      <c r="D24" s="1" t="s">
        <v>38</v>
      </c>
      <c r="O24" s="1" t="e">
        <f>VLOOKUP(InfoFlow[[#This Row],[Protocol Name]],Protocol[],2)</f>
        <v>#N/A</v>
      </c>
    </row>
    <row r="25" spans="1:15" x14ac:dyDescent="0.6">
      <c r="A25" s="1" t="s">
        <v>69</v>
      </c>
      <c r="B25" s="1">
        <v>24</v>
      </c>
      <c r="C25" s="1" t="s">
        <v>37</v>
      </c>
      <c r="D25" s="1" t="s">
        <v>38</v>
      </c>
      <c r="O25" s="1" t="e">
        <f>VLOOKUP(InfoFlow[[#This Row],[Protocol Name]],Protocol[],2)</f>
        <v>#N/A</v>
      </c>
    </row>
    <row r="26" spans="1:15" x14ac:dyDescent="0.6">
      <c r="A26" s="1" t="s">
        <v>70</v>
      </c>
      <c r="B26" s="1">
        <v>25</v>
      </c>
      <c r="C26" s="1" t="s">
        <v>37</v>
      </c>
      <c r="D26" s="1" t="s">
        <v>38</v>
      </c>
      <c r="O26" s="1" t="e">
        <f>VLOOKUP(InfoFlow[[#This Row],[Protocol Name]],Protocol[],2)</f>
        <v>#N/A</v>
      </c>
    </row>
    <row r="27" spans="1:15" x14ac:dyDescent="0.6">
      <c r="A27" s="1" t="s">
        <v>71</v>
      </c>
      <c r="B27" s="1">
        <v>26</v>
      </c>
      <c r="C27" s="1" t="s">
        <v>37</v>
      </c>
      <c r="D27" s="1" t="s">
        <v>38</v>
      </c>
      <c r="O27" s="1" t="e">
        <f>VLOOKUP(InfoFlow[[#This Row],[Protocol Name]],Protocol[],2)</f>
        <v>#N/A</v>
      </c>
    </row>
    <row r="28" spans="1:15" x14ac:dyDescent="0.6">
      <c r="A28" s="1" t="s">
        <v>72</v>
      </c>
      <c r="B28" s="1">
        <v>27</v>
      </c>
      <c r="C28" s="1" t="s">
        <v>37</v>
      </c>
      <c r="D28" s="1" t="s">
        <v>38</v>
      </c>
      <c r="O28" s="1" t="e">
        <f>VLOOKUP(InfoFlow[[#This Row],[Protocol Name]],Protocol[],2)</f>
        <v>#N/A</v>
      </c>
    </row>
    <row r="29" spans="1:15" x14ac:dyDescent="0.6">
      <c r="A29" s="1" t="s">
        <v>73</v>
      </c>
      <c r="B29" s="1">
        <v>28</v>
      </c>
      <c r="C29" s="1" t="s">
        <v>37</v>
      </c>
      <c r="D29" s="1" t="s">
        <v>38</v>
      </c>
      <c r="O29" s="1" t="e">
        <f>VLOOKUP(InfoFlow[[#This Row],[Protocol Name]],Protocol[],2)</f>
        <v>#N/A</v>
      </c>
    </row>
    <row r="30" spans="1:15" x14ac:dyDescent="0.6">
      <c r="A30" s="1" t="s">
        <v>74</v>
      </c>
      <c r="B30" s="1">
        <v>29</v>
      </c>
      <c r="C30" s="1" t="s">
        <v>37</v>
      </c>
      <c r="D30" s="1" t="s">
        <v>38</v>
      </c>
      <c r="O30" s="1" t="e">
        <f>VLOOKUP(InfoFlow[[#This Row],[Protocol Name]],Protocol[],2)</f>
        <v>#N/A</v>
      </c>
    </row>
    <row r="31" spans="1:15" x14ac:dyDescent="0.6">
      <c r="A31" s="1" t="s">
        <v>75</v>
      </c>
      <c r="B31" s="1">
        <v>30</v>
      </c>
      <c r="C31" s="1" t="s">
        <v>37</v>
      </c>
      <c r="D31" s="1" t="s">
        <v>38</v>
      </c>
      <c r="O31" s="1" t="e">
        <f>VLOOKUP(InfoFlow[[#This Row],[Protocol Name]],Protocol[],2)</f>
        <v>#N/A</v>
      </c>
    </row>
    <row r="32" spans="1:15" x14ac:dyDescent="0.6">
      <c r="A32" s="1" t="s">
        <v>76</v>
      </c>
      <c r="B32" s="1">
        <v>31</v>
      </c>
      <c r="C32" s="1" t="s">
        <v>37</v>
      </c>
      <c r="D32" s="1" t="s">
        <v>38</v>
      </c>
      <c r="O32" s="1" t="e">
        <f>VLOOKUP(InfoFlow[[#This Row],[Protocol Name]],Protocol[],2)</f>
        <v>#N/A</v>
      </c>
    </row>
    <row r="33" spans="1:15" x14ac:dyDescent="0.6">
      <c r="A33" s="1" t="s">
        <v>77</v>
      </c>
      <c r="B33" s="1">
        <v>32</v>
      </c>
      <c r="C33" s="1" t="s">
        <v>37</v>
      </c>
      <c r="D33" s="1" t="s">
        <v>38</v>
      </c>
      <c r="O33" s="1" t="e">
        <f>VLOOKUP(InfoFlow[[#This Row],[Protocol Name]],Protocol[],2)</f>
        <v>#N/A</v>
      </c>
    </row>
    <row r="34" spans="1:15" x14ac:dyDescent="0.6">
      <c r="A34" s="1" t="s">
        <v>78</v>
      </c>
      <c r="B34" s="1">
        <v>33</v>
      </c>
      <c r="C34" s="1" t="s">
        <v>37</v>
      </c>
      <c r="D34" s="1" t="s">
        <v>38</v>
      </c>
      <c r="O34" s="1" t="e">
        <f>VLOOKUP(InfoFlow[[#This Row],[Protocol Name]],Protocol[],2)</f>
        <v>#N/A</v>
      </c>
    </row>
    <row r="35" spans="1:15" x14ac:dyDescent="0.6">
      <c r="A35" s="1" t="s">
        <v>79</v>
      </c>
      <c r="B35" s="1">
        <v>34</v>
      </c>
      <c r="C35" s="1" t="s">
        <v>37</v>
      </c>
      <c r="D35" s="1" t="s">
        <v>38</v>
      </c>
      <c r="O35" s="1" t="e">
        <f>VLOOKUP(InfoFlow[[#This Row],[Protocol Name]],Protocol[],2)</f>
        <v>#N/A</v>
      </c>
    </row>
    <row r="36" spans="1:15" x14ac:dyDescent="0.6">
      <c r="A36" s="1" t="s">
        <v>80</v>
      </c>
      <c r="B36" s="1">
        <v>35</v>
      </c>
      <c r="C36" s="1" t="s">
        <v>37</v>
      </c>
      <c r="D36" s="1" t="s">
        <v>38</v>
      </c>
      <c r="O36" s="1" t="e">
        <f>VLOOKUP(InfoFlow[[#This Row],[Protocol Name]],Protocol[],2)</f>
        <v>#N/A</v>
      </c>
    </row>
    <row r="37" spans="1:15" x14ac:dyDescent="0.6">
      <c r="A37" s="1" t="s">
        <v>81</v>
      </c>
      <c r="B37" s="1">
        <v>36</v>
      </c>
      <c r="C37" s="1" t="s">
        <v>37</v>
      </c>
      <c r="D37" s="1" t="s">
        <v>38</v>
      </c>
      <c r="O37" s="1" t="e">
        <f>VLOOKUP(InfoFlow[[#This Row],[Protocol Name]],Protocol[],2)</f>
        <v>#N/A</v>
      </c>
    </row>
    <row r="38" spans="1:15" x14ac:dyDescent="0.6">
      <c r="A38" s="1" t="s">
        <v>82</v>
      </c>
      <c r="B38" s="1">
        <v>37</v>
      </c>
      <c r="C38" s="1" t="s">
        <v>37</v>
      </c>
      <c r="D38" s="1" t="s">
        <v>38</v>
      </c>
      <c r="O38" s="1" t="e">
        <f>VLOOKUP(InfoFlow[[#This Row],[Protocol Name]],Protocol[],2)</f>
        <v>#N/A</v>
      </c>
    </row>
    <row r="39" spans="1:15" x14ac:dyDescent="0.6">
      <c r="A39" s="1" t="s">
        <v>83</v>
      </c>
      <c r="B39" s="1">
        <v>38</v>
      </c>
      <c r="C39" s="1" t="s">
        <v>37</v>
      </c>
      <c r="D39" s="1" t="s">
        <v>38</v>
      </c>
      <c r="O39" s="1" t="e">
        <f>VLOOKUP(InfoFlow[[#This Row],[Protocol Name]],Protocol[],2)</f>
        <v>#N/A</v>
      </c>
    </row>
    <row r="40" spans="1:15" x14ac:dyDescent="0.6">
      <c r="A40" s="1" t="s">
        <v>84</v>
      </c>
      <c r="B40" s="1">
        <v>39</v>
      </c>
      <c r="C40" s="1" t="s">
        <v>37</v>
      </c>
      <c r="D40" s="1" t="s">
        <v>38</v>
      </c>
      <c r="O40" s="1" t="e">
        <f>VLOOKUP(InfoFlow[[#This Row],[Protocol Name]],Protocol[],2)</f>
        <v>#N/A</v>
      </c>
    </row>
    <row r="41" spans="1:15" x14ac:dyDescent="0.6">
      <c r="A41" s="1" t="s">
        <v>85</v>
      </c>
      <c r="B41" s="1">
        <v>40</v>
      </c>
      <c r="C41" s="1" t="s">
        <v>37</v>
      </c>
      <c r="D41" s="1" t="s">
        <v>38</v>
      </c>
      <c r="O41" s="1" t="e">
        <f>VLOOKUP(InfoFlow[[#This Row],[Protocol Name]],Protocol[],2)</f>
        <v>#N/A</v>
      </c>
    </row>
  </sheetData>
  <dataValidations count="6">
    <dataValidation type="list" allowBlank="1" showInputMessage="1" showErrorMessage="1" sqref="K2:K41">
      <formula1>_Initiator</formula1>
    </dataValidation>
    <dataValidation type="list" allowBlank="1" showInputMessage="1" showErrorMessage="1" sqref="L2:L41">
      <formula1>_Exchange</formula1>
    </dataValidation>
    <dataValidation type="list" allowBlank="1" showInputMessage="1" showErrorMessage="1" sqref="M2:M41">
      <formula1>_Type</formula1>
    </dataValidation>
    <dataValidation type="list" allowBlank="1" showInputMessage="1" showErrorMessage="1" sqref="Q2:Q41">
      <formula1>_Status</formula1>
    </dataValidation>
    <dataValidation type="list" allowBlank="1" showInputMessage="1" showErrorMessage="1" sqref="P2:P41">
      <formula1>_Format</formula1>
    </dataValidation>
    <dataValidation type="list" allowBlank="1" showInputMessage="1" showErrorMessage="1" sqref="N2:N41">
      <formula1>_ProtocolName</formula1>
    </dataValidation>
  </dataValidations>
  <pageMargins left="0.25" right="0.25" top="0.75" bottom="0.75" header="0.3" footer="0.3"/>
  <pageSetup orientation="landscape" r:id="rId1"/>
  <headerFooter>
    <oddHeader>&amp;L&amp;"EMprint Regular,Regular"&amp;16&amp;K3A397BTitle&amp;R&amp;G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O20"/>
  <sheetViews>
    <sheetView showGridLines="0" zoomScale="130" zoomScaleNormal="130" workbookViewId="0">
      <selection activeCell="A2" sqref="A2"/>
    </sheetView>
  </sheetViews>
  <sheetFormatPr defaultColWidth="11.25" defaultRowHeight="15.6" x14ac:dyDescent="0.6"/>
  <cols>
    <col min="1" max="1" width="2.59765625" style="1" customWidth="1"/>
    <col min="2" max="2" width="17" style="1" bestFit="1" customWidth="1"/>
    <col min="3" max="3" width="11.25" style="1"/>
    <col min="4" max="4" width="4.59765625" style="1" customWidth="1"/>
    <col min="5" max="5" width="39.75" style="1" bestFit="1" customWidth="1"/>
    <col min="6" max="6" width="11.25" style="1"/>
    <col min="7" max="7" width="4.59765625" style="1" customWidth="1"/>
    <col min="8" max="8" width="39.75" style="1" bestFit="1" customWidth="1"/>
    <col min="9" max="9" width="11.25" style="1"/>
    <col min="10" max="10" width="4.59765625" style="1" customWidth="1"/>
    <col min="11" max="11" width="15.84765625" style="1" bestFit="1" customWidth="1"/>
    <col min="12" max="12" width="11.25" style="1"/>
    <col min="13" max="13" width="4.59765625" style="1" customWidth="1"/>
    <col min="14" max="14" width="23.25" style="1" bestFit="1" customWidth="1"/>
    <col min="15" max="15" width="10.25" style="1" bestFit="1" customWidth="1"/>
    <col min="16" max="16384" width="11.25" style="1"/>
  </cols>
  <sheetData>
    <row r="1" spans="2:15" x14ac:dyDescent="0.6">
      <c r="N1" s="14" t="s">
        <v>86</v>
      </c>
      <c r="O1" s="15"/>
    </row>
    <row r="2" spans="2:15" x14ac:dyDescent="0.6">
      <c r="B2" s="1" t="s">
        <v>33</v>
      </c>
      <c r="C2" s="15" t="s">
        <v>87</v>
      </c>
      <c r="E2" s="1" t="s">
        <v>19</v>
      </c>
      <c r="F2" s="15" t="s">
        <v>87</v>
      </c>
      <c r="H2" s="1" t="s">
        <v>20</v>
      </c>
      <c r="I2" s="15" t="s">
        <v>87</v>
      </c>
      <c r="J2" s="15"/>
      <c r="K2" s="15" t="s">
        <v>21</v>
      </c>
      <c r="L2" s="15" t="s">
        <v>87</v>
      </c>
      <c r="N2" s="1" t="s">
        <v>31</v>
      </c>
      <c r="O2" s="15" t="s">
        <v>87</v>
      </c>
    </row>
    <row r="3" spans="2:15" x14ac:dyDescent="0.6">
      <c r="B3" s="1" t="s">
        <v>88</v>
      </c>
      <c r="C3" s="15">
        <f>COUNTIF(InfoFlow[Status],StatusTable[Status])</f>
        <v>0</v>
      </c>
      <c r="E3" s="1" t="str">
        <f>InfoFlow[Source Application]</f>
        <v>Source physical application component name</v>
      </c>
      <c r="F3" s="15">
        <f>COUNTIF(InfoFlow[[Source Application]:[Destination Application]],ApplicationTable[Source Application])</f>
        <v>40</v>
      </c>
      <c r="H3" s="1" t="str">
        <f>InfoFlow[Destination Application]</f>
        <v>Destination physical application component name</v>
      </c>
      <c r="I3" s="15">
        <f>COUNTIF(InfoFlow[[Source Application]:[Destination Application]],ApplicationTable21[Destination Application])</f>
        <v>40</v>
      </c>
      <c r="J3" s="15"/>
      <c r="K3" s="16">
        <f>InfoFlow[Data Entity 1]</f>
        <v>0</v>
      </c>
      <c r="L3" s="15">
        <f>COUNTIF(InfoFlow[Data Entity 1],Table21[Data Entity 1])</f>
        <v>0</v>
      </c>
      <c r="N3" s="1" t="s">
        <v>89</v>
      </c>
      <c r="O3" s="15">
        <f>COUNTIF(InfoFlow[Protocol Name],ProtocolTable[Protocol])</f>
        <v>0</v>
      </c>
    </row>
    <row r="4" spans="2:15" x14ac:dyDescent="0.6">
      <c r="B4" s="1" t="s">
        <v>90</v>
      </c>
      <c r="C4" s="15">
        <f>COUNTIF(InfoFlow[Status],StatusTable[Status])</f>
        <v>0</v>
      </c>
      <c r="E4" s="1" t="str">
        <f>InfoFlow[Source Application]</f>
        <v>Source physical application component name</v>
      </c>
      <c r="F4" s="15">
        <f>COUNTIF(InfoFlow[[Source Application]:[Destination Application]],ApplicationTable[Source Application])</f>
        <v>40</v>
      </c>
      <c r="H4" s="1" t="str">
        <f>InfoFlow[Destination Application]</f>
        <v>Destination physical application component name</v>
      </c>
      <c r="I4" s="15">
        <f>COUNTIF(InfoFlow[[Source Application]:[Destination Application]],ApplicationTable21[Destination Application])</f>
        <v>40</v>
      </c>
      <c r="J4" s="15"/>
      <c r="K4" s="16">
        <f>InfoFlow[Data Entity 1]</f>
        <v>0</v>
      </c>
      <c r="L4" s="15">
        <f>COUNTIF(InfoFlow[Data Entity 1],Table21[Data Entity 1])</f>
        <v>0</v>
      </c>
      <c r="N4" s="1" t="s">
        <v>91</v>
      </c>
      <c r="O4" s="15">
        <f>COUNTIF(InfoFlow[Protocol Name],ProtocolTable[Protocol])</f>
        <v>0</v>
      </c>
    </row>
    <row r="5" spans="2:15" x14ac:dyDescent="0.6">
      <c r="B5" s="1" t="s">
        <v>92</v>
      </c>
      <c r="C5" s="15">
        <f>COUNTIF(InfoFlow[Status],StatusTable[Status])</f>
        <v>0</v>
      </c>
      <c r="E5" s="1" t="str">
        <f>InfoFlow[Source Application]</f>
        <v>Source physical application component name</v>
      </c>
      <c r="F5" s="15">
        <f>COUNTIF(InfoFlow[[Source Application]:[Destination Application]],ApplicationTable[Source Application])</f>
        <v>40</v>
      </c>
      <c r="H5" s="1" t="str">
        <f>InfoFlow[Destination Application]</f>
        <v>Destination physical application component name</v>
      </c>
      <c r="I5" s="15">
        <f>COUNTIF(InfoFlow[[Source Application]:[Destination Application]],ApplicationTable21[Destination Application])</f>
        <v>40</v>
      </c>
      <c r="J5" s="15"/>
      <c r="K5" s="16">
        <f>InfoFlow[Data Entity 1]</f>
        <v>0</v>
      </c>
      <c r="L5" s="15">
        <f>COUNTIF(InfoFlow[Data Entity 1],Table21[Data Entity 1])</f>
        <v>0</v>
      </c>
      <c r="N5" s="1" t="s">
        <v>93</v>
      </c>
      <c r="O5" s="15">
        <f>COUNTIF(InfoFlow[Protocol Name],ProtocolTable[Protocol])</f>
        <v>0</v>
      </c>
    </row>
    <row r="6" spans="2:15" x14ac:dyDescent="0.6">
      <c r="B6" s="1" t="s">
        <v>94</v>
      </c>
      <c r="C6" s="15">
        <f>COUNTIF(InfoFlow[Status],StatusTable[Status])</f>
        <v>0</v>
      </c>
      <c r="E6" s="1" t="str">
        <f>InfoFlow[Source Application]</f>
        <v>Source physical application component name</v>
      </c>
      <c r="F6" s="15">
        <f>COUNTIF(InfoFlow[[Source Application]:[Destination Application]],ApplicationTable[Source Application])</f>
        <v>40</v>
      </c>
      <c r="H6" s="1" t="str">
        <f>InfoFlow[Destination Application]</f>
        <v>Destination physical application component name</v>
      </c>
      <c r="I6" s="15">
        <f>COUNTIF(InfoFlow[[Source Application]:[Destination Application]],ApplicationTable21[Destination Application])</f>
        <v>40</v>
      </c>
      <c r="J6" s="15"/>
      <c r="K6" s="16">
        <f>InfoFlow[Data Entity 1]</f>
        <v>0</v>
      </c>
      <c r="L6" s="15">
        <f>COUNTIF(InfoFlow[Data Entity 1],Table21[Data Entity 1])</f>
        <v>0</v>
      </c>
      <c r="N6" s="1" t="s">
        <v>95</v>
      </c>
      <c r="O6" s="15">
        <f>COUNTIF(InfoFlow[Protocol Name],ProtocolTable[Protocol])</f>
        <v>0</v>
      </c>
    </row>
    <row r="7" spans="2:15" x14ac:dyDescent="0.6">
      <c r="B7" s="1" t="s">
        <v>96</v>
      </c>
      <c r="C7" s="15">
        <f>COUNTIF(InfoFlow[Status],StatusTable[Status])</f>
        <v>0</v>
      </c>
      <c r="E7" s="1" t="str">
        <f>InfoFlow[Source Application]</f>
        <v>Source physical application component name</v>
      </c>
      <c r="F7" s="15">
        <f>COUNTIF(InfoFlow[[Source Application]:[Destination Application]],ApplicationTable[Source Application])</f>
        <v>40</v>
      </c>
      <c r="H7" s="1" t="str">
        <f>InfoFlow[Destination Application]</f>
        <v>Destination physical application component name</v>
      </c>
      <c r="I7" s="15">
        <f>COUNTIF(InfoFlow[[Source Application]:[Destination Application]],ApplicationTable21[Destination Application])</f>
        <v>40</v>
      </c>
      <c r="J7" s="15"/>
      <c r="K7" s="16">
        <f>InfoFlow[Data Entity 1]</f>
        <v>0</v>
      </c>
      <c r="L7" s="15">
        <f>COUNTIF(InfoFlow[Data Entity 1],Table21[Data Entity 1])</f>
        <v>0</v>
      </c>
      <c r="N7" s="1" t="s">
        <v>97</v>
      </c>
      <c r="O7" s="15">
        <f>COUNTIF(InfoFlow[Protocol Name],ProtocolTable[Protocol])</f>
        <v>0</v>
      </c>
    </row>
    <row r="8" spans="2:15" x14ac:dyDescent="0.6">
      <c r="E8" s="1" t="str">
        <f>InfoFlow[Source Application]</f>
        <v>Source physical application component name</v>
      </c>
      <c r="F8" s="15">
        <f>COUNTIF(InfoFlow[[Source Application]:[Destination Application]],ApplicationTable[Source Application])</f>
        <v>40</v>
      </c>
      <c r="H8" s="1" t="str">
        <f>InfoFlow[Destination Application]</f>
        <v>Destination physical application component name</v>
      </c>
      <c r="I8" s="15">
        <f>COUNTIF(InfoFlow[[Source Application]:[Destination Application]],ApplicationTable21[Destination Application])</f>
        <v>40</v>
      </c>
      <c r="J8" s="15"/>
      <c r="K8" s="16">
        <f>InfoFlow[Data Entity 1]</f>
        <v>0</v>
      </c>
      <c r="L8" s="15">
        <f>COUNTIF(InfoFlow[Data Entity 1],Table21[Data Entity 1])</f>
        <v>0</v>
      </c>
      <c r="N8" s="1" t="s">
        <v>98</v>
      </c>
      <c r="O8" s="15">
        <f>COUNTIF(InfoFlow[Protocol Name],ProtocolTable[Protocol])</f>
        <v>0</v>
      </c>
    </row>
    <row r="9" spans="2:15" x14ac:dyDescent="0.6">
      <c r="E9" s="1" t="str">
        <f>InfoFlow[Source Application]</f>
        <v>Source physical application component name</v>
      </c>
      <c r="F9" s="15">
        <f>COUNTIF(InfoFlow[[Source Application]:[Destination Application]],ApplicationTable[Source Application])</f>
        <v>40</v>
      </c>
      <c r="H9" s="1" t="str">
        <f>InfoFlow[Destination Application]</f>
        <v>Destination physical application component name</v>
      </c>
      <c r="I9" s="15">
        <f>COUNTIF(InfoFlow[[Source Application]:[Destination Application]],ApplicationTable21[Destination Application])</f>
        <v>40</v>
      </c>
      <c r="J9" s="15"/>
      <c r="K9" s="16">
        <f>InfoFlow[Data Entity 1]</f>
        <v>0</v>
      </c>
      <c r="L9" s="15">
        <f>COUNTIF(InfoFlow[Data Entity 1],Table21[Data Entity 1])</f>
        <v>0</v>
      </c>
      <c r="N9" s="1" t="s">
        <v>99</v>
      </c>
      <c r="O9" s="15">
        <f>COUNTIF(InfoFlow[Protocol Name],ProtocolTable[Protocol])</f>
        <v>0</v>
      </c>
    </row>
    <row r="10" spans="2:15" x14ac:dyDescent="0.6">
      <c r="B10" s="1" t="s">
        <v>27</v>
      </c>
      <c r="C10" s="15" t="s">
        <v>87</v>
      </c>
      <c r="E10" s="1" t="str">
        <f>InfoFlow[Source Application]</f>
        <v>Source physical application component name</v>
      </c>
      <c r="F10" s="15">
        <f>COUNTIF(InfoFlow[[Source Application]:[Destination Application]],ApplicationTable[Source Application])</f>
        <v>40</v>
      </c>
      <c r="H10" s="1" t="str">
        <f>InfoFlow[Destination Application]</f>
        <v>Destination physical application component name</v>
      </c>
      <c r="I10" s="15">
        <f>COUNTIF(InfoFlow[[Source Application]:[Destination Application]],ApplicationTable21[Destination Application])</f>
        <v>40</v>
      </c>
      <c r="J10" s="15"/>
      <c r="K10" s="16">
        <f>InfoFlow[Data Entity 1]</f>
        <v>0</v>
      </c>
      <c r="L10" s="15">
        <f>COUNTIF(InfoFlow[Data Entity 1],Table21[Data Entity 1])</f>
        <v>0</v>
      </c>
      <c r="N10" s="1" t="s">
        <v>100</v>
      </c>
      <c r="O10" s="15">
        <f>COUNTIF(InfoFlow[Protocol Name],ProtocolTable[Protocol])</f>
        <v>0</v>
      </c>
    </row>
    <row r="11" spans="2:15" x14ac:dyDescent="0.6">
      <c r="B11" s="1" t="s">
        <v>101</v>
      </c>
      <c r="C11" s="15">
        <f>COUNTIF(InfoFlow[Initiator],InitiatorTable[Initiator])</f>
        <v>0</v>
      </c>
      <c r="E11" s="1" t="str">
        <f>InfoFlow[Source Application]</f>
        <v>Source physical application component name</v>
      </c>
      <c r="F11" s="15">
        <f>COUNTIF(InfoFlow[[Source Application]:[Destination Application]],ApplicationTable[Source Application])</f>
        <v>40</v>
      </c>
      <c r="H11" s="1" t="str">
        <f>InfoFlow[Destination Application]</f>
        <v>Destination physical application component name</v>
      </c>
      <c r="I11" s="15">
        <f>COUNTIF(InfoFlow[[Source Application]:[Destination Application]],ApplicationTable21[Destination Application])</f>
        <v>40</v>
      </c>
      <c r="J11" s="15"/>
      <c r="K11" s="16">
        <f>InfoFlow[Data Entity 1]</f>
        <v>0</v>
      </c>
      <c r="L11" s="15">
        <f>COUNTIF(InfoFlow[Data Entity 1],Table21[Data Entity 1])</f>
        <v>0</v>
      </c>
      <c r="N11" s="1" t="s">
        <v>102</v>
      </c>
      <c r="O11" s="15">
        <f>COUNTIF(InfoFlow[Protocol Name],ProtocolTable[Protocol])</f>
        <v>0</v>
      </c>
    </row>
    <row r="12" spans="2:15" x14ac:dyDescent="0.6">
      <c r="B12" s="1" t="s">
        <v>103</v>
      </c>
      <c r="C12" s="15">
        <f>COUNTIF(InfoFlow[Initiator],InitiatorTable[Initiator])</f>
        <v>0</v>
      </c>
      <c r="E12" s="1" t="str">
        <f>InfoFlow[Source Application]</f>
        <v>Source physical application component name</v>
      </c>
      <c r="F12" s="15">
        <f>COUNTIF(InfoFlow[[Source Application]:[Destination Application]],ApplicationTable[Source Application])</f>
        <v>40</v>
      </c>
      <c r="H12" s="1" t="str">
        <f>InfoFlow[Destination Application]</f>
        <v>Destination physical application component name</v>
      </c>
      <c r="I12" s="15">
        <f>COUNTIF(InfoFlow[[Source Application]:[Destination Application]],ApplicationTable21[Destination Application])</f>
        <v>40</v>
      </c>
      <c r="J12" s="15"/>
      <c r="K12" s="16">
        <f>InfoFlow[Data Entity 1]</f>
        <v>0</v>
      </c>
      <c r="L12" s="15">
        <f>COUNTIF(InfoFlow[Data Entity 1],Table21[Data Entity 1])</f>
        <v>0</v>
      </c>
      <c r="N12" s="1" t="s">
        <v>104</v>
      </c>
      <c r="O12" s="15">
        <f>COUNTIF(InfoFlow[Protocol Name],ProtocolTable[Protocol])</f>
        <v>0</v>
      </c>
    </row>
    <row r="13" spans="2:15" x14ac:dyDescent="0.6">
      <c r="B13" s="1" t="s">
        <v>105</v>
      </c>
      <c r="C13" s="15">
        <f>COUNTIF(InfoFlow[Initiator],InitiatorTable[Initiator])</f>
        <v>0</v>
      </c>
      <c r="E13" s="1" t="str">
        <f>InfoFlow[Source Application]</f>
        <v>Source physical application component name</v>
      </c>
      <c r="F13" s="15">
        <f>COUNTIF(InfoFlow[[Source Application]:[Destination Application]],ApplicationTable[Source Application])</f>
        <v>40</v>
      </c>
      <c r="H13" s="1" t="str">
        <f>InfoFlow[Destination Application]</f>
        <v>Destination physical application component name</v>
      </c>
      <c r="I13" s="15">
        <f>COUNTIF(InfoFlow[[Source Application]:[Destination Application]],ApplicationTable21[Destination Application])</f>
        <v>40</v>
      </c>
      <c r="J13" s="15"/>
      <c r="K13" s="16">
        <f>InfoFlow[Data Entity 1]</f>
        <v>0</v>
      </c>
      <c r="L13" s="15">
        <f>COUNTIF(InfoFlow[Data Entity 1],Table21[Data Entity 1])</f>
        <v>0</v>
      </c>
      <c r="N13" s="1" t="s">
        <v>106</v>
      </c>
      <c r="O13" s="15">
        <f>COUNTIF(InfoFlow[Protocol Name],ProtocolTable[Protocol])</f>
        <v>0</v>
      </c>
    </row>
    <row r="14" spans="2:15" x14ac:dyDescent="0.6">
      <c r="B14" s="1" t="s">
        <v>107</v>
      </c>
      <c r="C14" s="15">
        <f>COUNTIF(InfoFlow[Initiator],InitiatorTable[Initiator])</f>
        <v>0</v>
      </c>
      <c r="E14" s="1" t="str">
        <f>InfoFlow[Source Application]</f>
        <v>Source physical application component name</v>
      </c>
      <c r="F14" s="15">
        <f>COUNTIF(InfoFlow[[Source Application]:[Destination Application]],ApplicationTable[Source Application])</f>
        <v>40</v>
      </c>
      <c r="H14" s="1" t="str">
        <f>InfoFlow[Destination Application]</f>
        <v>Destination physical application component name</v>
      </c>
      <c r="I14" s="15">
        <f>COUNTIF(InfoFlow[[Source Application]:[Destination Application]],ApplicationTable21[Destination Application])</f>
        <v>40</v>
      </c>
      <c r="J14" s="15"/>
      <c r="K14" s="16">
        <f>InfoFlow[Data Entity 1]</f>
        <v>0</v>
      </c>
      <c r="L14" s="15">
        <f>COUNTIF(InfoFlow[Data Entity 1],Table21[Data Entity 1])</f>
        <v>0</v>
      </c>
      <c r="N14" s="1" t="s">
        <v>108</v>
      </c>
      <c r="O14" s="15">
        <f>COUNTIF(InfoFlow[Protocol Name],ProtocolTable[Protocol])</f>
        <v>0</v>
      </c>
    </row>
    <row r="15" spans="2:15" x14ac:dyDescent="0.6">
      <c r="E15" s="1" t="str">
        <f>InfoFlow[Source Application]</f>
        <v>Source physical application component name</v>
      </c>
      <c r="F15" s="15">
        <f>COUNTIF(InfoFlow[[Source Application]:[Destination Application]],ApplicationTable[Source Application])</f>
        <v>40</v>
      </c>
      <c r="H15" s="1" t="str">
        <f>InfoFlow[Destination Application]</f>
        <v>Destination physical application component name</v>
      </c>
      <c r="I15" s="15">
        <f>COUNTIF(InfoFlow[[Source Application]:[Destination Application]],ApplicationTable21[Destination Application])</f>
        <v>40</v>
      </c>
      <c r="J15" s="15"/>
      <c r="K15" s="16">
        <f>InfoFlow[Data Entity 1]</f>
        <v>0</v>
      </c>
      <c r="L15" s="15">
        <f>COUNTIF(InfoFlow[Data Entity 1],Table21[Data Entity 1])</f>
        <v>0</v>
      </c>
      <c r="N15" s="1" t="s">
        <v>109</v>
      </c>
      <c r="O15" s="15">
        <f>COUNTIF(InfoFlow[Protocol Name],ProtocolTable[Protocol])</f>
        <v>0</v>
      </c>
    </row>
    <row r="16" spans="2:15" x14ac:dyDescent="0.6">
      <c r="E16" s="1" t="str">
        <f>InfoFlow[Source Application]</f>
        <v>Source physical application component name</v>
      </c>
      <c r="F16" s="15">
        <f>COUNTIF(InfoFlow[[Source Application]:[Destination Application]],ApplicationTable[Source Application])</f>
        <v>40</v>
      </c>
      <c r="H16" s="1" t="str">
        <f>InfoFlow[Destination Application]</f>
        <v>Destination physical application component name</v>
      </c>
      <c r="I16" s="15">
        <f>COUNTIF(InfoFlow[[Source Application]:[Destination Application]],ApplicationTable21[Destination Application])</f>
        <v>40</v>
      </c>
      <c r="J16" s="15"/>
      <c r="K16" s="16">
        <f>InfoFlow[Data Entity 1]</f>
        <v>0</v>
      </c>
      <c r="L16" s="15">
        <f>COUNTIF(InfoFlow[Data Entity 1],Table21[Data Entity 1])</f>
        <v>0</v>
      </c>
      <c r="N16" s="1" t="s">
        <v>110</v>
      </c>
      <c r="O16" s="15">
        <f>COUNTIF(InfoFlow[Protocol Name],ProtocolTable[Protocol])</f>
        <v>0</v>
      </c>
    </row>
    <row r="17" spans="5:15" x14ac:dyDescent="0.6">
      <c r="E17" s="1" t="str">
        <f>InfoFlow[Source Application]</f>
        <v>Source physical application component name</v>
      </c>
      <c r="F17" s="15">
        <f>COUNTIF(InfoFlow[[Source Application]:[Destination Application]],ApplicationTable[Source Application])</f>
        <v>40</v>
      </c>
      <c r="H17" s="1" t="str">
        <f>InfoFlow[Destination Application]</f>
        <v>Destination physical application component name</v>
      </c>
      <c r="I17" s="15">
        <f>COUNTIF(InfoFlow[[Source Application]:[Destination Application]],ApplicationTable21[Destination Application])</f>
        <v>40</v>
      </c>
      <c r="J17" s="15"/>
      <c r="K17" s="16">
        <f>InfoFlow[Data Entity 1]</f>
        <v>0</v>
      </c>
      <c r="L17" s="15">
        <f>COUNTIF(InfoFlow[Data Entity 1],Table21[Data Entity 1])</f>
        <v>0</v>
      </c>
      <c r="N17" s="1" t="s">
        <v>107</v>
      </c>
      <c r="O17" s="15">
        <f>COUNTIF(InfoFlow[Protocol Name],ProtocolTable[Protocol])</f>
        <v>0</v>
      </c>
    </row>
    <row r="18" spans="5:15" x14ac:dyDescent="0.6">
      <c r="E18" s="1" t="str">
        <f>InfoFlow[Source Application]</f>
        <v>Source physical application component name</v>
      </c>
      <c r="F18" s="15">
        <f>COUNTIF(InfoFlow[[Source Application]:[Destination Application]],ApplicationTable[Source Application])</f>
        <v>40</v>
      </c>
      <c r="H18" s="1" t="str">
        <f>InfoFlow[Destination Application]</f>
        <v>Destination physical application component name</v>
      </c>
      <c r="I18" s="15">
        <f>COUNTIF(InfoFlow[[Source Application]:[Destination Application]],ApplicationTable21[Destination Application])</f>
        <v>40</v>
      </c>
      <c r="J18" s="15"/>
      <c r="K18" s="16">
        <f>InfoFlow[Data Entity 1]</f>
        <v>0</v>
      </c>
      <c r="L18" s="15">
        <f>COUNTIF(InfoFlow[Data Entity 1],Table21[Data Entity 1])</f>
        <v>0</v>
      </c>
      <c r="N18" s="1" t="s">
        <v>41</v>
      </c>
      <c r="O18" s="15">
        <f>COUNTIF(InfoFlow[Protocol Name],ProtocolTable[Protocol])</f>
        <v>0</v>
      </c>
    </row>
    <row r="19" spans="5:15" x14ac:dyDescent="0.6">
      <c r="E19" s="1" t="str">
        <f>InfoFlow[Source Application]</f>
        <v>Source physical application component name</v>
      </c>
      <c r="F19" s="15">
        <f>COUNTIF(InfoFlow[[Source Application]:[Destination Application]],ApplicationTable[Source Application])</f>
        <v>40</v>
      </c>
      <c r="H19" s="1" t="str">
        <f>InfoFlow[Destination Application]</f>
        <v>Destination physical application component name</v>
      </c>
      <c r="I19" s="15">
        <f>COUNTIF(InfoFlow[[Source Application]:[Destination Application]],ApplicationTable21[Destination Application])</f>
        <v>40</v>
      </c>
      <c r="J19" s="15"/>
      <c r="K19" s="16">
        <f>InfoFlow[Data Entity 1]</f>
        <v>0</v>
      </c>
      <c r="L19" s="15">
        <f>COUNTIF(InfoFlow[Data Entity 1],Table21[Data Entity 1])</f>
        <v>0</v>
      </c>
      <c r="N19" s="1" t="s">
        <v>111</v>
      </c>
      <c r="O19" s="15">
        <f>COUNTIF(InfoFlow[Protocol Name],ProtocolTable[Protocol])</f>
        <v>0</v>
      </c>
    </row>
    <row r="20" spans="5:15" x14ac:dyDescent="0.6">
      <c r="N20" s="1" t="s">
        <v>112</v>
      </c>
      <c r="O20" s="15">
        <f>COUNTIF(InfoFlow[Protocol Name],ProtocolTable[Protocol])</f>
        <v>0</v>
      </c>
    </row>
  </sheetData>
  <dataValidations count="1">
    <dataValidation allowBlank="1" showInputMessage="1" sqref="E3:E19 H3:H19"/>
  </dataValidations>
  <pageMargins left="0.25" right="0.25" top="0.75" bottom="0.75" header="0.3" footer="0.3"/>
  <pageSetup orientation="landscape" r:id="rId1"/>
  <headerFooter>
    <oddHeader>&amp;L&amp;"EMprint Regular,Regular"&amp;16&amp;K3A397BTitle&amp;R&amp;G</oddHeader>
  </headerFooter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1"/>
  <sheetViews>
    <sheetView showGridLines="0" zoomScale="85" zoomScaleNormal="85" workbookViewId="0">
      <pane ySplit="1" topLeftCell="A2" activePane="bottomLeft" state="frozen"/>
      <selection pane="bottomLeft" activeCell="A2" sqref="A2:B2"/>
    </sheetView>
  </sheetViews>
  <sheetFormatPr defaultColWidth="11.25" defaultRowHeight="15.6" x14ac:dyDescent="0.6"/>
  <cols>
    <col min="1" max="1" width="16" style="8" bestFit="1" customWidth="1"/>
    <col min="2" max="2" width="75.59765625" style="8" customWidth="1"/>
    <col min="3" max="3" width="4.59765625" style="8" customWidth="1"/>
    <col min="4" max="4" width="16.25" style="8" bestFit="1" customWidth="1"/>
    <col min="5" max="5" width="75.59765625" style="8" customWidth="1"/>
    <col min="6" max="6" width="4.59765625" style="8" customWidth="1"/>
    <col min="7" max="7" width="16.25" style="8" bestFit="1" customWidth="1"/>
    <col min="8" max="8" width="75.59765625" style="8" customWidth="1"/>
    <col min="9" max="16384" width="11.25" style="8"/>
  </cols>
  <sheetData>
    <row r="1" spans="1:8" x14ac:dyDescent="0.6">
      <c r="A1" s="8" t="s">
        <v>17</v>
      </c>
      <c r="B1" s="8" t="s">
        <v>113</v>
      </c>
      <c r="D1" s="8" t="s">
        <v>114</v>
      </c>
      <c r="E1" s="8" t="s">
        <v>113</v>
      </c>
      <c r="G1" s="8" t="s">
        <v>114</v>
      </c>
      <c r="H1" s="8" t="s">
        <v>113</v>
      </c>
    </row>
    <row r="2" spans="1:8" ht="31.2" x14ac:dyDescent="0.6">
      <c r="A2" s="8" t="s">
        <v>36</v>
      </c>
      <c r="B2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2" s="8" t="s">
        <v>115</v>
      </c>
      <c r="E2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2" s="8" t="s">
        <v>116</v>
      </c>
      <c r="H2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3" spans="1:8" ht="31.2" x14ac:dyDescent="0.6">
      <c r="A3" s="8" t="s">
        <v>46</v>
      </c>
      <c r="B3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3" s="8" t="s">
        <v>117</v>
      </c>
      <c r="E3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3" s="8" t="s">
        <v>118</v>
      </c>
      <c r="H3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4" spans="1:8" ht="31.2" x14ac:dyDescent="0.6">
      <c r="A4" s="8" t="s">
        <v>48</v>
      </c>
      <c r="B4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4" s="8" t="s">
        <v>119</v>
      </c>
      <c r="E4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4" s="8" t="s">
        <v>120</v>
      </c>
      <c r="H4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5" spans="1:8" ht="31.2" x14ac:dyDescent="0.6">
      <c r="A5" s="8" t="s">
        <v>49</v>
      </c>
      <c r="B5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5" s="8" t="s">
        <v>121</v>
      </c>
      <c r="E5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5" s="8" t="s">
        <v>122</v>
      </c>
      <c r="H5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6" spans="1:8" ht="31.2" x14ac:dyDescent="0.6">
      <c r="A6" s="8" t="s">
        <v>50</v>
      </c>
      <c r="B6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6" s="8" t="s">
        <v>123</v>
      </c>
      <c r="E6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6" s="8" t="s">
        <v>124</v>
      </c>
      <c r="H6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7" spans="1:8" ht="31.2" x14ac:dyDescent="0.6">
      <c r="A7" s="8" t="s">
        <v>51</v>
      </c>
      <c r="B7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7" s="8" t="s">
        <v>125</v>
      </c>
      <c r="E7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7" s="8" t="s">
        <v>126</v>
      </c>
      <c r="H7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8" spans="1:8" ht="31.2" x14ac:dyDescent="0.6">
      <c r="A8" s="8" t="s">
        <v>52</v>
      </c>
      <c r="B8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8" s="8" t="s">
        <v>127</v>
      </c>
      <c r="E8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8" s="8" t="s">
        <v>128</v>
      </c>
      <c r="H8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9" spans="1:8" ht="31.2" x14ac:dyDescent="0.6">
      <c r="A9" s="8" t="s">
        <v>53</v>
      </c>
      <c r="B9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9" s="8" t="s">
        <v>129</v>
      </c>
      <c r="E9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9" s="8" t="s">
        <v>130</v>
      </c>
      <c r="H9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10" spans="1:8" ht="31.2" x14ac:dyDescent="0.6">
      <c r="A10" s="8" t="s">
        <v>54</v>
      </c>
      <c r="B10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10" s="8" t="s">
        <v>131</v>
      </c>
      <c r="E10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10" s="8" t="s">
        <v>132</v>
      </c>
      <c r="H10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11" spans="1:8" ht="31.2" x14ac:dyDescent="0.6">
      <c r="A11" s="8" t="s">
        <v>55</v>
      </c>
      <c r="B11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11" s="8" t="s">
        <v>133</v>
      </c>
      <c r="E11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11" s="8" t="s">
        <v>134</v>
      </c>
      <c r="H11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12" spans="1:8" ht="31.2" x14ac:dyDescent="0.6">
      <c r="A12" s="8" t="s">
        <v>56</v>
      </c>
      <c r="B12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12" s="8" t="s">
        <v>135</v>
      </c>
      <c r="E12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12" s="8" t="s">
        <v>136</v>
      </c>
      <c r="H12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13" spans="1:8" ht="31.2" x14ac:dyDescent="0.6">
      <c r="A13" s="8" t="s">
        <v>57</v>
      </c>
      <c r="B13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13" s="8" t="s">
        <v>137</v>
      </c>
      <c r="E13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13" s="8" t="s">
        <v>138</v>
      </c>
      <c r="H13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14" spans="1:8" ht="31.2" x14ac:dyDescent="0.6">
      <c r="A14" s="8" t="s">
        <v>58</v>
      </c>
      <c r="B14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14" s="8" t="s">
        <v>139</v>
      </c>
      <c r="E14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14" s="8" t="s">
        <v>140</v>
      </c>
      <c r="H14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15" spans="1:8" ht="31.2" x14ac:dyDescent="0.6">
      <c r="A15" s="8" t="s">
        <v>59</v>
      </c>
      <c r="B15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15" s="8" t="s">
        <v>141</v>
      </c>
      <c r="E15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15" s="8" t="s">
        <v>142</v>
      </c>
      <c r="H15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16" spans="1:8" ht="31.2" x14ac:dyDescent="0.6">
      <c r="A16" s="8" t="s">
        <v>60</v>
      </c>
      <c r="B16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16" s="8" t="s">
        <v>143</v>
      </c>
      <c r="E16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16" s="8" t="s">
        <v>144</v>
      </c>
      <c r="H16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17" spans="1:8" ht="31.2" x14ac:dyDescent="0.6">
      <c r="A17" s="8" t="s">
        <v>61</v>
      </c>
      <c r="B17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17" s="8" t="s">
        <v>145</v>
      </c>
      <c r="E17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17" s="8" t="s">
        <v>146</v>
      </c>
      <c r="H17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18" spans="1:8" ht="31.2" x14ac:dyDescent="0.6">
      <c r="A18" s="8" t="s">
        <v>62</v>
      </c>
      <c r="B18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18" s="8" t="s">
        <v>147</v>
      </c>
      <c r="E18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18" s="8" t="s">
        <v>148</v>
      </c>
      <c r="H18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19" spans="1:8" ht="31.2" x14ac:dyDescent="0.6">
      <c r="A19" s="8" t="s">
        <v>63</v>
      </c>
      <c r="B19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19" s="8" t="s">
        <v>149</v>
      </c>
      <c r="E19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19" s="8" t="s">
        <v>150</v>
      </c>
      <c r="H19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20" spans="1:8" ht="31.2" x14ac:dyDescent="0.6">
      <c r="A20" s="8" t="s">
        <v>64</v>
      </c>
      <c r="B20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20" s="8" t="s">
        <v>151</v>
      </c>
      <c r="E20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20" s="8" t="s">
        <v>152</v>
      </c>
      <c r="H20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21" spans="1:8" ht="31.2" x14ac:dyDescent="0.6">
      <c r="A21" s="8" t="s">
        <v>65</v>
      </c>
      <c r="B21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21" s="8" t="s">
        <v>153</v>
      </c>
      <c r="E21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21" s="8" t="s">
        <v>154</v>
      </c>
      <c r="H21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22" spans="1:8" ht="31.2" x14ac:dyDescent="0.6">
      <c r="A22" s="8" t="s">
        <v>66</v>
      </c>
      <c r="B22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22" s="8" t="s">
        <v>155</v>
      </c>
      <c r="E22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22" s="8" t="s">
        <v>156</v>
      </c>
      <c r="H22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23" spans="1:8" ht="31.2" x14ac:dyDescent="0.6">
      <c r="A23" s="8" t="s">
        <v>67</v>
      </c>
      <c r="B23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23" s="8" t="s">
        <v>157</v>
      </c>
      <c r="E23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23" s="8" t="s">
        <v>158</v>
      </c>
      <c r="H23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24" spans="1:8" ht="31.2" x14ac:dyDescent="0.6">
      <c r="A24" s="8" t="s">
        <v>68</v>
      </c>
      <c r="B24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24" s="8" t="s">
        <v>159</v>
      </c>
      <c r="E24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24" s="8" t="s">
        <v>160</v>
      </c>
      <c r="H24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25" spans="1:8" ht="31.2" x14ac:dyDescent="0.6">
      <c r="A25" s="8" t="s">
        <v>69</v>
      </c>
      <c r="B25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25" s="8" t="s">
        <v>161</v>
      </c>
      <c r="E25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25" s="8" t="s">
        <v>162</v>
      </c>
      <c r="H25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26" spans="1:8" ht="31.2" x14ac:dyDescent="0.6">
      <c r="A26" s="8" t="s">
        <v>70</v>
      </c>
      <c r="B26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26" s="8" t="s">
        <v>163</v>
      </c>
      <c r="E26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26" s="8" t="s">
        <v>164</v>
      </c>
      <c r="H26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27" spans="1:8" ht="31.2" x14ac:dyDescent="0.6">
      <c r="A27" s="8" t="s">
        <v>71</v>
      </c>
      <c r="B27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27" s="8" t="s">
        <v>165</v>
      </c>
      <c r="E27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27" s="8" t="s">
        <v>166</v>
      </c>
      <c r="H27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28" spans="1:8" ht="31.2" x14ac:dyDescent="0.6">
      <c r="A28" s="8" t="s">
        <v>72</v>
      </c>
      <c r="B28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28" s="8" t="s">
        <v>167</v>
      </c>
      <c r="E28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28" s="8" t="s">
        <v>168</v>
      </c>
      <c r="H28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29" spans="1:8" ht="31.2" x14ac:dyDescent="0.6">
      <c r="A29" s="8" t="s">
        <v>73</v>
      </c>
      <c r="B29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29" s="8" t="s">
        <v>169</v>
      </c>
      <c r="E29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29" s="8" t="s">
        <v>170</v>
      </c>
      <c r="H29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30" spans="1:8" ht="31.2" x14ac:dyDescent="0.6">
      <c r="A30" s="8" t="s">
        <v>74</v>
      </c>
      <c r="B30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30" s="8" t="s">
        <v>171</v>
      </c>
      <c r="E30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30" s="8" t="s">
        <v>172</v>
      </c>
      <c r="H30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31" spans="1:8" ht="31.2" x14ac:dyDescent="0.6">
      <c r="A31" s="8" t="s">
        <v>75</v>
      </c>
      <c r="B31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31" s="8" t="s">
        <v>173</v>
      </c>
      <c r="E31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31" s="8" t="s">
        <v>174</v>
      </c>
      <c r="H31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32" spans="1:8" ht="31.2" x14ac:dyDescent="0.6">
      <c r="A32" s="8" t="s">
        <v>76</v>
      </c>
      <c r="B32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32" s="8" t="s">
        <v>175</v>
      </c>
      <c r="E32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32" s="8" t="s">
        <v>176</v>
      </c>
      <c r="H32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33" spans="1:8" ht="31.2" x14ac:dyDescent="0.6">
      <c r="A33" s="8" t="s">
        <v>77</v>
      </c>
      <c r="B33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33" s="8" t="s">
        <v>177</v>
      </c>
      <c r="E33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33" s="8" t="s">
        <v>178</v>
      </c>
      <c r="H33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34" spans="1:8" ht="31.2" x14ac:dyDescent="0.6">
      <c r="A34" s="8" t="s">
        <v>78</v>
      </c>
      <c r="B34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34" s="8" t="s">
        <v>179</v>
      </c>
      <c r="E34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34" s="8" t="s">
        <v>180</v>
      </c>
      <c r="H34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35" spans="1:8" ht="31.2" x14ac:dyDescent="0.6">
      <c r="A35" s="8" t="s">
        <v>79</v>
      </c>
      <c r="B35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35" s="8" t="s">
        <v>181</v>
      </c>
      <c r="E35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35" s="8" t="s">
        <v>182</v>
      </c>
      <c r="H35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36" spans="1:8" ht="31.2" x14ac:dyDescent="0.6">
      <c r="A36" s="8" t="s">
        <v>80</v>
      </c>
      <c r="B36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36" s="8" t="s">
        <v>183</v>
      </c>
      <c r="E36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36" s="8" t="s">
        <v>184</v>
      </c>
      <c r="H36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37" spans="1:8" ht="31.2" x14ac:dyDescent="0.6">
      <c r="A37" s="8" t="s">
        <v>81</v>
      </c>
      <c r="B37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37" s="8" t="s">
        <v>185</v>
      </c>
      <c r="E37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37" s="8" t="s">
        <v>186</v>
      </c>
      <c r="H37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38" spans="1:8" ht="31.2" x14ac:dyDescent="0.6">
      <c r="A38" s="8" t="s">
        <v>82</v>
      </c>
      <c r="B38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38" s="8" t="s">
        <v>187</v>
      </c>
      <c r="E38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38" s="8" t="s">
        <v>188</v>
      </c>
      <c r="H38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39" spans="1:8" ht="31.2" x14ac:dyDescent="0.6">
      <c r="A39" s="8" t="s">
        <v>83</v>
      </c>
      <c r="B39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39" s="8" t="s">
        <v>189</v>
      </c>
      <c r="E39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39" s="8" t="s">
        <v>190</v>
      </c>
      <c r="H39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40" spans="1:8" ht="31.2" x14ac:dyDescent="0.6">
      <c r="A40" s="8" t="s">
        <v>84</v>
      </c>
      <c r="B40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40" s="8" t="s">
        <v>191</v>
      </c>
      <c r="E40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40" s="8" t="s">
        <v>192</v>
      </c>
      <c r="H40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  <row r="41" spans="1:8" ht="31.2" x14ac:dyDescent="0.6">
      <c r="A41" s="8" t="s">
        <v>85</v>
      </c>
      <c r="B41" s="8" t="str">
        <f>VLOOKUP(InfoFlowVisuals1[[#This Row],[Info Flow Id]],InfoFlow[[Info Flow Id]:[Source Application]],3,FALSE) &amp; " to " &amp; VLOOKUP(InfoFlowVisuals1[[#This Row],[Info Flow Id]],InfoFlow[[Info Flow Id]:[Destination Application]],4,FALSE)</f>
        <v>Source physical application component name to Destination physical application component name</v>
      </c>
      <c r="D41" s="8" t="s">
        <v>193</v>
      </c>
      <c r="E41" s="8" t="e">
        <f>VLOOKUP(ConversationVisuals2[[#This Row],[Conversation Id]],InfoFlow[[Info Flow Id]:[Source Application]],3,FALSE) &amp; " to " &amp; VLOOKUP(ConversationVisuals2[[#This Row],[Conversation Id]],InfoFlow[[Info Flow Id]:[Destination Application]],4,FALSE)</f>
        <v>#N/A</v>
      </c>
      <c r="G41" s="8" t="s">
        <v>194</v>
      </c>
      <c r="H41" s="8" t="e">
        <f>VLOOKUP(ConversationVisuals3[[#This Row],[Conversation Id]],InfoFlow[[Info Flow Id]:[Source Application]],3,FALSE) &amp; " to " &amp; VLOOKUP(ConversationVisuals3[[#This Row],[Conversation Id]],InfoFlow[[Info Flow Id]:[Destination Application]],4,FALSE)</f>
        <v>#N/A</v>
      </c>
    </row>
  </sheetData>
  <pageMargins left="0.25" right="0.25" top="0.75" bottom="0.75" header="0.3" footer="0.3"/>
  <pageSetup orientation="landscape" r:id="rId1"/>
  <headerFooter>
    <oddHeader>&amp;L&amp;"EMprint Regular,Regular"&amp;16&amp;K3A397BTitle&amp;R&amp;G</oddHead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N11"/>
  <sheetViews>
    <sheetView showGridLines="0" zoomScale="90" zoomScaleNormal="90" workbookViewId="0">
      <pane ySplit="1" topLeftCell="A2" activePane="bottomLeft" state="frozen"/>
      <selection pane="bottomLeft" activeCell="B2" sqref="B2"/>
    </sheetView>
  </sheetViews>
  <sheetFormatPr defaultColWidth="11.25" defaultRowHeight="15.6" x14ac:dyDescent="0.6"/>
  <cols>
    <col min="1" max="1" width="13.09765625" style="5" bestFit="1" customWidth="1"/>
    <col min="2" max="2" width="11.25" style="5" bestFit="1" customWidth="1"/>
    <col min="3" max="3" width="42" style="5" customWidth="1"/>
    <col min="4" max="4" width="46.75" style="5" customWidth="1"/>
    <col min="5" max="5" width="30.75" style="5" customWidth="1"/>
    <col min="6" max="6" width="55.25" style="5" customWidth="1"/>
    <col min="7" max="8" width="11.25" style="5"/>
    <col min="9" max="9" width="14.25" style="5" customWidth="1"/>
    <col min="10" max="10" width="16.25" style="5" customWidth="1"/>
    <col min="11" max="11" width="11.25" style="5"/>
    <col min="12" max="12" width="15.75" style="5" bestFit="1" customWidth="1"/>
    <col min="13" max="13" width="25.75" style="5" customWidth="1"/>
    <col min="14" max="14" width="17.09765625" style="5" customWidth="1"/>
    <col min="15" max="16384" width="11.25" style="5"/>
  </cols>
  <sheetData>
    <row r="1" spans="1:14" x14ac:dyDescent="0.6">
      <c r="A1" s="5" t="s">
        <v>17</v>
      </c>
      <c r="B1" s="5" t="s">
        <v>18</v>
      </c>
      <c r="C1" s="5" t="s">
        <v>19</v>
      </c>
      <c r="D1" s="5" t="s">
        <v>20</v>
      </c>
      <c r="E1" s="5" t="s">
        <v>195</v>
      </c>
      <c r="F1" s="5" t="s">
        <v>196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32</v>
      </c>
      <c r="L1" s="5" t="s">
        <v>33</v>
      </c>
      <c r="M1" s="5" t="s">
        <v>34</v>
      </c>
      <c r="N1" s="5" t="s">
        <v>35</v>
      </c>
    </row>
    <row r="2" spans="1:14" x14ac:dyDescent="0.6">
      <c r="A2" s="5" t="str">
        <f>IFERROR(InfoFlow[[#This Row],[Info Flow Id]],"")</f>
        <v>IF001</v>
      </c>
      <c r="B2" s="5">
        <f>IFERROR(InfoFlow[[#This Row],[Displayed Id]],"")</f>
        <v>1</v>
      </c>
      <c r="C2" s="5" t="str">
        <f>IFERROR(InfoFlow[[#This Row],[Source Application]],"")</f>
        <v>Source physical application component name</v>
      </c>
      <c r="D2" s="5" t="str">
        <f>IFERROR(InfoFlow[[#This Row],[Destination Application]],"")</f>
        <v>Destination physical application component name</v>
      </c>
      <c r="E2" s="5" t="str">
        <f>INDEX(InfoFlow[Type],MATCH(DataExport[[#This Row],[Info Flow Id]],InfoFlow[Info Flow Id],0)) &amp; "/" &amp; INDEX(InfoFlow[Protocol Name],MATCH(DataExport[[#This Row],[Info Flow Id]],InfoFlow[Info Flow Id],0)) &amp; "/" &amp; INDEX(InfoFlow[Format],MATCH(DataExport[[#This Row],[Info Flow Id]],InfoFlow[Info Flow Id],0))</f>
        <v>Event Driven/App-API/XML</v>
      </c>
      <c r="F2" s="5" t="str">
        <f>CONCATENATE(
INDEX(InfoFlow[Data Entity 1],MATCH(DataExport[[#This Row],[Info Flow Id]],InfoFlow[Info Flow Id],0)),
IF(INDEX(InfoFlow[Data Entity 2],MATCH(DataExport[[#This Row],[Info Flow Id]],InfoFlow[Info Flow Id],0)) = "", "",", " &amp; INDEX(InfoFlow[Data Entity 2],MATCH(DataExport[[#This Row],[Info Flow Id]],InfoFlow[Info Flow Id],0))),
IF(INDEX(InfoFlow[Data Entity 3],MATCH(DataExport[[#This Row],[Info Flow Id]],InfoFlow[Info Flow Id],0)) = "", "",", " &amp; INDEX(InfoFlow[Data Entity 3],MATCH(DataExport[[#This Row],[Info Flow Id]],InfoFlow[Info Flow Id],0))),
IF(INDEX(InfoFlow[Data Entity 4],MATCH(DataExport[[#This Row],[Info Flow Id]],InfoFlow[Info Flow Id],0)) = "", "",", " &amp; INDEX(InfoFlow[Data Entity 4],MATCH(DataExport[[#This Row],[Info Flow Id]],InfoFlow[Info Flow Id],0))),
IF(INDEX(InfoFlow[Data Entity 5],MATCH(DataExport[[#This Row],[Info Flow Id]],InfoFlow[Info Flow Id],0)) = "", "",", " &amp; INDEX(InfoFlow[Data Entity 5],MATCH(DataExport[[#This Row],[Info Flow Id]],InfoFlow[Info Flow Id],0))),
IF(INDEX(InfoFlow[Data Entity 6],MATCH(DataExport[[#This Row],[Info Flow Id]],InfoFlow[Info Flow Id],0)) = "", "",", " &amp; INDEX(InfoFlow[Data Entity 6],MATCH(DataExport[[#This Row],[Info Flow Id]],InfoFlow[Info Flow Id],0))))</f>
        <v>DE 1, DE 2</v>
      </c>
      <c r="G2" s="5">
        <f>INDEX(InfoFlow[Initiator],MATCH(DataExport[[#This Row],[Info Flow Id]],InfoFlow[Info Flow Id],0))</f>
        <v>0</v>
      </c>
      <c r="H2" s="5">
        <f>INDEX(InfoFlow[Exchange],MATCH(DataExport[[#This Row],[Info Flow Id]],InfoFlow[Info Flow Id],0))</f>
        <v>0</v>
      </c>
      <c r="I2" s="5" t="str">
        <f>INDEX(InfoFlow[Type],MATCH(DataExport[[#This Row],[Info Flow Id]],InfoFlow[Info Flow Id],0))</f>
        <v>Event Driven</v>
      </c>
      <c r="J2" s="5" t="str">
        <f>INDEX(InfoFlow[Protocol Name],MATCH(DataExport[[#This Row],[Info Flow Id]],InfoFlow[Info Flow Id],0))</f>
        <v>App-API</v>
      </c>
      <c r="K2" s="5" t="str">
        <f>INDEX(InfoFlow[Format],MATCH(DataExport[[#This Row],[Info Flow Id]],InfoFlow[Info Flow Id],0))</f>
        <v>XML</v>
      </c>
      <c r="L2" s="5">
        <f>INDEX(InfoFlow[Status],MATCH(DataExport[[#This Row],[Info Flow Id]],InfoFlow[Info Flow Id],0))</f>
        <v>0</v>
      </c>
      <c r="M2" s="5" t="str">
        <f>INDEX(InfoFlow[Description],MATCH(DataExport[[#This Row],[Info Flow Id]],InfoFlow[Info Flow Id],0))</f>
        <v>Enter description here</v>
      </c>
      <c r="N2" s="5" t="str">
        <f>INDEX(InfoFlow[Location],MATCH(DataExport[[#This Row],[Info Flow Id]],InfoFlow[Info Flow Id],0))</f>
        <v>Enter location here</v>
      </c>
    </row>
    <row r="3" spans="1:14" x14ac:dyDescent="0.6">
      <c r="A3" s="5" t="str">
        <f>IFERROR(InfoFlow[[#This Row],[Info Flow Id]],"")</f>
        <v>IF002</v>
      </c>
      <c r="B3" s="5">
        <f>IFERROR(InfoFlow[[#This Row],[Displayed Id]],"")</f>
        <v>2</v>
      </c>
      <c r="C3" s="5" t="str">
        <f>IFERROR(InfoFlow[[#This Row],[Source Application]],"")</f>
        <v>Source physical application component name</v>
      </c>
      <c r="D3" s="5" t="str">
        <f>IFERROR(InfoFlow[[#This Row],[Destination Application]],"")</f>
        <v>Destination physical application component name</v>
      </c>
      <c r="E3" s="5" t="str">
        <f>INDEX(InfoFlow[Type],MATCH(DataExport[[#This Row],[Info Flow Id]],InfoFlow[Info Flow Id],0)) &amp; "/" &amp; INDEX(InfoFlow[Protocol Name],MATCH(DataExport[[#This Row],[Info Flow Id]],InfoFlow[Info Flow Id],0)) &amp; "/" &amp; INDEX(InfoFlow[Format],MATCH(DataExport[[#This Row],[Info Flow Id]],InfoFlow[Info Flow Id],0))</f>
        <v>/App-SOAP/</v>
      </c>
      <c r="F3" s="5" t="str">
        <f>CONCATENATE(
INDEX(InfoFlow[Data Entity 1],MATCH(DataExport[[#This Row],[Info Flow Id]],InfoFlow[Info Flow Id],0)),
IF(INDEX(InfoFlow[Data Entity 2],MATCH(DataExport[[#This Row],[Info Flow Id]],InfoFlow[Info Flow Id],0)) = "", "",", " &amp; INDEX(InfoFlow[Data Entity 2],MATCH(DataExport[[#This Row],[Info Flow Id]],InfoFlow[Info Flow Id],0))),
IF(INDEX(InfoFlow[Data Entity 3],MATCH(DataExport[[#This Row],[Info Flow Id]],InfoFlow[Info Flow Id],0)) = "", "",", " &amp; INDEX(InfoFlow[Data Entity 3],MATCH(DataExport[[#This Row],[Info Flow Id]],InfoFlow[Info Flow Id],0))),
IF(INDEX(InfoFlow[Data Entity 4],MATCH(DataExport[[#This Row],[Info Flow Id]],InfoFlow[Info Flow Id],0)) = "", "",", " &amp; INDEX(InfoFlow[Data Entity 4],MATCH(DataExport[[#This Row],[Info Flow Id]],InfoFlow[Info Flow Id],0))),
IF(INDEX(InfoFlow[Data Entity 5],MATCH(DataExport[[#This Row],[Info Flow Id]],InfoFlow[Info Flow Id],0)) = "", "",", " &amp; INDEX(InfoFlow[Data Entity 5],MATCH(DataExport[[#This Row],[Info Flow Id]],InfoFlow[Info Flow Id],0))),
IF(INDEX(InfoFlow[Data Entity 6],MATCH(DataExport[[#This Row],[Info Flow Id]],InfoFlow[Info Flow Id],0)) = "", "",", " &amp; INDEX(InfoFlow[Data Entity 6],MATCH(DataExport[[#This Row],[Info Flow Id]],InfoFlow[Info Flow Id],0))))</f>
        <v/>
      </c>
      <c r="G3" s="5">
        <f>INDEX(InfoFlow[Initiator],MATCH(DataExport[[#This Row],[Info Flow Id]],InfoFlow[Info Flow Id],0))</f>
        <v>0</v>
      </c>
      <c r="H3" s="5">
        <f>INDEX(InfoFlow[Exchange],MATCH(DataExport[[#This Row],[Info Flow Id]],InfoFlow[Info Flow Id],0))</f>
        <v>0</v>
      </c>
      <c r="I3" s="5">
        <f>INDEX(InfoFlow[Type],MATCH(DataExport[[#This Row],[Info Flow Id]],InfoFlow[Info Flow Id],0))</f>
        <v>0</v>
      </c>
      <c r="J3" s="5" t="str">
        <f>INDEX(InfoFlow[Protocol Name],MATCH(DataExport[[#This Row],[Info Flow Id]],InfoFlow[Info Flow Id],0))</f>
        <v>App-SOAP</v>
      </c>
      <c r="K3" s="5">
        <f>INDEX(InfoFlow[Format],MATCH(DataExport[[#This Row],[Info Flow Id]],InfoFlow[Info Flow Id],0))</f>
        <v>0</v>
      </c>
      <c r="L3" s="5">
        <f>INDEX(InfoFlow[Status],MATCH(DataExport[[#This Row],[Info Flow Id]],InfoFlow[Info Flow Id],0))</f>
        <v>0</v>
      </c>
      <c r="M3" s="5" t="str">
        <f>INDEX(InfoFlow[Description],MATCH(DataExport[[#This Row],[Info Flow Id]],InfoFlow[Info Flow Id],0))</f>
        <v>Enter description here</v>
      </c>
      <c r="N3" s="5" t="str">
        <f>INDEX(InfoFlow[Location],MATCH(DataExport[[#This Row],[Info Flow Id]],InfoFlow[Info Flow Id],0))</f>
        <v>Enter location here</v>
      </c>
    </row>
    <row r="4" spans="1:14" x14ac:dyDescent="0.6">
      <c r="A4" s="5" t="str">
        <f>IFERROR(InfoFlow[[#This Row],[Info Flow Id]],"")</f>
        <v>IF003</v>
      </c>
      <c r="B4" s="5">
        <f>IFERROR(InfoFlow[[#This Row],[Displayed Id]],"")</f>
        <v>3</v>
      </c>
      <c r="C4" s="5" t="str">
        <f>IFERROR(InfoFlow[[#This Row],[Source Application]],"")</f>
        <v>Source physical application component name</v>
      </c>
      <c r="D4" s="5" t="str">
        <f>IFERROR(InfoFlow[[#This Row],[Destination Application]],"")</f>
        <v>Destination physical application component name</v>
      </c>
      <c r="E4" s="5" t="str">
        <f>INDEX(InfoFlow[Type],MATCH(DataExport[[#This Row],[Info Flow Id]],InfoFlow[Info Flow Id],0)) &amp; "/" &amp; INDEX(InfoFlow[Protocol Name],MATCH(DataExport[[#This Row],[Info Flow Id]],InfoFlow[Info Flow Id],0)) &amp; "/" &amp; INDEX(InfoFlow[Format],MATCH(DataExport[[#This Row],[Info Flow Id]],InfoFlow[Info Flow Id],0))</f>
        <v>//</v>
      </c>
      <c r="F4" s="5" t="str">
        <f>CONCATENATE(
INDEX(InfoFlow[Data Entity 1],MATCH(DataExport[[#This Row],[Info Flow Id]],InfoFlow[Info Flow Id],0)),
IF(INDEX(InfoFlow[Data Entity 2],MATCH(DataExport[[#This Row],[Info Flow Id]],InfoFlow[Info Flow Id],0)) = "", "",", " &amp; INDEX(InfoFlow[Data Entity 2],MATCH(DataExport[[#This Row],[Info Flow Id]],InfoFlow[Info Flow Id],0))),
IF(INDEX(InfoFlow[Data Entity 3],MATCH(DataExport[[#This Row],[Info Flow Id]],InfoFlow[Info Flow Id],0)) = "", "",", " &amp; INDEX(InfoFlow[Data Entity 3],MATCH(DataExport[[#This Row],[Info Flow Id]],InfoFlow[Info Flow Id],0))),
IF(INDEX(InfoFlow[Data Entity 4],MATCH(DataExport[[#This Row],[Info Flow Id]],InfoFlow[Info Flow Id],0)) = "", "",", " &amp; INDEX(InfoFlow[Data Entity 4],MATCH(DataExport[[#This Row],[Info Flow Id]],InfoFlow[Info Flow Id],0))),
IF(INDEX(InfoFlow[Data Entity 5],MATCH(DataExport[[#This Row],[Info Flow Id]],InfoFlow[Info Flow Id],0)) = "", "",", " &amp; INDEX(InfoFlow[Data Entity 5],MATCH(DataExport[[#This Row],[Info Flow Id]],InfoFlow[Info Flow Id],0))),
IF(INDEX(InfoFlow[Data Entity 6],MATCH(DataExport[[#This Row],[Info Flow Id]],InfoFlow[Info Flow Id],0)) = "", "",", " &amp; INDEX(InfoFlow[Data Entity 6],MATCH(DataExport[[#This Row],[Info Flow Id]],InfoFlow[Info Flow Id],0))))</f>
        <v/>
      </c>
      <c r="G4" s="5">
        <f>INDEX(InfoFlow[Initiator],MATCH(DataExport[[#This Row],[Info Flow Id]],InfoFlow[Info Flow Id],0))</f>
        <v>0</v>
      </c>
      <c r="H4" s="5">
        <f>INDEX(InfoFlow[Exchange],MATCH(DataExport[[#This Row],[Info Flow Id]],InfoFlow[Info Flow Id],0))</f>
        <v>0</v>
      </c>
      <c r="I4" s="5">
        <f>INDEX(InfoFlow[Type],MATCH(DataExport[[#This Row],[Info Flow Id]],InfoFlow[Info Flow Id],0))</f>
        <v>0</v>
      </c>
      <c r="J4" s="5">
        <f>INDEX(InfoFlow[Protocol Name],MATCH(DataExport[[#This Row],[Info Flow Id]],InfoFlow[Info Flow Id],0))</f>
        <v>0</v>
      </c>
      <c r="K4" s="5">
        <f>INDEX(InfoFlow[Format],MATCH(DataExport[[#This Row],[Info Flow Id]],InfoFlow[Info Flow Id],0))</f>
        <v>0</v>
      </c>
      <c r="L4" s="5">
        <f>INDEX(InfoFlow[Status],MATCH(DataExport[[#This Row],[Info Flow Id]],InfoFlow[Info Flow Id],0))</f>
        <v>0</v>
      </c>
      <c r="M4" s="5" t="str">
        <f>INDEX(InfoFlow[Description],MATCH(DataExport[[#This Row],[Info Flow Id]],InfoFlow[Info Flow Id],0))</f>
        <v>Enter description here</v>
      </c>
      <c r="N4" s="5" t="str">
        <f>INDEX(InfoFlow[Location],MATCH(DataExport[[#This Row],[Info Flow Id]],InfoFlow[Info Flow Id],0))</f>
        <v>Enter location here</v>
      </c>
    </row>
    <row r="5" spans="1:14" x14ac:dyDescent="0.6">
      <c r="A5" s="5" t="str">
        <f>IFERROR(InfoFlow[[#This Row],[Info Flow Id]],"")</f>
        <v>IF004</v>
      </c>
      <c r="B5" s="5">
        <f>IFERROR(InfoFlow[[#This Row],[Displayed Id]],"")</f>
        <v>4</v>
      </c>
      <c r="C5" s="5" t="str">
        <f>IFERROR(InfoFlow[[#This Row],[Source Application]],"")</f>
        <v>Source physical application component name</v>
      </c>
      <c r="D5" s="5" t="str">
        <f>IFERROR(InfoFlow[[#This Row],[Destination Application]],"")</f>
        <v>Destination physical application component name</v>
      </c>
      <c r="E5" s="5" t="str">
        <f>INDEX(InfoFlow[Type],MATCH(DataExport[[#This Row],[Info Flow Id]],InfoFlow[Info Flow Id],0)) &amp; "/" &amp; INDEX(InfoFlow[Protocol Name],MATCH(DataExport[[#This Row],[Info Flow Id]],InfoFlow[Info Flow Id],0)) &amp; "/" &amp; INDEX(InfoFlow[Format],MATCH(DataExport[[#This Row],[Info Flow Id]],InfoFlow[Info Flow Id],0))</f>
        <v>//</v>
      </c>
      <c r="F5" s="5" t="str">
        <f>CONCATENATE(
INDEX(InfoFlow[Data Entity 1],MATCH(DataExport[[#This Row],[Info Flow Id]],InfoFlow[Info Flow Id],0)),
IF(INDEX(InfoFlow[Data Entity 2],MATCH(DataExport[[#This Row],[Info Flow Id]],InfoFlow[Info Flow Id],0)) = "", "",", " &amp; INDEX(InfoFlow[Data Entity 2],MATCH(DataExport[[#This Row],[Info Flow Id]],InfoFlow[Info Flow Id],0))),
IF(INDEX(InfoFlow[Data Entity 3],MATCH(DataExport[[#This Row],[Info Flow Id]],InfoFlow[Info Flow Id],0)) = "", "",", " &amp; INDEX(InfoFlow[Data Entity 3],MATCH(DataExport[[#This Row],[Info Flow Id]],InfoFlow[Info Flow Id],0))),
IF(INDEX(InfoFlow[Data Entity 4],MATCH(DataExport[[#This Row],[Info Flow Id]],InfoFlow[Info Flow Id],0)) = "", "",", " &amp; INDEX(InfoFlow[Data Entity 4],MATCH(DataExport[[#This Row],[Info Flow Id]],InfoFlow[Info Flow Id],0))),
IF(INDEX(InfoFlow[Data Entity 5],MATCH(DataExport[[#This Row],[Info Flow Id]],InfoFlow[Info Flow Id],0)) = "", "",", " &amp; INDEX(InfoFlow[Data Entity 5],MATCH(DataExport[[#This Row],[Info Flow Id]],InfoFlow[Info Flow Id],0))),
IF(INDEX(InfoFlow[Data Entity 6],MATCH(DataExport[[#This Row],[Info Flow Id]],InfoFlow[Info Flow Id],0)) = "", "",", " &amp; INDEX(InfoFlow[Data Entity 6],MATCH(DataExport[[#This Row],[Info Flow Id]],InfoFlow[Info Flow Id],0))))</f>
        <v/>
      </c>
      <c r="G5" s="5">
        <f>INDEX(InfoFlow[Initiator],MATCH(DataExport[[#This Row],[Info Flow Id]],InfoFlow[Info Flow Id],0))</f>
        <v>0</v>
      </c>
      <c r="H5" s="5">
        <f>INDEX(InfoFlow[Exchange],MATCH(DataExport[[#This Row],[Info Flow Id]],InfoFlow[Info Flow Id],0))</f>
        <v>0</v>
      </c>
      <c r="I5" s="5">
        <f>INDEX(InfoFlow[Type],MATCH(DataExport[[#This Row],[Info Flow Id]],InfoFlow[Info Flow Id],0))</f>
        <v>0</v>
      </c>
      <c r="J5" s="5">
        <f>INDEX(InfoFlow[Protocol Name],MATCH(DataExport[[#This Row],[Info Flow Id]],InfoFlow[Info Flow Id],0))</f>
        <v>0</v>
      </c>
      <c r="K5" s="5">
        <f>INDEX(InfoFlow[Format],MATCH(DataExport[[#This Row],[Info Flow Id]],InfoFlow[Info Flow Id],0))</f>
        <v>0</v>
      </c>
      <c r="L5" s="5">
        <f>INDEX(InfoFlow[Status],MATCH(DataExport[[#This Row],[Info Flow Id]],InfoFlow[Info Flow Id],0))</f>
        <v>0</v>
      </c>
      <c r="M5" s="5" t="str">
        <f>INDEX(InfoFlow[Description],MATCH(DataExport[[#This Row],[Info Flow Id]],InfoFlow[Info Flow Id],0))</f>
        <v>Enter description here</v>
      </c>
      <c r="N5" s="5" t="str">
        <f>INDEX(InfoFlow[Location],MATCH(DataExport[[#This Row],[Info Flow Id]],InfoFlow[Info Flow Id],0))</f>
        <v>Enter location here</v>
      </c>
    </row>
    <row r="6" spans="1:14" x14ac:dyDescent="0.6">
      <c r="A6" s="5" t="str">
        <f>IFERROR(InfoFlow[[#This Row],[Info Flow Id]],"")</f>
        <v>IF005</v>
      </c>
      <c r="B6" s="5">
        <f>IFERROR(InfoFlow[[#This Row],[Displayed Id]],"")</f>
        <v>5</v>
      </c>
      <c r="C6" s="5" t="str">
        <f>IFERROR(InfoFlow[[#This Row],[Source Application]],"")</f>
        <v>Source physical application component name</v>
      </c>
      <c r="D6" s="5" t="str">
        <f>IFERROR(InfoFlow[[#This Row],[Destination Application]],"")</f>
        <v>Destination physical application component name</v>
      </c>
      <c r="E6" s="5" t="str">
        <f>INDEX(InfoFlow[Type],MATCH(DataExport[[#This Row],[Info Flow Id]],InfoFlow[Info Flow Id],0)) &amp; "/" &amp; INDEX(InfoFlow[Protocol Name],MATCH(DataExport[[#This Row],[Info Flow Id]],InfoFlow[Info Flow Id],0)) &amp; "/" &amp; INDEX(InfoFlow[Format],MATCH(DataExport[[#This Row],[Info Flow Id]],InfoFlow[Info Flow Id],0))</f>
        <v>//</v>
      </c>
      <c r="F6" s="5" t="str">
        <f>CONCATENATE(
INDEX(InfoFlow[Data Entity 1],MATCH(DataExport[[#This Row],[Info Flow Id]],InfoFlow[Info Flow Id],0)),
IF(INDEX(InfoFlow[Data Entity 2],MATCH(DataExport[[#This Row],[Info Flow Id]],InfoFlow[Info Flow Id],0)) = "", "",", " &amp; INDEX(InfoFlow[Data Entity 2],MATCH(DataExport[[#This Row],[Info Flow Id]],InfoFlow[Info Flow Id],0))),
IF(INDEX(InfoFlow[Data Entity 3],MATCH(DataExport[[#This Row],[Info Flow Id]],InfoFlow[Info Flow Id],0)) = "", "",", " &amp; INDEX(InfoFlow[Data Entity 3],MATCH(DataExport[[#This Row],[Info Flow Id]],InfoFlow[Info Flow Id],0))),
IF(INDEX(InfoFlow[Data Entity 4],MATCH(DataExport[[#This Row],[Info Flow Id]],InfoFlow[Info Flow Id],0)) = "", "",", " &amp; INDEX(InfoFlow[Data Entity 4],MATCH(DataExport[[#This Row],[Info Flow Id]],InfoFlow[Info Flow Id],0))),
IF(INDEX(InfoFlow[Data Entity 5],MATCH(DataExport[[#This Row],[Info Flow Id]],InfoFlow[Info Flow Id],0)) = "", "",", " &amp; INDEX(InfoFlow[Data Entity 5],MATCH(DataExport[[#This Row],[Info Flow Id]],InfoFlow[Info Flow Id],0))),
IF(INDEX(InfoFlow[Data Entity 6],MATCH(DataExport[[#This Row],[Info Flow Id]],InfoFlow[Info Flow Id],0)) = "", "",", " &amp; INDEX(InfoFlow[Data Entity 6],MATCH(DataExport[[#This Row],[Info Flow Id]],InfoFlow[Info Flow Id],0))))</f>
        <v/>
      </c>
      <c r="G6" s="5">
        <f>INDEX(InfoFlow[Initiator],MATCH(DataExport[[#This Row],[Info Flow Id]],InfoFlow[Info Flow Id],0))</f>
        <v>0</v>
      </c>
      <c r="H6" s="5">
        <f>INDEX(InfoFlow[Exchange],MATCH(DataExport[[#This Row],[Info Flow Id]],InfoFlow[Info Flow Id],0))</f>
        <v>0</v>
      </c>
      <c r="I6" s="5">
        <f>INDEX(InfoFlow[Type],MATCH(DataExport[[#This Row],[Info Flow Id]],InfoFlow[Info Flow Id],0))</f>
        <v>0</v>
      </c>
      <c r="J6" s="5">
        <f>INDEX(InfoFlow[Protocol Name],MATCH(DataExport[[#This Row],[Info Flow Id]],InfoFlow[Info Flow Id],0))</f>
        <v>0</v>
      </c>
      <c r="K6" s="5">
        <f>INDEX(InfoFlow[Format],MATCH(DataExport[[#This Row],[Info Flow Id]],InfoFlow[Info Flow Id],0))</f>
        <v>0</v>
      </c>
      <c r="L6" s="5">
        <f>INDEX(InfoFlow[Status],MATCH(DataExport[[#This Row],[Info Flow Id]],InfoFlow[Info Flow Id],0))</f>
        <v>0</v>
      </c>
      <c r="M6" s="5" t="str">
        <f>INDEX(InfoFlow[Description],MATCH(DataExport[[#This Row],[Info Flow Id]],InfoFlow[Info Flow Id],0))</f>
        <v>Enter description here</v>
      </c>
      <c r="N6" s="5" t="str">
        <f>INDEX(InfoFlow[Location],MATCH(DataExport[[#This Row],[Info Flow Id]],InfoFlow[Info Flow Id],0))</f>
        <v>Enter location here</v>
      </c>
    </row>
    <row r="7" spans="1:14" x14ac:dyDescent="0.6">
      <c r="A7" s="5" t="str">
        <f>IFERROR(InfoFlow[[#This Row],[Info Flow Id]],"")</f>
        <v>IF006</v>
      </c>
      <c r="B7" s="5">
        <f>IFERROR(InfoFlow[[#This Row],[Displayed Id]],"")</f>
        <v>6</v>
      </c>
      <c r="C7" s="5" t="str">
        <f>IFERROR(InfoFlow[[#This Row],[Source Application]],"")</f>
        <v>Source physical application component name</v>
      </c>
      <c r="D7" s="5" t="str">
        <f>IFERROR(InfoFlow[[#This Row],[Destination Application]],"")</f>
        <v>Destination physical application component name</v>
      </c>
      <c r="E7" s="5" t="str">
        <f>INDEX(InfoFlow[Type],MATCH(DataExport[[#This Row],[Info Flow Id]],InfoFlow[Info Flow Id],0)) &amp; "/" &amp; INDEX(InfoFlow[Protocol Name],MATCH(DataExport[[#This Row],[Info Flow Id]],InfoFlow[Info Flow Id],0)) &amp; "/" &amp; INDEX(InfoFlow[Format],MATCH(DataExport[[#This Row],[Info Flow Id]],InfoFlow[Info Flow Id],0))</f>
        <v>//</v>
      </c>
      <c r="F7" s="5" t="str">
        <f>CONCATENATE(
INDEX(InfoFlow[Data Entity 1],MATCH(DataExport[[#This Row],[Info Flow Id]],InfoFlow[Info Flow Id],0)),
IF(INDEX(InfoFlow[Data Entity 2],MATCH(DataExport[[#This Row],[Info Flow Id]],InfoFlow[Info Flow Id],0)) = "", "",", " &amp; INDEX(InfoFlow[Data Entity 2],MATCH(DataExport[[#This Row],[Info Flow Id]],InfoFlow[Info Flow Id],0))),
IF(INDEX(InfoFlow[Data Entity 3],MATCH(DataExport[[#This Row],[Info Flow Id]],InfoFlow[Info Flow Id],0)) = "", "",", " &amp; INDEX(InfoFlow[Data Entity 3],MATCH(DataExport[[#This Row],[Info Flow Id]],InfoFlow[Info Flow Id],0))),
IF(INDEX(InfoFlow[Data Entity 4],MATCH(DataExport[[#This Row],[Info Flow Id]],InfoFlow[Info Flow Id],0)) = "", "",", " &amp; INDEX(InfoFlow[Data Entity 4],MATCH(DataExport[[#This Row],[Info Flow Id]],InfoFlow[Info Flow Id],0))),
IF(INDEX(InfoFlow[Data Entity 5],MATCH(DataExport[[#This Row],[Info Flow Id]],InfoFlow[Info Flow Id],0)) = "", "",", " &amp; INDEX(InfoFlow[Data Entity 5],MATCH(DataExport[[#This Row],[Info Flow Id]],InfoFlow[Info Flow Id],0))),
IF(INDEX(InfoFlow[Data Entity 6],MATCH(DataExport[[#This Row],[Info Flow Id]],InfoFlow[Info Flow Id],0)) = "", "",", " &amp; INDEX(InfoFlow[Data Entity 6],MATCH(DataExport[[#This Row],[Info Flow Id]],InfoFlow[Info Flow Id],0))))</f>
        <v/>
      </c>
      <c r="G7" s="5">
        <f>INDEX(InfoFlow[Initiator],MATCH(DataExport[[#This Row],[Info Flow Id]],InfoFlow[Info Flow Id],0))</f>
        <v>0</v>
      </c>
      <c r="H7" s="5">
        <f>INDEX(InfoFlow[Exchange],MATCH(DataExport[[#This Row],[Info Flow Id]],InfoFlow[Info Flow Id],0))</f>
        <v>0</v>
      </c>
      <c r="I7" s="5">
        <f>INDEX(InfoFlow[Type],MATCH(DataExport[[#This Row],[Info Flow Id]],InfoFlow[Info Flow Id],0))</f>
        <v>0</v>
      </c>
      <c r="J7" s="5">
        <f>INDEX(InfoFlow[Protocol Name],MATCH(DataExport[[#This Row],[Info Flow Id]],InfoFlow[Info Flow Id],0))</f>
        <v>0</v>
      </c>
      <c r="K7" s="5">
        <f>INDEX(InfoFlow[Format],MATCH(DataExport[[#This Row],[Info Flow Id]],InfoFlow[Info Flow Id],0))</f>
        <v>0</v>
      </c>
      <c r="L7" s="5">
        <f>INDEX(InfoFlow[Status],MATCH(DataExport[[#This Row],[Info Flow Id]],InfoFlow[Info Flow Id],0))</f>
        <v>0</v>
      </c>
      <c r="M7" s="5" t="str">
        <f>INDEX(InfoFlow[Description],MATCH(DataExport[[#This Row],[Info Flow Id]],InfoFlow[Info Flow Id],0))</f>
        <v>Enter description here</v>
      </c>
      <c r="N7" s="5" t="str">
        <f>INDEX(InfoFlow[Location],MATCH(DataExport[[#This Row],[Info Flow Id]],InfoFlow[Info Flow Id],0))</f>
        <v>Enter location here</v>
      </c>
    </row>
    <row r="8" spans="1:14" x14ac:dyDescent="0.6">
      <c r="A8" s="5" t="str">
        <f>IFERROR(InfoFlow[[#This Row],[Info Flow Id]],"")</f>
        <v>IF007</v>
      </c>
      <c r="B8" s="5">
        <f>IFERROR(InfoFlow[[#This Row],[Displayed Id]],"")</f>
        <v>7</v>
      </c>
      <c r="C8" s="5" t="str">
        <f>IFERROR(InfoFlow[[#This Row],[Source Application]],"")</f>
        <v>Source physical application component name</v>
      </c>
      <c r="D8" s="5" t="str">
        <f>IFERROR(InfoFlow[[#This Row],[Destination Application]],"")</f>
        <v>Destination physical application component name</v>
      </c>
      <c r="E8" s="5" t="str">
        <f>INDEX(InfoFlow[Type],MATCH(DataExport[[#This Row],[Info Flow Id]],InfoFlow[Info Flow Id],0)) &amp; "/" &amp; INDEX(InfoFlow[Protocol Name],MATCH(DataExport[[#This Row],[Info Flow Id]],InfoFlow[Info Flow Id],0)) &amp; "/" &amp; INDEX(InfoFlow[Format],MATCH(DataExport[[#This Row],[Info Flow Id]],InfoFlow[Info Flow Id],0))</f>
        <v>//</v>
      </c>
      <c r="F8" s="5" t="str">
        <f>CONCATENATE(
INDEX(InfoFlow[Data Entity 1],MATCH(DataExport[[#This Row],[Info Flow Id]],InfoFlow[Info Flow Id],0)),
IF(INDEX(InfoFlow[Data Entity 2],MATCH(DataExport[[#This Row],[Info Flow Id]],InfoFlow[Info Flow Id],0)) = "", "",", " &amp; INDEX(InfoFlow[Data Entity 2],MATCH(DataExport[[#This Row],[Info Flow Id]],InfoFlow[Info Flow Id],0))),
IF(INDEX(InfoFlow[Data Entity 3],MATCH(DataExport[[#This Row],[Info Flow Id]],InfoFlow[Info Flow Id],0)) = "", "",", " &amp; INDEX(InfoFlow[Data Entity 3],MATCH(DataExport[[#This Row],[Info Flow Id]],InfoFlow[Info Flow Id],0))),
IF(INDEX(InfoFlow[Data Entity 4],MATCH(DataExport[[#This Row],[Info Flow Id]],InfoFlow[Info Flow Id],0)) = "", "",", " &amp; INDEX(InfoFlow[Data Entity 4],MATCH(DataExport[[#This Row],[Info Flow Id]],InfoFlow[Info Flow Id],0))),
IF(INDEX(InfoFlow[Data Entity 5],MATCH(DataExport[[#This Row],[Info Flow Id]],InfoFlow[Info Flow Id],0)) = "", "",", " &amp; INDEX(InfoFlow[Data Entity 5],MATCH(DataExport[[#This Row],[Info Flow Id]],InfoFlow[Info Flow Id],0))),
IF(INDEX(InfoFlow[Data Entity 6],MATCH(DataExport[[#This Row],[Info Flow Id]],InfoFlow[Info Flow Id],0)) = "", "",", " &amp; INDEX(InfoFlow[Data Entity 6],MATCH(DataExport[[#This Row],[Info Flow Id]],InfoFlow[Info Flow Id],0))))</f>
        <v/>
      </c>
      <c r="G8" s="5">
        <f>INDEX(InfoFlow[Initiator],MATCH(DataExport[[#This Row],[Info Flow Id]],InfoFlow[Info Flow Id],0))</f>
        <v>0</v>
      </c>
      <c r="H8" s="5">
        <f>INDEX(InfoFlow[Exchange],MATCH(DataExport[[#This Row],[Info Flow Id]],InfoFlow[Info Flow Id],0))</f>
        <v>0</v>
      </c>
      <c r="I8" s="5">
        <f>INDEX(InfoFlow[Type],MATCH(DataExport[[#This Row],[Info Flow Id]],InfoFlow[Info Flow Id],0))</f>
        <v>0</v>
      </c>
      <c r="J8" s="5">
        <f>INDEX(InfoFlow[Protocol Name],MATCH(DataExport[[#This Row],[Info Flow Id]],InfoFlow[Info Flow Id],0))</f>
        <v>0</v>
      </c>
      <c r="K8" s="5">
        <f>INDEX(InfoFlow[Format],MATCH(DataExport[[#This Row],[Info Flow Id]],InfoFlow[Info Flow Id],0))</f>
        <v>0</v>
      </c>
      <c r="L8" s="5">
        <f>INDEX(InfoFlow[Status],MATCH(DataExport[[#This Row],[Info Flow Id]],InfoFlow[Info Flow Id],0))</f>
        <v>0</v>
      </c>
      <c r="M8" s="5" t="str">
        <f>INDEX(InfoFlow[Description],MATCH(DataExport[[#This Row],[Info Flow Id]],InfoFlow[Info Flow Id],0))</f>
        <v>Enter description here</v>
      </c>
      <c r="N8" s="5" t="str">
        <f>INDEX(InfoFlow[Location],MATCH(DataExport[[#This Row],[Info Flow Id]],InfoFlow[Info Flow Id],0))</f>
        <v>Enter location here</v>
      </c>
    </row>
    <row r="9" spans="1:14" x14ac:dyDescent="0.6">
      <c r="A9" s="5" t="str">
        <f>IFERROR(InfoFlow[[#This Row],[Info Flow Id]],"")</f>
        <v>IF008</v>
      </c>
      <c r="B9" s="5">
        <f>IFERROR(InfoFlow[[#This Row],[Displayed Id]],"")</f>
        <v>8</v>
      </c>
      <c r="C9" s="5" t="str">
        <f>IFERROR(InfoFlow[[#This Row],[Source Application]],"")</f>
        <v>Source physical application component name</v>
      </c>
      <c r="D9" s="5" t="str">
        <f>IFERROR(InfoFlow[[#This Row],[Destination Application]],"")</f>
        <v>Destination physical application component name</v>
      </c>
      <c r="E9" s="5" t="str">
        <f>INDEX(InfoFlow[Type],MATCH(DataExport[[#This Row],[Info Flow Id]],InfoFlow[Info Flow Id],0)) &amp; "/" &amp; INDEX(InfoFlow[Protocol Name],MATCH(DataExport[[#This Row],[Info Flow Id]],InfoFlow[Info Flow Id],0)) &amp; "/" &amp; INDEX(InfoFlow[Format],MATCH(DataExport[[#This Row],[Info Flow Id]],InfoFlow[Info Flow Id],0))</f>
        <v>//</v>
      </c>
      <c r="F9" s="5" t="str">
        <f>CONCATENATE(
INDEX(InfoFlow[Data Entity 1],MATCH(DataExport[[#This Row],[Info Flow Id]],InfoFlow[Info Flow Id],0)),
IF(INDEX(InfoFlow[Data Entity 2],MATCH(DataExport[[#This Row],[Info Flow Id]],InfoFlow[Info Flow Id],0)) = "", "",", " &amp; INDEX(InfoFlow[Data Entity 2],MATCH(DataExport[[#This Row],[Info Flow Id]],InfoFlow[Info Flow Id],0))),
IF(INDEX(InfoFlow[Data Entity 3],MATCH(DataExport[[#This Row],[Info Flow Id]],InfoFlow[Info Flow Id],0)) = "", "",", " &amp; INDEX(InfoFlow[Data Entity 3],MATCH(DataExport[[#This Row],[Info Flow Id]],InfoFlow[Info Flow Id],0))),
IF(INDEX(InfoFlow[Data Entity 4],MATCH(DataExport[[#This Row],[Info Flow Id]],InfoFlow[Info Flow Id],0)) = "", "",", " &amp; INDEX(InfoFlow[Data Entity 4],MATCH(DataExport[[#This Row],[Info Flow Id]],InfoFlow[Info Flow Id],0))),
IF(INDEX(InfoFlow[Data Entity 5],MATCH(DataExport[[#This Row],[Info Flow Id]],InfoFlow[Info Flow Id],0)) = "", "",", " &amp; INDEX(InfoFlow[Data Entity 5],MATCH(DataExport[[#This Row],[Info Flow Id]],InfoFlow[Info Flow Id],0))),
IF(INDEX(InfoFlow[Data Entity 6],MATCH(DataExport[[#This Row],[Info Flow Id]],InfoFlow[Info Flow Id],0)) = "", "",", " &amp; INDEX(InfoFlow[Data Entity 6],MATCH(DataExport[[#This Row],[Info Flow Id]],InfoFlow[Info Flow Id],0))))</f>
        <v/>
      </c>
      <c r="G9" s="5">
        <f>INDEX(InfoFlow[Initiator],MATCH(DataExport[[#This Row],[Info Flow Id]],InfoFlow[Info Flow Id],0))</f>
        <v>0</v>
      </c>
      <c r="H9" s="5">
        <f>INDEX(InfoFlow[Exchange],MATCH(DataExport[[#This Row],[Info Flow Id]],InfoFlow[Info Flow Id],0))</f>
        <v>0</v>
      </c>
      <c r="I9" s="5">
        <f>INDEX(InfoFlow[Type],MATCH(DataExport[[#This Row],[Info Flow Id]],InfoFlow[Info Flow Id],0))</f>
        <v>0</v>
      </c>
      <c r="J9" s="5">
        <f>INDEX(InfoFlow[Protocol Name],MATCH(DataExport[[#This Row],[Info Flow Id]],InfoFlow[Info Flow Id],0))</f>
        <v>0</v>
      </c>
      <c r="K9" s="5">
        <f>INDEX(InfoFlow[Format],MATCH(DataExport[[#This Row],[Info Flow Id]],InfoFlow[Info Flow Id],0))</f>
        <v>0</v>
      </c>
      <c r="L9" s="5">
        <f>INDEX(InfoFlow[Status],MATCH(DataExport[[#This Row],[Info Flow Id]],InfoFlow[Info Flow Id],0))</f>
        <v>0</v>
      </c>
      <c r="M9" s="5" t="str">
        <f>INDEX(InfoFlow[Description],MATCH(DataExport[[#This Row],[Info Flow Id]],InfoFlow[Info Flow Id],0))</f>
        <v>Enter description here</v>
      </c>
      <c r="N9" s="5" t="str">
        <f>INDEX(InfoFlow[Location],MATCH(DataExport[[#This Row],[Info Flow Id]],InfoFlow[Info Flow Id],0))</f>
        <v>Enter location here</v>
      </c>
    </row>
    <row r="10" spans="1:14" x14ac:dyDescent="0.6">
      <c r="A10" s="5" t="str">
        <f>IFERROR(InfoFlow[[#This Row],[Info Flow Id]],"")</f>
        <v>IF009</v>
      </c>
      <c r="B10" s="5">
        <f>IFERROR(InfoFlow[[#This Row],[Displayed Id]],"")</f>
        <v>9</v>
      </c>
      <c r="C10" s="5" t="str">
        <f>IFERROR(InfoFlow[[#This Row],[Source Application]],"")</f>
        <v>Source physical application component name</v>
      </c>
      <c r="D10" s="5" t="str">
        <f>IFERROR(InfoFlow[[#This Row],[Destination Application]],"")</f>
        <v>Destination physical application component name</v>
      </c>
      <c r="E10" s="5" t="str">
        <f>INDEX(InfoFlow[Type],MATCH(DataExport[[#This Row],[Info Flow Id]],InfoFlow[Info Flow Id],0)) &amp; "/" &amp; INDEX(InfoFlow[Protocol Name],MATCH(DataExport[[#This Row],[Info Flow Id]],InfoFlow[Info Flow Id],0)) &amp; "/" &amp; INDEX(InfoFlow[Format],MATCH(DataExport[[#This Row],[Info Flow Id]],InfoFlow[Info Flow Id],0))</f>
        <v>//</v>
      </c>
      <c r="F10" s="5" t="str">
        <f>CONCATENATE(
INDEX(InfoFlow[Data Entity 1],MATCH(DataExport[[#This Row],[Info Flow Id]],InfoFlow[Info Flow Id],0)),
IF(INDEX(InfoFlow[Data Entity 2],MATCH(DataExport[[#This Row],[Info Flow Id]],InfoFlow[Info Flow Id],0)) = "", "",", " &amp; INDEX(InfoFlow[Data Entity 2],MATCH(DataExport[[#This Row],[Info Flow Id]],InfoFlow[Info Flow Id],0))),
IF(INDEX(InfoFlow[Data Entity 3],MATCH(DataExport[[#This Row],[Info Flow Id]],InfoFlow[Info Flow Id],0)) = "", "",", " &amp; INDEX(InfoFlow[Data Entity 3],MATCH(DataExport[[#This Row],[Info Flow Id]],InfoFlow[Info Flow Id],0))),
IF(INDEX(InfoFlow[Data Entity 4],MATCH(DataExport[[#This Row],[Info Flow Id]],InfoFlow[Info Flow Id],0)) = "", "",", " &amp; INDEX(InfoFlow[Data Entity 4],MATCH(DataExport[[#This Row],[Info Flow Id]],InfoFlow[Info Flow Id],0))),
IF(INDEX(InfoFlow[Data Entity 5],MATCH(DataExport[[#This Row],[Info Flow Id]],InfoFlow[Info Flow Id],0)) = "", "",", " &amp; INDEX(InfoFlow[Data Entity 5],MATCH(DataExport[[#This Row],[Info Flow Id]],InfoFlow[Info Flow Id],0))),
IF(INDEX(InfoFlow[Data Entity 6],MATCH(DataExport[[#This Row],[Info Flow Id]],InfoFlow[Info Flow Id],0)) = "", "",", " &amp; INDEX(InfoFlow[Data Entity 6],MATCH(DataExport[[#This Row],[Info Flow Id]],InfoFlow[Info Flow Id],0))))</f>
        <v/>
      </c>
      <c r="G10" s="5">
        <f>INDEX(InfoFlow[Initiator],MATCH(DataExport[[#This Row],[Info Flow Id]],InfoFlow[Info Flow Id],0))</f>
        <v>0</v>
      </c>
      <c r="H10" s="5">
        <f>INDEX(InfoFlow[Exchange],MATCH(DataExport[[#This Row],[Info Flow Id]],InfoFlow[Info Flow Id],0))</f>
        <v>0</v>
      </c>
      <c r="I10" s="5">
        <f>INDEX(InfoFlow[Type],MATCH(DataExport[[#This Row],[Info Flow Id]],InfoFlow[Info Flow Id],0))</f>
        <v>0</v>
      </c>
      <c r="J10" s="5">
        <f>INDEX(InfoFlow[Protocol Name],MATCH(DataExport[[#This Row],[Info Flow Id]],InfoFlow[Info Flow Id],0))</f>
        <v>0</v>
      </c>
      <c r="K10" s="5">
        <f>INDEX(InfoFlow[Format],MATCH(DataExport[[#This Row],[Info Flow Id]],InfoFlow[Info Flow Id],0))</f>
        <v>0</v>
      </c>
      <c r="L10" s="5">
        <f>INDEX(InfoFlow[Status],MATCH(DataExport[[#This Row],[Info Flow Id]],InfoFlow[Info Flow Id],0))</f>
        <v>0</v>
      </c>
      <c r="M10" s="5" t="str">
        <f>INDEX(InfoFlow[Description],MATCH(DataExport[[#This Row],[Info Flow Id]],InfoFlow[Info Flow Id],0))</f>
        <v>Enter description here</v>
      </c>
      <c r="N10" s="5" t="str">
        <f>INDEX(InfoFlow[Location],MATCH(DataExport[[#This Row],[Info Flow Id]],InfoFlow[Info Flow Id],0))</f>
        <v>Enter location here</v>
      </c>
    </row>
    <row r="11" spans="1:14" x14ac:dyDescent="0.6">
      <c r="A11" s="5" t="str">
        <f>IFERROR(InfoFlow[[#This Row],[Info Flow Id]],"")</f>
        <v>IF010</v>
      </c>
      <c r="B11" s="5">
        <f>IFERROR(InfoFlow[[#This Row],[Displayed Id]],"")</f>
        <v>10</v>
      </c>
      <c r="C11" s="5" t="str">
        <f>IFERROR(InfoFlow[[#This Row],[Source Application]],"")</f>
        <v>Source physical application component name</v>
      </c>
      <c r="D11" s="5" t="str">
        <f>IFERROR(InfoFlow[[#This Row],[Destination Application]],"")</f>
        <v>Destination physical application component name</v>
      </c>
      <c r="E11" s="5" t="str">
        <f>INDEX(InfoFlow[Type],MATCH(DataExport[[#This Row],[Info Flow Id]],InfoFlow[Info Flow Id],0)) &amp; "/" &amp; INDEX(InfoFlow[Protocol Name],MATCH(DataExport[[#This Row],[Info Flow Id]],InfoFlow[Info Flow Id],0)) &amp; "/" &amp; INDEX(InfoFlow[Format],MATCH(DataExport[[#This Row],[Info Flow Id]],InfoFlow[Info Flow Id],0))</f>
        <v>//</v>
      </c>
      <c r="F11" s="5" t="str">
        <f>CONCATENATE(
INDEX(InfoFlow[Data Entity 1],MATCH(DataExport[[#This Row],[Info Flow Id]],InfoFlow[Info Flow Id],0)),
IF(INDEX(InfoFlow[Data Entity 2],MATCH(DataExport[[#This Row],[Info Flow Id]],InfoFlow[Info Flow Id],0)) = "", "",", " &amp; INDEX(InfoFlow[Data Entity 2],MATCH(DataExport[[#This Row],[Info Flow Id]],InfoFlow[Info Flow Id],0))),
IF(INDEX(InfoFlow[Data Entity 3],MATCH(DataExport[[#This Row],[Info Flow Id]],InfoFlow[Info Flow Id],0)) = "", "",", " &amp; INDEX(InfoFlow[Data Entity 3],MATCH(DataExport[[#This Row],[Info Flow Id]],InfoFlow[Info Flow Id],0))),
IF(INDEX(InfoFlow[Data Entity 4],MATCH(DataExport[[#This Row],[Info Flow Id]],InfoFlow[Info Flow Id],0)) = "", "",", " &amp; INDEX(InfoFlow[Data Entity 4],MATCH(DataExport[[#This Row],[Info Flow Id]],InfoFlow[Info Flow Id],0))),
IF(INDEX(InfoFlow[Data Entity 5],MATCH(DataExport[[#This Row],[Info Flow Id]],InfoFlow[Info Flow Id],0)) = "", "",", " &amp; INDEX(InfoFlow[Data Entity 5],MATCH(DataExport[[#This Row],[Info Flow Id]],InfoFlow[Info Flow Id],0))),
IF(INDEX(InfoFlow[Data Entity 6],MATCH(DataExport[[#This Row],[Info Flow Id]],InfoFlow[Info Flow Id],0)) = "", "",", " &amp; INDEX(InfoFlow[Data Entity 6],MATCH(DataExport[[#This Row],[Info Flow Id]],InfoFlow[Info Flow Id],0))))</f>
        <v/>
      </c>
      <c r="G11" s="5">
        <f>INDEX(InfoFlow[Initiator],MATCH(DataExport[[#This Row],[Info Flow Id]],InfoFlow[Info Flow Id],0))</f>
        <v>0</v>
      </c>
      <c r="H11" s="5">
        <f>INDEX(InfoFlow[Exchange],MATCH(DataExport[[#This Row],[Info Flow Id]],InfoFlow[Info Flow Id],0))</f>
        <v>0</v>
      </c>
      <c r="I11" s="5">
        <f>INDEX(InfoFlow[Type],MATCH(DataExport[[#This Row],[Info Flow Id]],InfoFlow[Info Flow Id],0))</f>
        <v>0</v>
      </c>
      <c r="J11" s="5">
        <f>INDEX(InfoFlow[Protocol Name],MATCH(DataExport[[#This Row],[Info Flow Id]],InfoFlow[Info Flow Id],0))</f>
        <v>0</v>
      </c>
      <c r="K11" s="5">
        <f>INDEX(InfoFlow[Format],MATCH(DataExport[[#This Row],[Info Flow Id]],InfoFlow[Info Flow Id],0))</f>
        <v>0</v>
      </c>
      <c r="L11" s="5">
        <f>INDEX(InfoFlow[Status],MATCH(DataExport[[#This Row],[Info Flow Id]],InfoFlow[Info Flow Id],0))</f>
        <v>0</v>
      </c>
      <c r="M11" s="5" t="str">
        <f>INDEX(InfoFlow[Description],MATCH(DataExport[[#This Row],[Info Flow Id]],InfoFlow[Info Flow Id],0))</f>
        <v>Enter description here</v>
      </c>
      <c r="N11" s="5" t="str">
        <f>INDEX(InfoFlow[Location],MATCH(DataExport[[#This Row],[Info Flow Id]],InfoFlow[Info Flow Id],0))</f>
        <v>Enter location here</v>
      </c>
    </row>
  </sheetData>
  <pageMargins left="0.25" right="0.25" top="0.75" bottom="0.75" header="0.3" footer="0.3"/>
  <pageSetup orientation="landscape" r:id="rId1"/>
  <headerFooter>
    <oddHeader>&amp;L&amp;"EMprint Regular,Regular"&amp;16&amp;K3A397BTitle&amp;R&amp;G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37"/>
  <sheetViews>
    <sheetView zoomScaleNormal="100" workbookViewId="0">
      <pane ySplit="1" topLeftCell="A2" activePane="bottomLeft" state="frozen"/>
      <selection pane="bottomLeft"/>
    </sheetView>
  </sheetViews>
  <sheetFormatPr defaultColWidth="8.75" defaultRowHeight="15.6" x14ac:dyDescent="0.6"/>
  <cols>
    <col min="1" max="1" width="10.59765625" style="1" bestFit="1" customWidth="1"/>
    <col min="2" max="2" width="2.59765625" style="1" customWidth="1"/>
    <col min="3" max="3" width="11.75" style="1" bestFit="1" customWidth="1"/>
    <col min="4" max="4" width="2.59765625" style="1" customWidth="1"/>
    <col min="5" max="5" width="11.25" style="1" bestFit="1" customWidth="1"/>
    <col min="6" max="6" width="2.59765625" style="1" customWidth="1"/>
    <col min="7" max="7" width="20.25" style="1" bestFit="1" customWidth="1"/>
    <col min="8" max="8" width="15.34765625" style="1" bestFit="1" customWidth="1"/>
    <col min="9" max="9" width="2.59765625" style="1" customWidth="1"/>
    <col min="10" max="10" width="15.34765625" style="1" customWidth="1"/>
    <col min="11" max="11" width="2.59765625" style="1" customWidth="1"/>
    <col min="12" max="12" width="15.25" style="1" bestFit="1" customWidth="1"/>
    <col min="13" max="16384" width="8.75" style="1"/>
  </cols>
  <sheetData>
    <row r="1" spans="1:12" x14ac:dyDescent="0.6">
      <c r="A1" s="1" t="s">
        <v>197</v>
      </c>
      <c r="C1" s="1" t="s">
        <v>198</v>
      </c>
      <c r="E1" s="1" t="s">
        <v>199</v>
      </c>
      <c r="G1" s="1" t="s">
        <v>200</v>
      </c>
      <c r="H1" s="1" t="s">
        <v>201</v>
      </c>
      <c r="J1" s="1" t="s">
        <v>202</v>
      </c>
      <c r="L1" s="1" t="s">
        <v>203</v>
      </c>
    </row>
    <row r="2" spans="1:12" x14ac:dyDescent="0.6">
      <c r="A2" s="1" t="s">
        <v>101</v>
      </c>
      <c r="C2" s="1" t="s">
        <v>204</v>
      </c>
      <c r="E2" s="1" t="s">
        <v>93</v>
      </c>
      <c r="G2" s="1" t="s">
        <v>42</v>
      </c>
      <c r="H2" s="1" t="s">
        <v>112</v>
      </c>
      <c r="J2" s="1" t="s">
        <v>205</v>
      </c>
      <c r="L2" s="1" t="s">
        <v>88</v>
      </c>
    </row>
    <row r="3" spans="1:12" x14ac:dyDescent="0.6">
      <c r="A3" s="1" t="s">
        <v>103</v>
      </c>
      <c r="C3" s="1" t="s">
        <v>206</v>
      </c>
      <c r="E3" s="1" t="s">
        <v>41</v>
      </c>
      <c r="G3" s="1" t="s">
        <v>207</v>
      </c>
      <c r="H3" s="1" t="s">
        <v>208</v>
      </c>
      <c r="J3" s="1" t="s">
        <v>209</v>
      </c>
      <c r="L3" s="1" t="s">
        <v>90</v>
      </c>
    </row>
    <row r="4" spans="1:12" x14ac:dyDescent="0.6">
      <c r="A4" s="1" t="s">
        <v>105</v>
      </c>
      <c r="E4" s="1" t="s">
        <v>210</v>
      </c>
      <c r="G4" s="1" t="s">
        <v>211</v>
      </c>
      <c r="H4" s="1" t="s">
        <v>212</v>
      </c>
      <c r="J4" s="1" t="s">
        <v>43</v>
      </c>
      <c r="L4" s="1" t="s">
        <v>92</v>
      </c>
    </row>
    <row r="5" spans="1:12" x14ac:dyDescent="0.6">
      <c r="A5" s="1" t="s">
        <v>107</v>
      </c>
      <c r="E5" s="1" t="s">
        <v>213</v>
      </c>
      <c r="G5" s="1" t="s">
        <v>214</v>
      </c>
      <c r="H5" s="1" t="s">
        <v>215</v>
      </c>
      <c r="J5" s="1" t="s">
        <v>216</v>
      </c>
      <c r="L5" s="1" t="s">
        <v>94</v>
      </c>
    </row>
    <row r="6" spans="1:12" x14ac:dyDescent="0.6">
      <c r="E6" s="1" t="s">
        <v>217</v>
      </c>
      <c r="G6" s="1" t="s">
        <v>218</v>
      </c>
      <c r="H6" s="1" t="s">
        <v>110</v>
      </c>
      <c r="J6" s="1" t="s">
        <v>219</v>
      </c>
      <c r="L6" s="1" t="s">
        <v>96</v>
      </c>
    </row>
    <row r="7" spans="1:12" x14ac:dyDescent="0.6">
      <c r="E7" s="1" t="s">
        <v>107</v>
      </c>
      <c r="G7" s="1" t="s">
        <v>47</v>
      </c>
      <c r="H7" s="1" t="s">
        <v>220</v>
      </c>
      <c r="J7" s="1" t="s">
        <v>221</v>
      </c>
    </row>
    <row r="8" spans="1:12" x14ac:dyDescent="0.6">
      <c r="G8" s="1" t="s">
        <v>222</v>
      </c>
      <c r="H8" s="1" t="s">
        <v>106</v>
      </c>
      <c r="J8" s="1" t="s">
        <v>223</v>
      </c>
    </row>
    <row r="9" spans="1:12" x14ac:dyDescent="0.6">
      <c r="G9" s="1" t="s">
        <v>224</v>
      </c>
      <c r="H9" s="1" t="s">
        <v>225</v>
      </c>
      <c r="J9" s="1" t="s">
        <v>226</v>
      </c>
    </row>
    <row r="10" spans="1:12" x14ac:dyDescent="0.6">
      <c r="G10" s="1" t="s">
        <v>227</v>
      </c>
      <c r="H10" s="1" t="s">
        <v>228</v>
      </c>
      <c r="J10" s="1" t="s">
        <v>229</v>
      </c>
    </row>
    <row r="11" spans="1:12" x14ac:dyDescent="0.6">
      <c r="G11" s="1" t="s">
        <v>230</v>
      </c>
      <c r="H11" s="1" t="s">
        <v>231</v>
      </c>
      <c r="J11" s="1" t="s">
        <v>232</v>
      </c>
    </row>
    <row r="12" spans="1:12" x14ac:dyDescent="0.6">
      <c r="G12" s="1" t="s">
        <v>233</v>
      </c>
      <c r="H12" s="1" t="s">
        <v>234</v>
      </c>
      <c r="J12" s="1" t="s">
        <v>107</v>
      </c>
    </row>
    <row r="13" spans="1:12" x14ac:dyDescent="0.6">
      <c r="G13" s="1" t="s">
        <v>235</v>
      </c>
      <c r="H13" s="1" t="s">
        <v>236</v>
      </c>
    </row>
    <row r="14" spans="1:12" x14ac:dyDescent="0.6">
      <c r="G14" s="1" t="s">
        <v>237</v>
      </c>
      <c r="H14" s="1" t="s">
        <v>238</v>
      </c>
    </row>
    <row r="15" spans="1:12" x14ac:dyDescent="0.6">
      <c r="G15" s="1" t="s">
        <v>239</v>
      </c>
      <c r="H15" s="1" t="s">
        <v>240</v>
      </c>
    </row>
    <row r="16" spans="1:12" x14ac:dyDescent="0.6">
      <c r="G16" s="1" t="s">
        <v>241</v>
      </c>
      <c r="H16" s="1" t="s">
        <v>242</v>
      </c>
    </row>
    <row r="17" spans="7:8" x14ac:dyDescent="0.6">
      <c r="G17" s="1" t="s">
        <v>243</v>
      </c>
      <c r="H17" s="1" t="s">
        <v>244</v>
      </c>
    </row>
    <row r="18" spans="7:8" x14ac:dyDescent="0.6">
      <c r="G18" s="1" t="s">
        <v>245</v>
      </c>
      <c r="H18" s="1" t="s">
        <v>246</v>
      </c>
    </row>
    <row r="19" spans="7:8" x14ac:dyDescent="0.6">
      <c r="G19" s="1" t="s">
        <v>247</v>
      </c>
      <c r="H19" s="1" t="s">
        <v>248</v>
      </c>
    </row>
    <row r="20" spans="7:8" x14ac:dyDescent="0.6">
      <c r="G20" s="1" t="s">
        <v>249</v>
      </c>
      <c r="H20" s="1" t="s">
        <v>250</v>
      </c>
    </row>
    <row r="21" spans="7:8" x14ac:dyDescent="0.6">
      <c r="G21" s="1" t="s">
        <v>251</v>
      </c>
      <c r="H21" s="1" t="s">
        <v>252</v>
      </c>
    </row>
    <row r="22" spans="7:8" x14ac:dyDescent="0.6">
      <c r="G22" s="1" t="s">
        <v>253</v>
      </c>
      <c r="H22" s="1" t="s">
        <v>254</v>
      </c>
    </row>
    <row r="23" spans="7:8" x14ac:dyDescent="0.6">
      <c r="G23" s="1" t="s">
        <v>255</v>
      </c>
      <c r="H23" s="1" t="s">
        <v>256</v>
      </c>
    </row>
    <row r="24" spans="7:8" x14ac:dyDescent="0.6">
      <c r="G24" s="1" t="s">
        <v>257</v>
      </c>
      <c r="H24" s="1" t="s">
        <v>258</v>
      </c>
    </row>
    <row r="25" spans="7:8" x14ac:dyDescent="0.6">
      <c r="G25" s="1" t="s">
        <v>259</v>
      </c>
      <c r="H25" s="1" t="s">
        <v>260</v>
      </c>
    </row>
    <row r="26" spans="7:8" x14ac:dyDescent="0.6">
      <c r="G26" s="1" t="s">
        <v>261</v>
      </c>
      <c r="H26" s="1" t="s">
        <v>262</v>
      </c>
    </row>
    <row r="27" spans="7:8" x14ac:dyDescent="0.6">
      <c r="G27" s="1" t="s">
        <v>263</v>
      </c>
      <c r="H27" s="1" t="s">
        <v>264</v>
      </c>
    </row>
    <row r="28" spans="7:8" x14ac:dyDescent="0.6">
      <c r="G28" s="1" t="s">
        <v>265</v>
      </c>
      <c r="H28" s="1" t="s">
        <v>266</v>
      </c>
    </row>
    <row r="29" spans="7:8" x14ac:dyDescent="0.6">
      <c r="G29" s="1" t="s">
        <v>267</v>
      </c>
      <c r="H29" s="1" t="s">
        <v>268</v>
      </c>
    </row>
    <row r="30" spans="7:8" x14ac:dyDescent="0.6">
      <c r="G30" s="1" t="s">
        <v>269</v>
      </c>
      <c r="H30" s="1" t="s">
        <v>270</v>
      </c>
    </row>
    <row r="31" spans="7:8" x14ac:dyDescent="0.6">
      <c r="G31" s="1" t="s">
        <v>271</v>
      </c>
      <c r="H31" s="1" t="s">
        <v>272</v>
      </c>
    </row>
    <row r="32" spans="7:8" x14ac:dyDescent="0.6">
      <c r="G32" s="1" t="s">
        <v>273</v>
      </c>
      <c r="H32" s="1" t="s">
        <v>274</v>
      </c>
    </row>
    <row r="33" spans="7:8" x14ac:dyDescent="0.6">
      <c r="G33" s="1" t="s">
        <v>275</v>
      </c>
      <c r="H33" s="1" t="s">
        <v>276</v>
      </c>
    </row>
    <row r="34" spans="7:8" x14ac:dyDescent="0.6">
      <c r="G34" s="1" t="s">
        <v>277</v>
      </c>
      <c r="H34" s="1" t="s">
        <v>278</v>
      </c>
    </row>
    <row r="35" spans="7:8" x14ac:dyDescent="0.6">
      <c r="G35" s="1" t="s">
        <v>279</v>
      </c>
      <c r="H35" s="1" t="s">
        <v>280</v>
      </c>
    </row>
    <row r="36" spans="7:8" x14ac:dyDescent="0.6">
      <c r="G36" s="1" t="s">
        <v>232</v>
      </c>
      <c r="H36" s="1" t="s">
        <v>232</v>
      </c>
    </row>
    <row r="37" spans="7:8" x14ac:dyDescent="0.6">
      <c r="G37" s="1" t="s">
        <v>107</v>
      </c>
      <c r="H37" s="1" t="s">
        <v>107</v>
      </c>
    </row>
  </sheetData>
  <pageMargins left="0.7" right="0.7" top="0.75" bottom="0.75" header="0.3" footer="0.3"/>
  <pageSetup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ad_x0020_Architect xmlns="6267afae-8eae-4342-819b-e4655dfeb2c7">
      <UserInfo>
        <DisplayName>Robinson, Jon /C</DisplayName>
        <AccountId>18326</AccountId>
        <AccountType/>
      </UserInfo>
    </Lead_x0020_Architect>
    <Value_x0020_Chain xmlns="6267afae-8eae-4342-819b-e4655dfeb2c7">Entreprise Services</Value_x0020_Chain>
    <Business_x0020_Capability xmlns="6267afae-8eae-4342-819b-e4655dfeb2c7">N/A</Business_x0020_Capability>
    <_Status xmlns="http://schemas.microsoft.com/sharepoint/v3/fields">Draft</_Status>
    <Abstraction xmlns="6267afae-8eae-4342-819b-e4655dfeb2c7">3-Logical</Abstraction>
    <Technology_x0020_Capability xmlns="6267afae-8eae-4342-819b-e4655dfeb2c7">N/A</Technology_x0020_Capability>
    <Architecture_x0020_Dom xmlns="6267afae-8eae-4342-819b-e4655dfeb2c7">2-Data</Architecture_x0020_Dom>
    <L2_x0020_-_x0020_Business_x0020_Capabilities xmlns="6267afae-8eae-4342-819b-e4655dfeb2c7"/>
    <L2_x0020_-_x0020_Technology_x0020_Capabilities xmlns="6267afae-8eae-4342-819b-e4655dfeb2c7"/>
    <RA-RI xmlns="6267afae-8eae-4342-819b-e4655dfeb2c7">N/A</RA-RI>
    <Project_x002f_SWI_x0020_Code xmlns="6267afae-8eae-4342-819b-e4655dfeb2c7" xsi:nil="true"/>
    <FormData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NFListDisplayForm</Display>
  <Edit>NFListEditForm</Edit>
  <New>NFListEditForm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rtifact" ma:contentTypeID="0x01010011572E6ACDC50C4CACC848351C5A6DF00003DF822A28B08C409FC549640B3EC8EB" ma:contentTypeVersion="54" ma:contentTypeDescription="Architecture Artifact" ma:contentTypeScope="" ma:versionID="2542d8192daa4dc15030df050e73efe9">
  <xsd:schema xmlns:xsd="http://www.w3.org/2001/XMLSchema" xmlns:xs="http://www.w3.org/2001/XMLSchema" xmlns:p="http://schemas.microsoft.com/office/2006/metadata/properties" xmlns:ns1="http://schemas.microsoft.com/sharepoint/v3" xmlns:ns2="6267afae-8eae-4342-819b-e4655dfeb2c7" xmlns:ns3="http://schemas.microsoft.com/sharepoint/v3/fields" targetNamespace="http://schemas.microsoft.com/office/2006/metadata/properties" ma:root="true" ma:fieldsID="74723251e63144c6450442e31c452ff4" ns1:_="" ns2:_="" ns3:_="">
    <xsd:import namespace="http://schemas.microsoft.com/sharepoint/v3"/>
    <xsd:import namespace="6267afae-8eae-4342-819b-e4655dfeb2c7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Abstraction"/>
                <xsd:element ref="ns2:Architecture_x0020_Dom"/>
                <xsd:element ref="ns2:Lead_x0020_Architect"/>
                <xsd:element ref="ns2:Value_x0020_Chain"/>
                <xsd:element ref="ns2:Business_x0020_Capability"/>
                <xsd:element ref="ns2:L2_x0020_-_x0020_Business_x0020_Capabilities" minOccurs="0"/>
                <xsd:element ref="ns2:Technology_x0020_Capability"/>
                <xsd:element ref="ns2:L2_x0020_-_x0020_Technology_x0020_Capabilities" minOccurs="0"/>
                <xsd:element ref="ns2:RA-RI" minOccurs="0"/>
                <xsd:element ref="ns3:_Status"/>
                <xsd:element ref="ns2:Project_x002f_SWI_x0020_Code" minOccurs="0"/>
                <xsd:element ref="ns1:Form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ormData" ma:index="20" nillable="true" ma:displayName="Form Data" ma:hidden="true" ma:internalName="FormData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7afae-8eae-4342-819b-e4655dfeb2c7" elementFormDefault="qualified">
    <xsd:import namespace="http://schemas.microsoft.com/office/2006/documentManagement/types"/>
    <xsd:import namespace="http://schemas.microsoft.com/office/infopath/2007/PartnerControls"/>
    <xsd:element name="Abstraction" ma:index="2" ma:displayName="Abstraction" ma:description="Provide the Architecture Perspective / Abstraction" ma:format="Dropdown" ma:indexed="true" ma:internalName="Abstraction">
      <xsd:simpleType>
        <xsd:restriction base="dms:Choice">
          <xsd:enumeration value="1-Contextual"/>
          <xsd:enumeration value="2-Conceptual"/>
          <xsd:enumeration value="3-Logical"/>
          <xsd:enumeration value="4-Physical"/>
          <xsd:enumeration value="5-Detailed"/>
          <xsd:enumeration value="7-Governance"/>
          <xsd:enumeration value="8-Work"/>
          <xsd:enumeration value="9-Any"/>
        </xsd:restriction>
      </xsd:simpleType>
    </xsd:element>
    <xsd:element name="Architecture_x0020_Dom" ma:index="3" ma:displayName="Arch Domain" ma:default="9-N/A" ma:description="Select corresponding architecture domain" ma:format="Dropdown" ma:indexed="true" ma:internalName="Architecture_x0020_Dom" ma:readOnly="false">
      <xsd:simpleType>
        <xsd:restriction base="dms:Choice">
          <xsd:enumeration value="1-Business"/>
          <xsd:enumeration value="2-Data"/>
          <xsd:enumeration value="3-Application"/>
          <xsd:enumeration value="4-Technology"/>
          <xsd:enumeration value="5-Information"/>
          <xsd:enumeration value="6-Security"/>
          <xsd:enumeration value="8-Any"/>
          <xsd:enumeration value="9-N/A"/>
        </xsd:restriction>
      </xsd:simpleType>
    </xsd:element>
    <xsd:element name="Lead_x0020_Architect" ma:index="4" ma:displayName="Lead Architect" ma:description="Lead architect responsible for this artifact" ma:indexed="true" ma:list="UserInfo" ma:SharePointGroup="0" ma:internalName="Lead_x0020_Architec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alue_x0020_Chain" ma:index="5" ma:displayName="Value Chain" ma:default="Chemicals" ma:description="Select corresponding value chain related to the artifact" ma:format="Dropdown" ma:indexed="true" ma:internalName="Value_x0020_Chain">
      <xsd:simpleType>
        <xsd:restriction base="dms:Choice">
          <xsd:enumeration value="Chemicals"/>
          <xsd:enumeration value="Entreprise Services"/>
          <xsd:enumeration value="Fuels"/>
          <xsd:enumeration value="Lubes"/>
          <xsd:enumeration value="Research and Technology"/>
          <xsd:enumeration value="Upstream"/>
        </xsd:restriction>
      </xsd:simpleType>
    </xsd:element>
    <xsd:element name="Business_x0020_Capability" ma:index="6" ma:displayName="Business Capability" ma:default="N/A" ma:description="Please select Business Capability that applies to the tool/artifact" ma:format="Dropdown" ma:indexed="true" ma:internalName="Business_x0020_Capability" ma:readOnly="false">
      <xsd:simpleType>
        <xsd:restriction base="dms:Choice">
          <xsd:enumeration value="01 Vision &amp; Strategy"/>
          <xsd:enumeration value="02 Governance, Risk &amp; Compliance"/>
          <xsd:enumeration value="03 Business Development"/>
          <xsd:enumeration value="04 Venture/Facility Development"/>
          <xsd:enumeration value="05 Operations"/>
          <xsd:enumeration value="06 Supply Chain"/>
          <xsd:enumeration value="07 Sales &amp; Marketing"/>
          <xsd:enumeration value="08 Research &amp; Technology"/>
          <xsd:enumeration value="09 Human Resources"/>
          <xsd:enumeration value="10 Financial Management"/>
          <xsd:enumeration value="11 Analytics &amp; Data Management"/>
          <xsd:enumeration value="12 Information Technology"/>
          <xsd:enumeration value="13 Safety, Security, Health &amp; Sustainability"/>
          <xsd:enumeration value="14 External Relationships"/>
          <xsd:enumeration value="N/A"/>
        </xsd:restriction>
      </xsd:simpleType>
    </xsd:element>
    <xsd:element name="L2_x0020_-_x0020_Business_x0020_Capabilities" ma:index="7" nillable="true" ma:displayName="L2 - Business Capabilities" ma:list="{e8dad0a2-6a37-4556-a706-3bdf01e97d78}" ma:internalName="L2_x0020__x002d__x0020_Business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chnology_x0020_Capability" ma:index="8" ma:displayName="Technology Capability" ma:default="N/A" ma:description="Please select the IT Capability that applies to the tool/artifact" ma:format="Dropdown" ma:indexed="true" ma:internalName="Technology_x0020_Capability" ma:readOnly="false">
      <xsd:simpleType>
        <xsd:restriction base="dms:Choice">
          <xsd:enumeration value="T01 Application Services"/>
          <xsd:enumeration value="T02 Automation Services"/>
          <xsd:enumeration value="T03 Connectivity"/>
          <xsd:enumeration value="T04 Data Services"/>
          <xsd:enumeration value="T05 Emerging Tech"/>
          <xsd:enumeration value="T06 End User Services"/>
          <xsd:enumeration value="T07 Hosting Compute"/>
          <xsd:enumeration value="T08 Security"/>
          <xsd:enumeration value="T09 Storage Services"/>
          <xsd:enumeration value="T10 System Management Services"/>
          <xsd:enumeration value="N/A"/>
        </xsd:restriction>
      </xsd:simpleType>
    </xsd:element>
    <xsd:element name="L2_x0020_-_x0020_Technology_x0020_Capabilities" ma:index="9" nillable="true" ma:displayName="L2 - Technology Capabilities" ma:list="{24b8a2c9-cbf9-479c-8012-f087c0ab45bd}" ma:internalName="L2_x0020__x002d__x0020_Technology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A-RI" ma:index="10" nillable="true" ma:displayName="RA-RI" ma:default="N/A" ma:format="Dropdown" ma:internalName="RA_x002d_RI" ma:readOnly="false">
      <xsd:simpleType>
        <xsd:restriction base="dms:Choice">
          <xsd:enumeration value="RA"/>
          <xsd:enumeration value="RI"/>
          <xsd:enumeration value="N/A"/>
        </xsd:restriction>
      </xsd:simpleType>
    </xsd:element>
    <xsd:element name="Project_x002f_SWI_x0020_Code" ma:index="12" nillable="true" ma:displayName="Work ID" ma:description="Please add PPL code, Epic, Feature (Number only)" ma:internalName="Project_x002F_SWI_x0020_Cod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1" ma:displayName="Status" ma:default="Draft" ma:format="Dropdown" ma:internalName="_Status" ma:readOnly="false">
      <xsd:simpleType>
        <xsd:restriction base="dms:Choice">
          <xsd:enumeration value="Draft"/>
          <xsd:enumeration value="Final"/>
          <xsd:enumeration value="Expir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axOccurs="1" ma:displayName="Status">
          <xsd:simpleType xmlns:xs="http://www.w3.org/2001/XMLSchema">
            <xsd:restriction base="xsd:string">
              <xsd:minLength value="1"/>
            </xsd:restriction>
          </xsd:simpleType>
        </xsd:element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>
  <Display>DocumentLibraryForm</Display>
  <Edit>DocumentLibraryForm</Edit>
  <New>DocumentLibraryForm</New>
  <MobileDisplayFormUrl/>
  <MobileEditFormUrl/>
  <MobileNewFormUrl/>
</FormTemplates>
</file>

<file path=customXml/item5.xml><?xml version="1.0" encoding="utf-8"?>
<?mso-contentType ?>
<FormTemplates xmlns="http://schemas.microsoft.com/sharepoint/v3/contenttype/forms">
  <Display>NFListDisplayForm</Display>
  <Edit>NFListEditForm</Edit>
  <New>NFListEditForm</New>
</FormTemplates>
</file>

<file path=customXml/item6.xml><?xml version="1.0" encoding="utf-8"?>
<?mso-contentType ?>
<FormUrls xmlns="http://schemas.microsoft.com/sharepoint/v3/contenttype/forms/url">
  <MobileDisplay>_layouts/15/NintexForms/Mobile/DispForm.aspx</MobileDisplay>
  <MobileEdit>_layouts/15/NintexForms/Mobile/EditForm.aspx</MobileEdit>
  <MobileNew>_layouts/15/NintexForms/Mobile/NewForm.aspx</MobileNew>
</FormUrls>
</file>

<file path=customXml/item7.xml><?xml version="1.0" encoding="utf-8"?>
<?mso-contentType ?>
<FormUrls xmlns="http://schemas.microsoft.com/sharepoint/v3/contenttype/forms/url">
  <MobileDisplay>_layouts/15/NintexForms/Mobile/DispForm.aspx</MobileDisplay>
  <MobileEdit>_layouts/15/NintexForms/Mobile/EditForm.aspx</MobileEdit>
  <MobileNew>_layouts/15/NintexForms/Mobile/NewForm.aspx</MobileNew>
</FormUrls>
</file>

<file path=customXml/itemProps1.xml><?xml version="1.0" encoding="utf-8"?>
<ds:datastoreItem xmlns:ds="http://schemas.openxmlformats.org/officeDocument/2006/customXml" ds:itemID="{C3D3AAB9-6561-40A0-A7DE-65C1DC1FD52C}">
  <ds:schemaRefs>
    <ds:schemaRef ds:uri="http://schemas.microsoft.com/sharepoint/v3"/>
    <ds:schemaRef ds:uri="http://purl.org/dc/terms/"/>
    <ds:schemaRef ds:uri="http://schemas.microsoft.com/sharepoint/v3/field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267afae-8eae-4342-819b-e4655dfeb2c7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8F3FDE-2F32-4DD6-A362-87BC539252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6015C1-4FFE-42CB-9435-D117622BE6EC}"/>
</file>

<file path=customXml/itemProps4.xml><?xml version="1.0" encoding="utf-8"?>
<ds:datastoreItem xmlns:ds="http://schemas.openxmlformats.org/officeDocument/2006/customXml" ds:itemID="{DDEF49B3-35E9-496B-A922-FDEBCF438D75}">
  <ds:schemaRefs/>
</ds:datastoreItem>
</file>

<file path=customXml/itemProps5.xml><?xml version="1.0" encoding="utf-8"?>
<ds:datastoreItem xmlns:ds="http://schemas.openxmlformats.org/officeDocument/2006/customXml" ds:itemID="{A123EBAA-3B8A-4183-9ECA-B55BA8FF56B1}"/>
</file>

<file path=customXml/itemProps6.xml><?xml version="1.0" encoding="utf-8"?>
<ds:datastoreItem xmlns:ds="http://schemas.openxmlformats.org/officeDocument/2006/customXml" ds:itemID="{F5B556CD-8C19-46AC-9D5A-384606A353AB}"/>
</file>

<file path=customXml/itemProps7.xml><?xml version="1.0" encoding="utf-8"?>
<ds:datastoreItem xmlns:ds="http://schemas.openxmlformats.org/officeDocument/2006/customXml" ds:itemID="{EF3B5BC2-CCF4-4A84-8B3B-148832A041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Introduction</vt:lpstr>
      <vt:lpstr>Information Flow Catalogue</vt:lpstr>
      <vt:lpstr>Statistics</vt:lpstr>
      <vt:lpstr>IF Visual (Static)</vt:lpstr>
      <vt:lpstr>IF Data Export</vt:lpstr>
      <vt:lpstr>Lookups</vt:lpstr>
      <vt:lpstr>_Exchange</vt:lpstr>
      <vt:lpstr>_Format</vt:lpstr>
      <vt:lpstr>_Initiator</vt:lpstr>
      <vt:lpstr>_Protocol</vt:lpstr>
      <vt:lpstr>_ProtocolName</vt:lpstr>
      <vt:lpstr>_Status</vt:lpstr>
      <vt:lpstr>_Type</vt:lpstr>
      <vt:lpstr>Conversation_Id</vt:lpstr>
    </vt:vector>
  </TitlesOfParts>
  <Manager/>
  <Company>ExxonMobil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Information Flow Catalog</dc:title>
  <dc:subject>Application Interaction Model</dc:subject>
  <dc:creator>Office of Modern Architecture</dc:creator>
  <cp:keywords>Solution; S2E; CX2E; CXDD; CDD; Information Flow</cp:keywords>
  <dc:description/>
  <cp:lastModifiedBy>Robinson, Jon /C</cp:lastModifiedBy>
  <cp:revision/>
  <dcterms:created xsi:type="dcterms:W3CDTF">2017-12-12T19:50:11Z</dcterms:created>
  <dcterms:modified xsi:type="dcterms:W3CDTF">2021-04-28T19:42:17Z</dcterms:modified>
  <cp:category/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1254428838</vt:i4>
  </property>
  <property fmtid="{D5CDD505-2E9C-101B-9397-08002B2CF9AE}" pid="3" name="_NewReviewCycle">
    <vt:lpwstr/>
  </property>
  <property fmtid="{D5CDD505-2E9C-101B-9397-08002B2CF9AE}" pid="4" name="_EmailSubject">
    <vt:lpwstr>excel</vt:lpwstr>
  </property>
  <property fmtid="{D5CDD505-2E9C-101B-9397-08002B2CF9AE}" pid="5" name="_AuthorEmail">
    <vt:lpwstr>amanda.t.nguyen@exxonmobil.com</vt:lpwstr>
  </property>
  <property fmtid="{D5CDD505-2E9C-101B-9397-08002B2CF9AE}" pid="6" name="_AuthorEmailDisplayName">
    <vt:lpwstr>Nguyen, Amanda T /C</vt:lpwstr>
  </property>
  <property fmtid="{D5CDD505-2E9C-101B-9397-08002B2CF9AE}" pid="7" name="ContentTypeId">
    <vt:lpwstr>0x01010011572E6ACDC50C4CACC848351C5A6DF00003DF822A28B08C409FC549640B3EC8EB</vt:lpwstr>
  </property>
  <property fmtid="{D5CDD505-2E9C-101B-9397-08002B2CF9AE}" pid="8" name="_ReviewingToolsShownOnce">
    <vt:lpwstr/>
  </property>
  <property fmtid="{D5CDD505-2E9C-101B-9397-08002B2CF9AE}" pid="9" name="RI/RA">
    <vt:lpwstr>RA</vt:lpwstr>
  </property>
  <property fmtid="{D5CDD505-2E9C-101B-9397-08002B2CF9AE}" pid="10" name="Architecture Domain">
    <vt:lpwstr>2-Data</vt:lpwstr>
  </property>
  <property fmtid="{D5CDD505-2E9C-101B-9397-08002B2CF9AE}" pid="11" name="Business Capability L2">
    <vt:lpwstr>;#N/A;#</vt:lpwstr>
  </property>
</Properties>
</file>