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+xml"/>
  <Override PartName="/xl/tables/table5.xml" ContentType="application/vnd.openxmlformats-officedocument.spreadsheetml.table+xml"/>
  <Override PartName="/xl/drawings/drawing7.xml" ContentType="application/vnd.openxmlformats-officedocument.drawing+xml"/>
  <Override PartName="/xl/tables/table6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8.xml" ContentType="application/vnd.openxmlformats-officedocument.drawing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tables/table7.xml" ContentType="application/vnd.openxmlformats-officedocument.spreadsheetml.table+xml"/>
  <Override PartName="/xl/drawings/drawing11.xml" ContentType="application/vnd.openxmlformats-officedocument.drawing+xml"/>
  <Override PartName="/xl/tables/table8.xml" ContentType="application/vnd.openxmlformats-officedocument.spreadsheetml.table+xml"/>
  <Override PartName="/xl/drawings/drawing12.xml" ContentType="application/vnd.openxmlformats-officedocument.drawing+xml"/>
  <Override PartName="/xl/tables/table9.xml" ContentType="application/vnd.openxmlformats-officedocument.spreadsheetml.table+xml"/>
  <Override PartName="/xl/drawings/drawing13.xml" ContentType="application/vnd.openxmlformats-officedocument.drawing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Jose Roberto Neto\Downloads\"/>
    </mc:Choice>
  </mc:AlternateContent>
  <xr:revisionPtr revIDLastSave="0" documentId="13_ncr:1_{66EE40E6-93BD-4FF7-A108-CF0482512903}" xr6:coauthVersionLast="47" xr6:coauthVersionMax="47" xr10:uidLastSave="{00000000-0000-0000-0000-000000000000}"/>
  <bookViews>
    <workbookView xWindow="-120" yWindow="-120" windowWidth="29040" windowHeight="15840" firstSheet="7" activeTab="7" xr2:uid="{00000000-000D-0000-FFFF-FFFF00000000}"/>
  </bookViews>
  <sheets>
    <sheet name="Menu" sheetId="1" r:id="rId1"/>
    <sheet name="Despesas " sheetId="2" r:id="rId2"/>
    <sheet name="Compras mecadorias" sheetId="6" r:id="rId3"/>
    <sheet name="Investimentos" sheetId="7" r:id="rId4"/>
    <sheet name="Controle de Estoque" sheetId="8" r:id="rId5"/>
    <sheet name="Vendas" sheetId="3" r:id="rId6"/>
    <sheet name="Vendas semana 1" sheetId="9" r:id="rId7"/>
    <sheet name="Vendas semana 2" sheetId="10" r:id="rId8"/>
    <sheet name="Analise semana 1" sheetId="17" r:id="rId9"/>
    <sheet name="Analise semana 2" sheetId="18" r:id="rId10"/>
    <sheet name="Vendas semana 3" sheetId="4" r:id="rId11"/>
    <sheet name="Vendas semana 4" sheetId="12" r:id="rId12"/>
    <sheet name="Vendas semana 5" sheetId="13" r:id="rId13"/>
    <sheet name="Resultados" sheetId="16" r:id="rId14"/>
    <sheet name="cálculos" sheetId="5" r:id="rId15"/>
  </sheets>
  <definedNames>
    <definedName name="_xlnm._FilterDatabase" localSheetId="14" hidden="1">cálculos!$K$3:$N$3</definedName>
    <definedName name="_xlnm._FilterDatabase" localSheetId="5" hidden="1">Vendas!$C$28:$D$30</definedName>
    <definedName name="_xlnm.Print_Area" localSheetId="13">Resultados!$I$4:$K$25</definedName>
  </definedNames>
  <calcPr calcId="191029"/>
  <pivotCaches>
    <pivotCache cacheId="0" r:id="rId16"/>
    <pivotCache cacheId="1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9" i="8" l="1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G5" i="8"/>
  <c r="G6" i="8"/>
  <c r="G7" i="8"/>
  <c r="G8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C5" i="10"/>
  <c r="M7" i="9"/>
  <c r="M5" i="9"/>
  <c r="K5" i="9"/>
  <c r="E5" i="9"/>
  <c r="G5" i="9"/>
  <c r="H5" i="9" s="1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7" i="6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L5" i="9" l="1"/>
  <c r="K13" i="16"/>
  <c r="D46" i="3"/>
  <c r="E10" i="5" a="1"/>
  <c r="E10" i="5" s="1"/>
  <c r="M33" i="13" a="1"/>
  <c r="M33" i="13" s="1"/>
  <c r="M30" i="12" a="1"/>
  <c r="M30" i="12" s="1"/>
  <c r="M30" i="4" a="1"/>
  <c r="M30" i="4" s="1"/>
  <c r="M33" i="10" a="1"/>
  <c r="M33" i="10" s="1"/>
  <c r="M33" i="9" a="1"/>
  <c r="M33" i="9" s="1"/>
  <c r="E12" i="5"/>
  <c r="D12" i="5" a="1"/>
  <c r="D12" i="5" s="1"/>
  <c r="G5" i="10"/>
  <c r="H5" i="10" s="1"/>
  <c r="G6" i="10"/>
  <c r="H6" i="10" s="1"/>
  <c r="G7" i="10"/>
  <c r="H7" i="10" s="1"/>
  <c r="G8" i="10"/>
  <c r="H8" i="10" s="1"/>
  <c r="G9" i="10"/>
  <c r="H9" i="10" s="1"/>
  <c r="G10" i="10"/>
  <c r="H10" i="10" s="1"/>
  <c r="G11" i="10"/>
  <c r="H11" i="10" s="1"/>
  <c r="G12" i="10"/>
  <c r="H12" i="10" s="1"/>
  <c r="G13" i="10"/>
  <c r="H13" i="10" s="1"/>
  <c r="L13" i="10" s="1"/>
  <c r="G14" i="10"/>
  <c r="H14" i="10" s="1"/>
  <c r="L14" i="10" s="1"/>
  <c r="G15" i="10"/>
  <c r="H15" i="10" s="1"/>
  <c r="G16" i="10"/>
  <c r="H16" i="10" s="1"/>
  <c r="G17" i="10"/>
  <c r="H17" i="10" s="1"/>
  <c r="G18" i="10"/>
  <c r="H18" i="10" s="1"/>
  <c r="G19" i="10"/>
  <c r="H19" i="10" s="1"/>
  <c r="G20" i="10"/>
  <c r="H20" i="10" s="1"/>
  <c r="L20" i="10" s="1"/>
  <c r="G21" i="10"/>
  <c r="H21" i="10" s="1"/>
  <c r="L21" i="10" s="1"/>
  <c r="G22" i="10"/>
  <c r="H22" i="10" s="1"/>
  <c r="L22" i="10" s="1"/>
  <c r="G23" i="10"/>
  <c r="H23" i="10" s="1"/>
  <c r="G24" i="10"/>
  <c r="H24" i="10" s="1"/>
  <c r="G25" i="10"/>
  <c r="H25" i="10" s="1"/>
  <c r="G26" i="10"/>
  <c r="H26" i="10" s="1"/>
  <c r="G27" i="10"/>
  <c r="H27" i="10" s="1"/>
  <c r="G28" i="10"/>
  <c r="H28" i="10" s="1"/>
  <c r="L28" i="10" s="1"/>
  <c r="G29" i="10"/>
  <c r="H29" i="10" s="1"/>
  <c r="L29" i="10" s="1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5" i="13"/>
  <c r="C20" i="3"/>
  <c r="B16" i="3"/>
  <c r="E12" i="7"/>
  <c r="K17" i="16" s="1"/>
  <c r="F16" i="8"/>
  <c r="H16" i="8" s="1"/>
  <c r="G27" i="9"/>
  <c r="H27" i="9" s="1"/>
  <c r="G28" i="9"/>
  <c r="H28" i="9" s="1"/>
  <c r="G29" i="9"/>
  <c r="H29" i="9" s="1"/>
  <c r="M27" i="9"/>
  <c r="M28" i="9"/>
  <c r="E27" i="13"/>
  <c r="E28" i="13"/>
  <c r="E29" i="13"/>
  <c r="G27" i="13"/>
  <c r="H27" i="13" s="1"/>
  <c r="G28" i="13"/>
  <c r="H28" i="13" s="1"/>
  <c r="G29" i="13"/>
  <c r="H29" i="13" s="1"/>
  <c r="K27" i="13"/>
  <c r="K28" i="13"/>
  <c r="K29" i="13"/>
  <c r="M27" i="13"/>
  <c r="M28" i="13"/>
  <c r="D28" i="3" l="1"/>
  <c r="D18" i="5"/>
  <c r="D17" i="5"/>
  <c r="D19" i="5"/>
  <c r="D16" i="5"/>
  <c r="D15" i="5"/>
  <c r="D14" i="5"/>
  <c r="D13" i="5"/>
  <c r="D20" i="5"/>
  <c r="L12" i="10"/>
  <c r="L27" i="10"/>
  <c r="L19" i="10"/>
  <c r="L11" i="10"/>
  <c r="L25" i="10"/>
  <c r="L17" i="10"/>
  <c r="L9" i="10"/>
  <c r="L26" i="10"/>
  <c r="L18" i="10"/>
  <c r="L10" i="10"/>
  <c r="L24" i="10"/>
  <c r="L16" i="10"/>
  <c r="L23" i="10"/>
  <c r="L15" i="10"/>
  <c r="L8" i="10"/>
  <c r="L7" i="10"/>
  <c r="L6" i="10"/>
  <c r="L5" i="10"/>
  <c r="M5" i="10" s="1"/>
  <c r="L28" i="13"/>
  <c r="L29" i="9"/>
  <c r="L28" i="9"/>
  <c r="L27" i="9"/>
  <c r="L27" i="13"/>
  <c r="M29" i="13"/>
  <c r="L29" i="13"/>
  <c r="M29" i="9" l="1"/>
  <c r="K26" i="13" l="1"/>
  <c r="G26" i="13"/>
  <c r="H26" i="13" s="1"/>
  <c r="E26" i="13"/>
  <c r="K25" i="13"/>
  <c r="G25" i="13"/>
  <c r="H25" i="13" s="1"/>
  <c r="E25" i="13"/>
  <c r="K24" i="13"/>
  <c r="G24" i="13"/>
  <c r="H24" i="13" s="1"/>
  <c r="E24" i="13"/>
  <c r="M23" i="13"/>
  <c r="K23" i="13"/>
  <c r="G23" i="13"/>
  <c r="H23" i="13" s="1"/>
  <c r="E23" i="13"/>
  <c r="K22" i="13"/>
  <c r="G22" i="13"/>
  <c r="H22" i="13" s="1"/>
  <c r="E22" i="13"/>
  <c r="K21" i="13"/>
  <c r="G21" i="13"/>
  <c r="H21" i="13" s="1"/>
  <c r="E21" i="13"/>
  <c r="M20" i="13"/>
  <c r="K20" i="13"/>
  <c r="G20" i="13"/>
  <c r="H20" i="13" s="1"/>
  <c r="E20" i="13"/>
  <c r="M19" i="13"/>
  <c r="K19" i="13"/>
  <c r="G19" i="13"/>
  <c r="H19" i="13" s="1"/>
  <c r="E19" i="13"/>
  <c r="K18" i="13"/>
  <c r="G18" i="13"/>
  <c r="H18" i="13" s="1"/>
  <c r="E18" i="13"/>
  <c r="K17" i="13"/>
  <c r="G17" i="13"/>
  <c r="H17" i="13" s="1"/>
  <c r="E17" i="13"/>
  <c r="K16" i="13"/>
  <c r="G16" i="13"/>
  <c r="H16" i="13" s="1"/>
  <c r="E16" i="13"/>
  <c r="M15" i="13"/>
  <c r="K15" i="13"/>
  <c r="G15" i="13"/>
  <c r="H15" i="13" s="1"/>
  <c r="E15" i="13"/>
  <c r="M14" i="13"/>
  <c r="K14" i="13"/>
  <c r="G14" i="13"/>
  <c r="H14" i="13" s="1"/>
  <c r="E14" i="13"/>
  <c r="M13" i="13"/>
  <c r="K13" i="13"/>
  <c r="G13" i="13"/>
  <c r="H13" i="13" s="1"/>
  <c r="E13" i="13"/>
  <c r="K12" i="13"/>
  <c r="G12" i="13"/>
  <c r="H12" i="13" s="1"/>
  <c r="E12" i="13"/>
  <c r="M11" i="13"/>
  <c r="K11" i="13"/>
  <c r="G11" i="13"/>
  <c r="H11" i="13" s="1"/>
  <c r="E11" i="13"/>
  <c r="K10" i="13"/>
  <c r="G10" i="13"/>
  <c r="H10" i="13" s="1"/>
  <c r="E10" i="13"/>
  <c r="K9" i="13"/>
  <c r="G9" i="13"/>
  <c r="H9" i="13" s="1"/>
  <c r="E9" i="13"/>
  <c r="K8" i="13"/>
  <c r="G8" i="13"/>
  <c r="H8" i="13" s="1"/>
  <c r="E8" i="13"/>
  <c r="K7" i="13"/>
  <c r="G7" i="13"/>
  <c r="H7" i="13" s="1"/>
  <c r="E7" i="13"/>
  <c r="M6" i="13"/>
  <c r="K6" i="13"/>
  <c r="G6" i="13"/>
  <c r="H6" i="13" s="1"/>
  <c r="E6" i="13"/>
  <c r="K5" i="13"/>
  <c r="G5" i="13"/>
  <c r="M26" i="12"/>
  <c r="K26" i="12"/>
  <c r="G26" i="12"/>
  <c r="H26" i="12" s="1"/>
  <c r="M25" i="12"/>
  <c r="K25" i="12"/>
  <c r="G25" i="12"/>
  <c r="H25" i="12" s="1"/>
  <c r="M24" i="12"/>
  <c r="K24" i="12"/>
  <c r="G24" i="12"/>
  <c r="H24" i="12" s="1"/>
  <c r="M23" i="12"/>
  <c r="K23" i="12"/>
  <c r="G23" i="12"/>
  <c r="H23" i="12" s="1"/>
  <c r="M22" i="12"/>
  <c r="K22" i="12"/>
  <c r="G22" i="12"/>
  <c r="H22" i="12" s="1"/>
  <c r="M21" i="12"/>
  <c r="K21" i="12"/>
  <c r="G21" i="12"/>
  <c r="H21" i="12" s="1"/>
  <c r="M20" i="12"/>
  <c r="K20" i="12"/>
  <c r="G20" i="12"/>
  <c r="H20" i="12" s="1"/>
  <c r="M19" i="12"/>
  <c r="K19" i="12"/>
  <c r="G19" i="12"/>
  <c r="H19" i="12" s="1"/>
  <c r="M18" i="12"/>
  <c r="K18" i="12"/>
  <c r="G18" i="12"/>
  <c r="H18" i="12" s="1"/>
  <c r="M17" i="12"/>
  <c r="K17" i="12"/>
  <c r="G17" i="12"/>
  <c r="H17" i="12" s="1"/>
  <c r="M16" i="12"/>
  <c r="K16" i="12"/>
  <c r="G16" i="12"/>
  <c r="H16" i="12" s="1"/>
  <c r="M15" i="12"/>
  <c r="K15" i="12"/>
  <c r="G15" i="12"/>
  <c r="H15" i="12" s="1"/>
  <c r="M14" i="12"/>
  <c r="K14" i="12"/>
  <c r="G14" i="12"/>
  <c r="H14" i="12" s="1"/>
  <c r="M13" i="12"/>
  <c r="K13" i="12"/>
  <c r="G13" i="12"/>
  <c r="H13" i="12" s="1"/>
  <c r="M12" i="12"/>
  <c r="K12" i="12"/>
  <c r="G12" i="12"/>
  <c r="H12" i="12" s="1"/>
  <c r="L12" i="12" s="1"/>
  <c r="M11" i="12"/>
  <c r="K11" i="12"/>
  <c r="G11" i="12"/>
  <c r="H11" i="12" s="1"/>
  <c r="M10" i="12"/>
  <c r="K10" i="12"/>
  <c r="G10" i="12"/>
  <c r="H10" i="12" s="1"/>
  <c r="M9" i="12"/>
  <c r="K9" i="12"/>
  <c r="G9" i="12"/>
  <c r="H9" i="12" s="1"/>
  <c r="M8" i="12"/>
  <c r="K8" i="12"/>
  <c r="G8" i="12"/>
  <c r="H8" i="12" s="1"/>
  <c r="K7" i="12"/>
  <c r="G7" i="12"/>
  <c r="H7" i="12" s="1"/>
  <c r="M6" i="12"/>
  <c r="K6" i="12"/>
  <c r="G6" i="12"/>
  <c r="H6" i="12" s="1"/>
  <c r="K5" i="12"/>
  <c r="G5" i="12"/>
  <c r="H5" i="12" s="1"/>
  <c r="M26" i="4"/>
  <c r="K26" i="4"/>
  <c r="G26" i="4"/>
  <c r="H26" i="4" s="1"/>
  <c r="L26" i="4" s="1"/>
  <c r="M25" i="4"/>
  <c r="K25" i="4"/>
  <c r="G25" i="4"/>
  <c r="H25" i="4" s="1"/>
  <c r="M24" i="4"/>
  <c r="K24" i="4"/>
  <c r="G24" i="4"/>
  <c r="H24" i="4" s="1"/>
  <c r="M23" i="4"/>
  <c r="K23" i="4"/>
  <c r="G23" i="4"/>
  <c r="H23" i="4" s="1"/>
  <c r="M22" i="4"/>
  <c r="K22" i="4"/>
  <c r="G22" i="4"/>
  <c r="H22" i="4" s="1"/>
  <c r="M21" i="4"/>
  <c r="K21" i="4"/>
  <c r="G21" i="4"/>
  <c r="H21" i="4" s="1"/>
  <c r="M20" i="4"/>
  <c r="K20" i="4"/>
  <c r="G20" i="4"/>
  <c r="H20" i="4" s="1"/>
  <c r="L20" i="4" s="1"/>
  <c r="M19" i="4"/>
  <c r="K19" i="4"/>
  <c r="G19" i="4"/>
  <c r="H19" i="4" s="1"/>
  <c r="M18" i="4"/>
  <c r="K18" i="4"/>
  <c r="G18" i="4"/>
  <c r="H18" i="4" s="1"/>
  <c r="M17" i="4"/>
  <c r="K17" i="4"/>
  <c r="G17" i="4"/>
  <c r="H17" i="4" s="1"/>
  <c r="M16" i="4"/>
  <c r="K16" i="4"/>
  <c r="G16" i="4"/>
  <c r="H16" i="4" s="1"/>
  <c r="M15" i="4"/>
  <c r="K15" i="4"/>
  <c r="G15" i="4"/>
  <c r="H15" i="4" s="1"/>
  <c r="M14" i="4"/>
  <c r="K14" i="4"/>
  <c r="G14" i="4"/>
  <c r="H14" i="4" s="1"/>
  <c r="M13" i="4"/>
  <c r="K13" i="4"/>
  <c r="G13" i="4"/>
  <c r="H13" i="4" s="1"/>
  <c r="M12" i="4"/>
  <c r="K12" i="4"/>
  <c r="G12" i="4"/>
  <c r="H12" i="4" s="1"/>
  <c r="L12" i="4" s="1"/>
  <c r="M11" i="4"/>
  <c r="K11" i="4"/>
  <c r="G11" i="4"/>
  <c r="H11" i="4" s="1"/>
  <c r="M10" i="4"/>
  <c r="K10" i="4"/>
  <c r="G10" i="4"/>
  <c r="H10" i="4" s="1"/>
  <c r="M9" i="4"/>
  <c r="K9" i="4"/>
  <c r="G9" i="4"/>
  <c r="H9" i="4" s="1"/>
  <c r="M8" i="4"/>
  <c r="K8" i="4"/>
  <c r="G8" i="4"/>
  <c r="H8" i="4" s="1"/>
  <c r="K7" i="4"/>
  <c r="G7" i="4"/>
  <c r="H7" i="4" s="1"/>
  <c r="M6" i="4"/>
  <c r="K6" i="4"/>
  <c r="G6" i="4"/>
  <c r="H6" i="4" s="1"/>
  <c r="K5" i="4"/>
  <c r="G5" i="4"/>
  <c r="H5" i="4" s="1"/>
  <c r="M6" i="9"/>
  <c r="M11" i="9"/>
  <c r="M13" i="9"/>
  <c r="M14" i="9"/>
  <c r="M15" i="9"/>
  <c r="M19" i="9"/>
  <c r="M20" i="9"/>
  <c r="M23" i="9"/>
  <c r="G6" i="9"/>
  <c r="H6" i="9" s="1"/>
  <c r="G7" i="9"/>
  <c r="H7" i="9" s="1"/>
  <c r="G8" i="9"/>
  <c r="H8" i="9" s="1"/>
  <c r="G9" i="9"/>
  <c r="H9" i="9" s="1"/>
  <c r="L9" i="9" s="1"/>
  <c r="G10" i="9"/>
  <c r="H10" i="9" s="1"/>
  <c r="L10" i="9" s="1"/>
  <c r="G11" i="9"/>
  <c r="H11" i="9" s="1"/>
  <c r="G12" i="9"/>
  <c r="H12" i="9" s="1"/>
  <c r="G13" i="9"/>
  <c r="H13" i="9" s="1"/>
  <c r="G14" i="9"/>
  <c r="H14" i="9" s="1"/>
  <c r="L14" i="9" s="1"/>
  <c r="G15" i="9"/>
  <c r="H15" i="9" s="1"/>
  <c r="G16" i="9"/>
  <c r="H16" i="9" s="1"/>
  <c r="G17" i="9"/>
  <c r="H17" i="9" s="1"/>
  <c r="L17" i="9" s="1"/>
  <c r="G18" i="9"/>
  <c r="H18" i="9" s="1"/>
  <c r="L18" i="9" s="1"/>
  <c r="G19" i="9"/>
  <c r="H19" i="9" s="1"/>
  <c r="G20" i="9"/>
  <c r="H20" i="9" s="1"/>
  <c r="G21" i="9"/>
  <c r="H21" i="9" s="1"/>
  <c r="G22" i="9"/>
  <c r="H22" i="9" s="1"/>
  <c r="L22" i="9" s="1"/>
  <c r="G23" i="9"/>
  <c r="H23" i="9" s="1"/>
  <c r="G24" i="9"/>
  <c r="H24" i="9" s="1"/>
  <c r="G25" i="9"/>
  <c r="H25" i="9" s="1"/>
  <c r="L25" i="9" s="1"/>
  <c r="G26" i="9"/>
  <c r="H26" i="9" s="1"/>
  <c r="L26" i="9" s="1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F21" i="8"/>
  <c r="F17" i="8"/>
  <c r="F19" i="8"/>
  <c r="F20" i="8"/>
  <c r="F18" i="8"/>
  <c r="F24" i="8"/>
  <c r="F23" i="8"/>
  <c r="F25" i="8"/>
  <c r="F22" i="8"/>
  <c r="F26" i="8"/>
  <c r="F14" i="8"/>
  <c r="F15" i="8"/>
  <c r="F12" i="8"/>
  <c r="F13" i="8"/>
  <c r="F11" i="8"/>
  <c r="F10" i="8"/>
  <c r="F9" i="8"/>
  <c r="F8" i="8"/>
  <c r="F7" i="8"/>
  <c r="F6" i="8"/>
  <c r="F5" i="8"/>
  <c r="H7" i="8" l="1"/>
  <c r="I7" i="8" s="1"/>
  <c r="H14" i="8"/>
  <c r="I14" i="8" s="1"/>
  <c r="H19" i="8"/>
  <c r="I19" i="8" s="1"/>
  <c r="H26" i="8"/>
  <c r="I26" i="8" s="1"/>
  <c r="H21" i="8"/>
  <c r="I21" i="8" s="1"/>
  <c r="H20" i="8"/>
  <c r="I20" i="8" s="1"/>
  <c r="H9" i="8"/>
  <c r="I9" i="8" s="1"/>
  <c r="H10" i="8"/>
  <c r="I10" i="8" s="1"/>
  <c r="H25" i="8"/>
  <c r="I25" i="8" s="1"/>
  <c r="H11" i="8"/>
  <c r="I11" i="8" s="1"/>
  <c r="H23" i="8"/>
  <c r="I23" i="8" s="1"/>
  <c r="H15" i="8"/>
  <c r="I15" i="8" s="1"/>
  <c r="H17" i="8"/>
  <c r="I17" i="8" s="1"/>
  <c r="H22" i="8"/>
  <c r="I22" i="8" s="1"/>
  <c r="H13" i="8"/>
  <c r="I13" i="8" s="1"/>
  <c r="H24" i="8"/>
  <c r="I24" i="8" s="1"/>
  <c r="H6" i="8"/>
  <c r="I6" i="8" s="1"/>
  <c r="H8" i="8"/>
  <c r="I8" i="8" s="1"/>
  <c r="H5" i="8"/>
  <c r="I5" i="8" s="1"/>
  <c r="H12" i="8"/>
  <c r="I12" i="8" s="1"/>
  <c r="H18" i="8"/>
  <c r="I18" i="8" s="1"/>
  <c r="L16" i="4"/>
  <c r="L24" i="4"/>
  <c r="L16" i="12"/>
  <c r="L24" i="12"/>
  <c r="L20" i="12"/>
  <c r="L5" i="4"/>
  <c r="L5" i="12"/>
  <c r="L11" i="12"/>
  <c r="L18" i="4"/>
  <c r="L7" i="12"/>
  <c r="L10" i="12"/>
  <c r="L18" i="12"/>
  <c r="L26" i="12"/>
  <c r="L23" i="13"/>
  <c r="L13" i="4"/>
  <c r="L21" i="4"/>
  <c r="L13" i="12"/>
  <c r="L21" i="12"/>
  <c r="L14" i="4"/>
  <c r="L22" i="4"/>
  <c r="L22" i="12"/>
  <c r="L15" i="4"/>
  <c r="L23" i="4"/>
  <c r="L15" i="12"/>
  <c r="L23" i="12"/>
  <c r="L11" i="4"/>
  <c r="L19" i="4"/>
  <c r="L19" i="12"/>
  <c r="M29" i="12"/>
  <c r="L14" i="12"/>
  <c r="L17" i="4"/>
  <c r="L25" i="4"/>
  <c r="L9" i="12"/>
  <c r="L17" i="12"/>
  <c r="L25" i="12"/>
  <c r="M25" i="9"/>
  <c r="D48" i="3" s="1"/>
  <c r="M9" i="9"/>
  <c r="M18" i="9"/>
  <c r="M17" i="9"/>
  <c r="M22" i="9"/>
  <c r="M26" i="9"/>
  <c r="M10" i="9"/>
  <c r="L18" i="13"/>
  <c r="M18" i="13" s="1"/>
  <c r="L14" i="13"/>
  <c r="L16" i="13"/>
  <c r="L10" i="13"/>
  <c r="M10" i="13" s="1"/>
  <c r="L13" i="13"/>
  <c r="L15" i="13"/>
  <c r="H5" i="13"/>
  <c r="L5" i="13" s="1"/>
  <c r="L9" i="13"/>
  <c r="M9" i="13" s="1"/>
  <c r="L12" i="13"/>
  <c r="L19" i="13"/>
  <c r="M21" i="13" s="1"/>
  <c r="L21" i="13"/>
  <c r="L26" i="13"/>
  <c r="M26" i="13" s="1"/>
  <c r="L17" i="13"/>
  <c r="M17" i="13" s="1"/>
  <c r="L22" i="13"/>
  <c r="M22" i="13" s="1"/>
  <c r="L24" i="13"/>
  <c r="M24" i="13" s="1"/>
  <c r="L11" i="13"/>
  <c r="M12" i="13" s="1"/>
  <c r="L20" i="13"/>
  <c r="M16" i="13"/>
  <c r="M32" i="13"/>
  <c r="L25" i="13"/>
  <c r="M25" i="13" s="1"/>
  <c r="M32" i="9"/>
  <c r="M31" i="10"/>
  <c r="D12" i="3" s="1"/>
  <c r="M32" i="10"/>
  <c r="M29" i="4"/>
  <c r="L6" i="4"/>
  <c r="M7" i="4" s="1"/>
  <c r="L9" i="4"/>
  <c r="L7" i="4"/>
  <c r="L10" i="4"/>
  <c r="L8" i="4"/>
  <c r="L8" i="12"/>
  <c r="L6" i="12"/>
  <c r="M7" i="12" s="1"/>
  <c r="L6" i="13"/>
  <c r="M7" i="13" s="1"/>
  <c r="L8" i="13"/>
  <c r="L7" i="13"/>
  <c r="M5" i="13"/>
  <c r="M5" i="12"/>
  <c r="M5" i="4"/>
  <c r="L13" i="9"/>
  <c r="L21" i="9"/>
  <c r="L24" i="9"/>
  <c r="L20" i="9"/>
  <c r="L16" i="9"/>
  <c r="L12" i="9"/>
  <c r="L8" i="9"/>
  <c r="L23" i="9"/>
  <c r="L19" i="9"/>
  <c r="L15" i="9"/>
  <c r="L11" i="9"/>
  <c r="L6" i="9"/>
  <c r="L7" i="9"/>
  <c r="I16" i="8"/>
  <c r="M8" i="9" l="1"/>
  <c r="D30" i="3"/>
  <c r="K6" i="16" s="1"/>
  <c r="M24" i="9"/>
  <c r="D47" i="3" s="1"/>
  <c r="M12" i="9"/>
  <c r="M28" i="4"/>
  <c r="D13" i="3" s="1"/>
  <c r="M28" i="12"/>
  <c r="D14" i="3" s="1"/>
  <c r="M21" i="9"/>
  <c r="M16" i="9"/>
  <c r="M8" i="13"/>
  <c r="M31" i="13"/>
  <c r="D15" i="3" s="1"/>
  <c r="M31" i="9"/>
  <c r="D45" i="3" l="1"/>
  <c r="D29" i="3"/>
  <c r="D49" i="3"/>
  <c r="D11" i="3"/>
  <c r="D20" i="3" s="1"/>
  <c r="K5" i="16" s="1"/>
  <c r="K8" i="16" s="1"/>
  <c r="K9" i="16" s="1"/>
  <c r="D36" i="3"/>
  <c r="I13" i="6"/>
  <c r="I20" i="6"/>
  <c r="I14" i="6"/>
  <c r="I22" i="6"/>
  <c r="I24" i="6"/>
  <c r="I17" i="6"/>
  <c r="I11" i="6"/>
  <c r="I12" i="6"/>
  <c r="I15" i="6"/>
  <c r="I28" i="6"/>
  <c r="I19" i="6"/>
  <c r="I27" i="6"/>
  <c r="I25" i="6"/>
  <c r="I10" i="6"/>
  <c r="I8" i="6"/>
  <c r="I23" i="6"/>
  <c r="I18" i="6"/>
  <c r="I16" i="6"/>
  <c r="I9" i="6"/>
  <c r="I26" i="6"/>
  <c r="I7" i="6"/>
  <c r="I21" i="6"/>
  <c r="G35" i="2" l="1"/>
  <c r="I32" i="6"/>
  <c r="K12" i="16" s="1"/>
  <c r="K11" i="16" s="1"/>
  <c r="K15" i="16" s="1"/>
  <c r="G23" i="2"/>
  <c r="G16" i="2"/>
  <c r="G8" i="2"/>
  <c r="G34" i="2" s="1"/>
  <c r="K21" i="16" l="1"/>
  <c r="K23" i="16" l="1"/>
  <c r="K25" i="1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tc={15B3FFE4-8926-481F-B072-1FFBDC5C6352}</author>
    <author>tc={7CB87881-6678-47B3-8E89-A41D90E70B98}</author>
    <author>tc={03F455AC-4169-4542-9238-C3B15FD2D387}</author>
    <author>tc={F1C0C91F-3161-4899-B67A-CC403BF31263}</author>
  </authors>
  <commentList>
    <comment ref="C13" authorId="0" shapeId="0" xr:uid="{15B3FFE4-8926-481F-B072-1FFBDC5C6352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Colocar  descrição da despesa na coluna de observação </t>
      </text>
    </comment>
    <comment ref="C21" authorId="1" shapeId="0" xr:uid="{7CB87881-6678-47B3-8E89-A41D90E70B98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Colocar  descrição da despesa na coluna de observação </t>
      </text>
    </comment>
    <comment ref="C29" authorId="2" shapeId="0" xr:uid="{03F455AC-4169-4542-9238-C3B15FD2D387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Colocar  descrição da despesa na coluna de observação </t>
      </text>
    </comment>
    <comment ref="B31" authorId="3" shapeId="0" xr:uid="{F1C0C91F-3161-4899-B67A-CC403BF31263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Colocar  descrição da despesa na coluna de observação 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tc={7A0E73A3-620C-4B9D-91A9-01244E54CCE2}</author>
  </authors>
  <commentList>
    <comment ref="B8" authorId="0" shapeId="0" xr:uid="{7A0E73A3-620C-4B9D-91A9-01244E54CCE2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Exemplo Estantes,Prateleiras,etc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tc={19175BE9-56E7-4C51-988F-55382BDB4786}</author>
    <author>tc={659C8D65-E74F-4FCF-8E6D-567E1E569001}</author>
  </authors>
  <commentList>
    <comment ref="J8" authorId="0" shapeId="0" xr:uid="{19175BE9-56E7-4C51-988F-55382BDB4786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Imposto considerado 15%</t>
      </text>
    </comment>
    <comment ref="I23" authorId="1" shapeId="0" xr:uid="{659C8D65-E74F-4FCF-8E6D-567E1E56900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Imposto considerado 3%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<sst xmlns="http://schemas.openxmlformats.org/spreadsheetml/2006/main" count="428" uniqueCount="160">
  <si>
    <t>Manutenção de Equipamentos</t>
  </si>
  <si>
    <t>Impostos</t>
  </si>
  <si>
    <t>Limpeza</t>
  </si>
  <si>
    <t>Aluguel Loja</t>
  </si>
  <si>
    <t>Seguros</t>
  </si>
  <si>
    <t>Outros</t>
  </si>
  <si>
    <t>Compras Mercadorias</t>
  </si>
  <si>
    <t>Investimentos</t>
  </si>
  <si>
    <t>Salários</t>
  </si>
  <si>
    <t>Bonificações</t>
  </si>
  <si>
    <t>Vales (Refeição, Transporte)</t>
  </si>
  <si>
    <t>Informática</t>
  </si>
  <si>
    <t>Serviços Terceirizados</t>
  </si>
  <si>
    <t>Escritório Contábil</t>
  </si>
  <si>
    <t>Escritório Advocacia</t>
  </si>
  <si>
    <t>Entregas</t>
  </si>
  <si>
    <t>Marketing</t>
  </si>
  <si>
    <t>Arroz</t>
  </si>
  <si>
    <t>Feijão</t>
  </si>
  <si>
    <t>Tomate</t>
  </si>
  <si>
    <t>Alface</t>
  </si>
  <si>
    <t>Carne</t>
  </si>
  <si>
    <t>Frango</t>
  </si>
  <si>
    <t>Peixe</t>
  </si>
  <si>
    <t>Queijo</t>
  </si>
  <si>
    <t>Vinho</t>
  </si>
  <si>
    <t>Suco</t>
  </si>
  <si>
    <t>Cenoura</t>
  </si>
  <si>
    <t>Vagem</t>
  </si>
  <si>
    <t>Amendoim</t>
  </si>
  <si>
    <t>Cerveja</t>
  </si>
  <si>
    <t>Vodka</t>
  </si>
  <si>
    <t>Couve</t>
  </si>
  <si>
    <t>Caixa de Fósforo</t>
  </si>
  <si>
    <t>Bala</t>
  </si>
  <si>
    <t>Chocolate</t>
  </si>
  <si>
    <t>Cigarro</t>
  </si>
  <si>
    <t>Barra de Cereal</t>
  </si>
  <si>
    <t>Zé supermercado</t>
  </si>
  <si>
    <t>Despesas</t>
  </si>
  <si>
    <t>Despesas de funcionamento</t>
  </si>
  <si>
    <t xml:space="preserve">items despesas </t>
  </si>
  <si>
    <t>Data</t>
  </si>
  <si>
    <t>Observação</t>
  </si>
  <si>
    <t>Valor intermediario</t>
  </si>
  <si>
    <t>Valor final</t>
  </si>
  <si>
    <t>Funcionarios</t>
  </si>
  <si>
    <t>Despesas Funcionamento</t>
  </si>
  <si>
    <t xml:space="preserve">Água </t>
  </si>
  <si>
    <t>Gás</t>
  </si>
  <si>
    <t>Energia</t>
  </si>
  <si>
    <t>Telefone</t>
  </si>
  <si>
    <t>férias,liçensa maternidade</t>
  </si>
  <si>
    <t>Total de despesas de Funcionamento</t>
  </si>
  <si>
    <t>Fornecedor</t>
  </si>
  <si>
    <t>Mercadoria</t>
  </si>
  <si>
    <t>Medida</t>
  </si>
  <si>
    <t>Quantidade</t>
  </si>
  <si>
    <t>Preço Unitário</t>
  </si>
  <si>
    <t>Desconto</t>
  </si>
  <si>
    <t>Valor Pago</t>
  </si>
  <si>
    <t>Produtos</t>
  </si>
  <si>
    <t>Preço de Compra Unitário</t>
  </si>
  <si>
    <t>Preço de Venda Unitário</t>
  </si>
  <si>
    <t>Unidade</t>
  </si>
  <si>
    <t>Pacote</t>
  </si>
  <si>
    <t>Kg</t>
  </si>
  <si>
    <t>Leite</t>
  </si>
  <si>
    <t>Litro</t>
  </si>
  <si>
    <t>Lata</t>
  </si>
  <si>
    <t>Barra</t>
  </si>
  <si>
    <t>Maço</t>
  </si>
  <si>
    <t>Pão de Forma</t>
  </si>
  <si>
    <t>Refrigerante</t>
  </si>
  <si>
    <t>Garrafa</t>
  </si>
  <si>
    <t>Fornecedor de Verduras</t>
  </si>
  <si>
    <t>Fornecedor de Grãos e Sementes</t>
  </si>
  <si>
    <t>Fornecedor de Bebidas</t>
  </si>
  <si>
    <t>Fornecedor de Cigarro</t>
  </si>
  <si>
    <t>Fornecedor de Doces</t>
  </si>
  <si>
    <t>Padaria</t>
  </si>
  <si>
    <t>Fornecedor de Frango</t>
  </si>
  <si>
    <t>Fornecedor de Peixe</t>
  </si>
  <si>
    <t>Fornecedor de Legumes</t>
  </si>
  <si>
    <t>Fornecedor de Carne</t>
  </si>
  <si>
    <t>Total</t>
  </si>
  <si>
    <t>Total compra de mercadorias</t>
  </si>
  <si>
    <t>Investimento</t>
  </si>
  <si>
    <t>Descrição</t>
  </si>
  <si>
    <t>Valor</t>
  </si>
  <si>
    <t>Investimento inicial</t>
  </si>
  <si>
    <t>informática</t>
  </si>
  <si>
    <t>Equipamentos (carrinhos,Balaças,cortador de queijo,etc)</t>
  </si>
  <si>
    <t xml:space="preserve"> </t>
  </si>
  <si>
    <t>Documentção,Sistema De Informação,Estrutura inicial,Sistema De Refrigeração,Equipamentos</t>
  </si>
  <si>
    <t>controle de estoque</t>
  </si>
  <si>
    <t>Data última compra</t>
  </si>
  <si>
    <t>Quatidade inicial</t>
  </si>
  <si>
    <t>Produto</t>
  </si>
  <si>
    <t>Quantidade comprada</t>
  </si>
  <si>
    <t>Quantidade vendida</t>
  </si>
  <si>
    <t>Quantidade atual</t>
  </si>
  <si>
    <t>Situação</t>
  </si>
  <si>
    <t>ID da venda</t>
  </si>
  <si>
    <t>Preço unitario</t>
  </si>
  <si>
    <t>Subtotal</t>
  </si>
  <si>
    <t>Entrega</t>
  </si>
  <si>
    <t>Valor De Entrega</t>
  </si>
  <si>
    <t>Total Para o Cliente</t>
  </si>
  <si>
    <t>Vendas semana 1</t>
  </si>
  <si>
    <t>Regiões de Entrega</t>
  </si>
  <si>
    <t>Preço</t>
  </si>
  <si>
    <t>Centro</t>
  </si>
  <si>
    <t>Loja</t>
  </si>
  <si>
    <t>Zona Norte</t>
  </si>
  <si>
    <t>Zona Oeste</t>
  </si>
  <si>
    <t>Zona Sul</t>
  </si>
  <si>
    <t xml:space="preserve">Vendas </t>
  </si>
  <si>
    <t>Receita de Vendas da Semana</t>
  </si>
  <si>
    <t>Receita De Entregas</t>
  </si>
  <si>
    <t>Vendas Semana 4</t>
  </si>
  <si>
    <t>Vendas Semana 2</t>
  </si>
  <si>
    <t>Vendas Semana 3</t>
  </si>
  <si>
    <t>Vendas Semana 5</t>
  </si>
  <si>
    <t>Ticket médio</t>
  </si>
  <si>
    <t>Receita Entregas</t>
  </si>
  <si>
    <t>Quantidade De Venda por  Região</t>
  </si>
  <si>
    <t>Total de Vendas Semana 1</t>
  </si>
  <si>
    <t>Total de Vendas Semana 2</t>
  </si>
  <si>
    <t>Total de Vendas Semana 3</t>
  </si>
  <si>
    <t>Total de Vendas Semana 4</t>
  </si>
  <si>
    <t>Total de Vendas Semana 5</t>
  </si>
  <si>
    <t>julho</t>
  </si>
  <si>
    <t>zona sul</t>
  </si>
  <si>
    <t>Vendas por Entrega(%)</t>
  </si>
  <si>
    <t>Receita Entregas(R$)</t>
  </si>
  <si>
    <t>Vendas por Entrega(R$)</t>
  </si>
  <si>
    <t>c</t>
  </si>
  <si>
    <t>Número de Vendas</t>
  </si>
  <si>
    <t>Receita liquida</t>
  </si>
  <si>
    <t>Total de receitas</t>
  </si>
  <si>
    <t>Resultados</t>
  </si>
  <si>
    <t>Imposto sobre Receita</t>
  </si>
  <si>
    <t>Total de despesas</t>
  </si>
  <si>
    <t>Depreciação e Amortização</t>
  </si>
  <si>
    <t>Resultado antes do imposto</t>
  </si>
  <si>
    <t>imposto</t>
  </si>
  <si>
    <t>Resultado líquido</t>
  </si>
  <si>
    <t>Resultado Bruto</t>
  </si>
  <si>
    <t>Receita Mercadorias</t>
  </si>
  <si>
    <t>Despesas mercadorias</t>
  </si>
  <si>
    <t>Total Investimentos</t>
  </si>
  <si>
    <t xml:space="preserve"> Estrutura</t>
  </si>
  <si>
    <t>Rótulos de Linha</t>
  </si>
  <si>
    <t>Total Geral</t>
  </si>
  <si>
    <t>Soma de Total</t>
  </si>
  <si>
    <t>Soma de Valor De Entrega</t>
  </si>
  <si>
    <t>Soma de Quantidade</t>
  </si>
  <si>
    <t>(vazio)</t>
  </si>
  <si>
    <t xml:space="preserve"> 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</si>
</sst>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R$&quot;\ * #,##0.00_-;\-&quot;R$&quot;\ * #,##0.00_-;_-&quot;R$&quot;\ * &quot;-&quot;??_-;_-@_-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4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9"/>
      <name val="Calibri"/>
      <family val="2"/>
      <scheme val="minor"/>
    </font>
    <font>
      <sz val="16"/>
      <color theme="9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0000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9" tint="0.39994506668294322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theme="9"/>
      </left>
      <right/>
      <top style="thick">
        <color theme="9"/>
      </top>
      <bottom/>
      <diagonal/>
    </border>
    <border>
      <left/>
      <right/>
      <top style="thick">
        <color theme="9"/>
      </top>
      <bottom/>
      <diagonal/>
    </border>
    <border>
      <left style="thick">
        <color theme="9"/>
      </left>
      <right/>
      <top/>
      <bottom/>
      <diagonal/>
    </border>
    <border>
      <left style="thick">
        <color theme="9"/>
      </left>
      <right/>
      <top/>
      <bottom style="thick">
        <color theme="9"/>
      </bottom>
      <diagonal/>
    </border>
    <border>
      <left/>
      <right/>
      <top/>
      <bottom style="thick">
        <color theme="9"/>
      </bottom>
      <diagonal/>
    </border>
    <border>
      <left/>
      <right/>
      <top style="thick">
        <color theme="9"/>
      </top>
      <bottom style="thick">
        <color theme="9"/>
      </bottom>
      <diagonal/>
    </border>
    <border>
      <left/>
      <right style="thick">
        <color theme="9"/>
      </right>
      <top style="thick">
        <color theme="9"/>
      </top>
      <bottom/>
      <diagonal/>
    </border>
    <border>
      <left/>
      <right style="thick">
        <color theme="9"/>
      </right>
      <top/>
      <bottom/>
      <diagonal/>
    </border>
    <border>
      <left/>
      <right style="thick">
        <color theme="9"/>
      </right>
      <top/>
      <bottom style="thick">
        <color theme="9"/>
      </bottom>
      <diagonal/>
    </border>
    <border>
      <left/>
      <right/>
      <top style="thick">
        <color auto="1"/>
      </top>
      <bottom/>
      <diagonal/>
    </border>
    <border>
      <left/>
      <right/>
      <top/>
      <bottom style="thick">
        <color indexed="64"/>
      </bottom>
      <diagonal/>
    </border>
    <border>
      <left/>
      <right/>
      <top style="thick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84">
    <xf numFmtId="0" fontId="0" fillId="0" borderId="0" xfId="0"/>
    <xf numFmtId="0" fontId="2" fillId="0" borderId="0" xfId="0" applyFont="1"/>
    <xf numFmtId="44" fontId="0" fillId="0" borderId="0" xfId="1" applyFont="1"/>
    <xf numFmtId="0" fontId="0" fillId="2" borderId="0" xfId="0" applyFill="1"/>
    <xf numFmtId="0" fontId="0" fillId="3" borderId="0" xfId="0" applyFill="1"/>
    <xf numFmtId="0" fontId="5" fillId="0" borderId="0" xfId="0" applyFont="1" applyAlignment="1">
      <alignment horizontal="center" vertical="center"/>
    </xf>
    <xf numFmtId="14" fontId="0" fillId="0" borderId="0" xfId="0" applyNumberFormat="1"/>
    <xf numFmtId="0" fontId="7" fillId="3" borderId="0" xfId="0" applyFont="1" applyFill="1" applyAlignment="1">
      <alignment horizontal="left" vertical="center"/>
    </xf>
    <xf numFmtId="9" fontId="0" fillId="0" borderId="0" xfId="2" applyFont="1"/>
    <xf numFmtId="0" fontId="6" fillId="4" borderId="1" xfId="0" applyFont="1" applyFill="1" applyBorder="1" applyAlignment="1">
      <alignment vertical="center"/>
    </xf>
    <xf numFmtId="0" fontId="2" fillId="4" borderId="1" xfId="0" applyFont="1" applyFill="1" applyBorder="1"/>
    <xf numFmtId="44" fontId="4" fillId="4" borderId="1" xfId="0" applyNumberFormat="1" applyFont="1" applyFill="1" applyBorder="1" applyAlignment="1">
      <alignment horizontal="center" vertical="center"/>
    </xf>
    <xf numFmtId="0" fontId="0" fillId="5" borderId="0" xfId="0" applyFill="1"/>
    <xf numFmtId="0" fontId="0" fillId="5" borderId="1" xfId="0" applyFill="1" applyBorder="1"/>
    <xf numFmtId="0" fontId="5" fillId="5" borderId="0" xfId="0" applyFont="1" applyFill="1" applyAlignment="1">
      <alignment horizontal="center" vertical="center"/>
    </xf>
    <xf numFmtId="44" fontId="4" fillId="5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7" fillId="5" borderId="0" xfId="0" applyFont="1" applyFill="1" applyAlignment="1">
      <alignment horizontal="left" vertical="center"/>
    </xf>
    <xf numFmtId="0" fontId="5" fillId="5" borderId="1" xfId="0" applyFont="1" applyFill="1" applyBorder="1" applyAlignment="1">
      <alignment horizontal="center" vertical="center"/>
    </xf>
    <xf numFmtId="44" fontId="5" fillId="5" borderId="1" xfId="0" applyNumberFormat="1" applyFont="1" applyFill="1" applyBorder="1" applyAlignment="1">
      <alignment horizontal="center" vertical="center"/>
    </xf>
    <xf numFmtId="44" fontId="6" fillId="5" borderId="0" xfId="0" applyNumberFormat="1" applyFont="1" applyFill="1" applyAlignment="1">
      <alignment horizontal="center" vertical="center"/>
    </xf>
    <xf numFmtId="0" fontId="7" fillId="6" borderId="0" xfId="0" applyFont="1" applyFill="1" applyAlignment="1">
      <alignment horizontal="left" vertical="center"/>
    </xf>
    <xf numFmtId="0" fontId="0" fillId="6" borderId="0" xfId="0" applyFill="1"/>
    <xf numFmtId="0" fontId="8" fillId="0" borderId="0" xfId="0" applyFont="1"/>
    <xf numFmtId="0" fontId="7" fillId="2" borderId="0" xfId="0" applyFont="1" applyFill="1" applyAlignment="1">
      <alignment horizontal="left" vertical="center"/>
    </xf>
    <xf numFmtId="0" fontId="3" fillId="0" borderId="0" xfId="0" applyFont="1" applyAlignment="1">
      <alignment vertical="center"/>
    </xf>
    <xf numFmtId="0" fontId="3" fillId="7" borderId="0" xfId="0" applyFont="1" applyFill="1" applyAlignment="1">
      <alignment vertical="center"/>
    </xf>
    <xf numFmtId="0" fontId="3" fillId="0" borderId="0" xfId="0" applyFont="1" applyFill="1" applyAlignment="1">
      <alignment vertical="center"/>
    </xf>
    <xf numFmtId="0" fontId="0" fillId="7" borderId="0" xfId="0" applyFill="1"/>
    <xf numFmtId="0" fontId="5" fillId="5" borderId="2" xfId="0" applyFont="1" applyFill="1" applyBorder="1" applyAlignment="1">
      <alignment horizontal="center" vertical="center"/>
    </xf>
    <xf numFmtId="0" fontId="0" fillId="0" borderId="0" xfId="0" applyBorder="1"/>
    <xf numFmtId="44" fontId="5" fillId="5" borderId="2" xfId="0" applyNumberFormat="1" applyFont="1" applyFill="1" applyBorder="1" applyAlignment="1">
      <alignment horizontal="center" vertical="center"/>
    </xf>
    <xf numFmtId="14" fontId="0" fillId="0" borderId="3" xfId="0" applyNumberFormat="1" applyBorder="1"/>
    <xf numFmtId="0" fontId="0" fillId="0" borderId="0" xfId="0" applyNumberFormat="1"/>
    <xf numFmtId="44" fontId="0" fillId="0" borderId="0" xfId="1" applyNumberFormat="1" applyFont="1"/>
    <xf numFmtId="0" fontId="0" fillId="0" borderId="0" xfId="0" applyFont="1"/>
    <xf numFmtId="0" fontId="11" fillId="0" borderId="5" xfId="0" applyFont="1" applyBorder="1" applyAlignment="1">
      <alignment horizontal="center" vertical="center"/>
    </xf>
    <xf numFmtId="0" fontId="0" fillId="0" borderId="7" xfId="0" applyBorder="1"/>
    <xf numFmtId="0" fontId="0" fillId="0" borderId="8" xfId="0" applyBorder="1"/>
    <xf numFmtId="14" fontId="0" fillId="0" borderId="8" xfId="0" applyNumberFormat="1" applyBorder="1"/>
    <xf numFmtId="0" fontId="0" fillId="0" borderId="9" xfId="0" applyBorder="1"/>
    <xf numFmtId="14" fontId="0" fillId="0" borderId="0" xfId="0" applyNumberFormat="1" applyBorder="1"/>
    <xf numFmtId="0" fontId="0" fillId="0" borderId="10" xfId="0" applyBorder="1"/>
    <xf numFmtId="0" fontId="0" fillId="0" borderId="11" xfId="0" applyBorder="1"/>
    <xf numFmtId="44" fontId="0" fillId="0" borderId="0" xfId="0" applyNumberFormat="1"/>
    <xf numFmtId="14" fontId="0" fillId="0" borderId="11" xfId="0" applyNumberFormat="1" applyBorder="1"/>
    <xf numFmtId="14" fontId="10" fillId="0" borderId="11" xfId="0" applyNumberFormat="1" applyFont="1" applyBorder="1"/>
    <xf numFmtId="44" fontId="10" fillId="0" borderId="11" xfId="0" applyNumberFormat="1" applyFont="1" applyBorder="1"/>
    <xf numFmtId="14" fontId="10" fillId="0" borderId="12" xfId="0" applyNumberFormat="1" applyFont="1" applyBorder="1"/>
    <xf numFmtId="44" fontId="10" fillId="0" borderId="12" xfId="0" applyNumberFormat="1" applyFont="1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10" fillId="0" borderId="11" xfId="0" applyFont="1" applyBorder="1"/>
    <xf numFmtId="9" fontId="10" fillId="0" borderId="11" xfId="2" applyFont="1" applyBorder="1"/>
    <xf numFmtId="44" fontId="10" fillId="0" borderId="12" xfId="1" applyFont="1" applyBorder="1"/>
    <xf numFmtId="44" fontId="10" fillId="0" borderId="12" xfId="1" applyNumberFormat="1" applyFont="1" applyBorder="1"/>
    <xf numFmtId="44" fontId="5" fillId="5" borderId="0" xfId="0" applyNumberFormat="1" applyFont="1" applyFill="1" applyBorder="1" applyAlignment="1">
      <alignment horizontal="center" vertical="center"/>
    </xf>
    <xf numFmtId="0" fontId="5" fillId="5" borderId="16" xfId="0" applyNumberFormat="1" applyFont="1" applyFill="1" applyBorder="1" applyAlignment="1">
      <alignment horizontal="right"/>
    </xf>
    <xf numFmtId="14" fontId="10" fillId="0" borderId="0" xfId="0" applyNumberFormat="1" applyFont="1" applyBorder="1"/>
    <xf numFmtId="0" fontId="10" fillId="0" borderId="12" xfId="0" applyNumberFormat="1" applyFont="1" applyBorder="1"/>
    <xf numFmtId="44" fontId="5" fillId="0" borderId="4" xfId="1" applyFont="1" applyBorder="1"/>
    <xf numFmtId="0" fontId="5" fillId="0" borderId="0" xfId="0" applyFont="1" applyBorder="1"/>
    <xf numFmtId="0" fontId="5" fillId="0" borderId="6" xfId="0" applyFont="1" applyBorder="1"/>
    <xf numFmtId="44" fontId="5" fillId="0" borderId="6" xfId="1" applyFont="1" applyBorder="1"/>
    <xf numFmtId="44" fontId="5" fillId="0" borderId="0" xfId="1" applyFont="1" applyBorder="1"/>
    <xf numFmtId="0" fontId="5" fillId="0" borderId="17" xfId="0" applyFont="1" applyBorder="1"/>
    <xf numFmtId="44" fontId="5" fillId="0" borderId="17" xfId="1" applyFont="1" applyBorder="1"/>
    <xf numFmtId="0" fontId="5" fillId="0" borderId="4" xfId="0" applyFont="1" applyBorder="1"/>
    <xf numFmtId="0" fontId="5" fillId="0" borderId="0" xfId="0" applyFont="1"/>
    <xf numFmtId="44" fontId="5" fillId="0" borderId="0" xfId="1" applyFont="1"/>
    <xf numFmtId="0" fontId="5" fillId="0" borderId="18" xfId="0" applyFont="1" applyBorder="1"/>
    <xf numFmtId="44" fontId="5" fillId="0" borderId="18" xfId="1" applyFont="1" applyBorder="1"/>
    <xf numFmtId="0" fontId="5" fillId="0" borderId="19" xfId="0" applyFont="1" applyBorder="1"/>
    <xf numFmtId="44" fontId="5" fillId="0" borderId="19" xfId="1" applyFont="1" applyBorder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/>
    </xf>
    <xf numFmtId="0" fontId="10" fillId="7" borderId="0" xfId="0" applyFont="1" applyFill="1"/>
    <xf numFmtId="0" fontId="3" fillId="7" borderId="0" xfId="0" applyFont="1" applyFill="1" applyAlignment="1">
      <alignment horizontal="center" vertical="center"/>
    </xf>
    <xf numFmtId="0" fontId="0" fillId="0" borderId="0" xfId="0" applyAlignment="1">
      <alignment horizontal="center"/>
    </xf>
  </cellXfs>
  <cellStyles count="3">
    <cellStyle name="Moeda" xfId="1" builtinId="4"/>
    <cellStyle name="Normal" xfId="0" builtinId="0"/>
    <cellStyle name="Porcentagem" xfId="2" builtinId="5"/>
  </cellStyles>
  <dxfs count="49">
    <dxf>
      <font>
        <color theme="9" tint="-0.24994659260841701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0" formatCode="General"/>
    </dxf>
    <dxf>
      <numFmt numFmtId="19" formatCode="dd/mm/yyyy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0" formatCode="General"/>
    </dxf>
    <dxf>
      <numFmt numFmtId="19" formatCode="dd/mm/yyyy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0" formatCode="General"/>
    </dxf>
    <dxf>
      <numFmt numFmtId="19" formatCode="dd/mm/yyyy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0" formatCode="General"/>
    </dxf>
    <dxf>
      <numFmt numFmtId="19" formatCode="dd/mm/yyyy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0" formatCode="General"/>
    </dxf>
    <dxf>
      <numFmt numFmtId="19" formatCode="dd/mm/yyyy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34" formatCode="_-&quot;R$&quot;\ * #,##0.00_-;\-&quot;R$&quot;\ * #,##0.00_-;_-&quot;R$&quot;\ * &quot;-&quot;??_-;_-@_-"/>
    </dxf>
    <dxf>
      <numFmt numFmtId="0" formatCode="General"/>
    </dxf>
    <dxf>
      <numFmt numFmtId="19" formatCode="dd/mm/yyyy"/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Vendas!$C$11:$C$15</c:f>
              <c:strCache>
                <c:ptCount val="5"/>
                <c:pt idx="0">
                  <c:v>Total de Vendas Semana 1</c:v>
                </c:pt>
                <c:pt idx="1">
                  <c:v>Total de Vendas Semana 2</c:v>
                </c:pt>
                <c:pt idx="2">
                  <c:v>Total de Vendas Semana 3</c:v>
                </c:pt>
                <c:pt idx="3">
                  <c:v>Total de Vendas Semana 4</c:v>
                </c:pt>
                <c:pt idx="4">
                  <c:v>Total de Vendas Semana 5</c:v>
                </c:pt>
              </c:strCache>
            </c:strRef>
          </c:cat>
          <c:val>
            <c:numRef>
              <c:f>Vendas!$D$11:$D$15</c:f>
              <c:numCache>
                <c:formatCode>_("R$"* #,##0.00_);_("R$"* \(#,##0.00\);_("R$"* "-"??_);_(@_)</c:formatCode>
                <c:ptCount val="5"/>
                <c:pt idx="0">
                  <c:v>655.91200000000026</c:v>
                </c:pt>
                <c:pt idx="1">
                  <c:v>61.4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BD-4DAA-AAAE-070999CF79F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99"/>
        <c:axId val="1515397103"/>
        <c:axId val="1515399599"/>
      </c:barChart>
      <c:catAx>
        <c:axId val="1515397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15399599"/>
        <c:crosses val="autoZero"/>
        <c:auto val="1"/>
        <c:lblAlgn val="ctr"/>
        <c:lblOffset val="100"/>
        <c:noMultiLvlLbl val="0"/>
      </c:catAx>
      <c:valAx>
        <c:axId val="1515399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numFmt formatCode="_(&quot;R$&quot;* #,##0.00_);_(&quot;R$&quot;* \(#,##0.00\);_(&quot;R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153971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3647159154866929"/>
          <c:y val="9.5025961448079677E-2"/>
          <c:w val="0.58053834281776795"/>
          <c:h val="0.79689229564858721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Vendas!$C$29:$C$30</c:f>
              <c:strCache>
                <c:ptCount val="2"/>
                <c:pt idx="0">
                  <c:v>Vendas por Entrega(R$)</c:v>
                </c:pt>
                <c:pt idx="1">
                  <c:v>Receita Entregas(R$)</c:v>
                </c:pt>
              </c:strCache>
            </c:strRef>
          </c:cat>
          <c:val>
            <c:numRef>
              <c:f>Vendas!$D$29:$D$30</c:f>
              <c:numCache>
                <c:formatCode>_("R$"* #,##0.00_);_("R$"* \(#,##0.00\);_("R$"* "-"??_);_(@_)</c:formatCode>
                <c:ptCount val="2"/>
                <c:pt idx="0">
                  <c:v>393.11200000000002</c:v>
                </c:pt>
                <c:pt idx="1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3E-4201-BAF0-1AC5F8F63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01793119"/>
        <c:axId val="1201793951"/>
      </c:barChart>
      <c:catAx>
        <c:axId val="12017931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01793951"/>
        <c:crosses val="autoZero"/>
        <c:auto val="1"/>
        <c:lblAlgn val="ctr"/>
        <c:lblOffset val="100"/>
        <c:noMultiLvlLbl val="0"/>
      </c:catAx>
      <c:valAx>
        <c:axId val="12017939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R$&quot;* #,##0.00_);_(&quot;R$&quot;* \(#,##0.00\);_(&quot;R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017931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Vendas!$D$42:$D$44</c:f>
              <c:strCache>
                <c:ptCount val="3"/>
                <c:pt idx="0">
                  <c:v>Quantidade De Venda por  Região</c:v>
                </c:pt>
                <c:pt idx="2">
                  <c:v>Número de Vendas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C0A-4AA9-9EB7-8CDDA1282757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C0A-4AA9-9EB7-8CDDA1282757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C0A-4AA9-9EB7-8CDDA1282757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C0A-4AA9-9EB7-8CDDA1282757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C0A-4AA9-9EB7-8CDDA128275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Vendas!$C$45:$C$49</c:f>
              <c:strCache>
                <c:ptCount val="5"/>
                <c:pt idx="0">
                  <c:v>Loja</c:v>
                </c:pt>
                <c:pt idx="1">
                  <c:v>Centro</c:v>
                </c:pt>
                <c:pt idx="2">
                  <c:v>Zona Norte</c:v>
                </c:pt>
                <c:pt idx="3">
                  <c:v>Zona Oeste</c:v>
                </c:pt>
                <c:pt idx="4">
                  <c:v>Zona Sul</c:v>
                </c:pt>
              </c:strCache>
            </c:strRef>
          </c:cat>
          <c:val>
            <c:numRef>
              <c:f>Vendas!$D$45:$D$49</c:f>
              <c:numCache>
                <c:formatCode>General</c:formatCode>
                <c:ptCount val="5"/>
                <c:pt idx="0">
                  <c:v>7</c:v>
                </c:pt>
                <c:pt idx="1">
                  <c:v>0</c:v>
                </c:pt>
                <c:pt idx="2">
                  <c:v>2</c:v>
                </c:pt>
                <c:pt idx="3">
                  <c:v>1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70-4B99-B646-70023B882F7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Investimentos!A1"/><Relationship Id="rId2" Type="http://schemas.openxmlformats.org/officeDocument/2006/relationships/hyperlink" Target="#'Despesas '!A1"/><Relationship Id="rId1" Type="http://schemas.openxmlformats.org/officeDocument/2006/relationships/hyperlink" Target="#'Compras mecadorias'!A1"/><Relationship Id="rId6" Type="http://schemas.openxmlformats.org/officeDocument/2006/relationships/hyperlink" Target="#Vendas!A1"/><Relationship Id="rId5" Type="http://schemas.openxmlformats.org/officeDocument/2006/relationships/hyperlink" Target="#Resultados!A1"/><Relationship Id="rId4" Type="http://schemas.openxmlformats.org/officeDocument/2006/relationships/hyperlink" Target="#'Controle de Estoque'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#Menu!A1"/><Relationship Id="rId2" Type="http://schemas.openxmlformats.org/officeDocument/2006/relationships/hyperlink" Target="#Resultados!A1"/><Relationship Id="rId1" Type="http://schemas.openxmlformats.org/officeDocument/2006/relationships/hyperlink" Target="#'Compras mecadorias'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Menu!A1"/><Relationship Id="rId2" Type="http://schemas.openxmlformats.org/officeDocument/2006/relationships/hyperlink" Target="#'Despesas '!A1"/><Relationship Id="rId1" Type="http://schemas.openxmlformats.org/officeDocument/2006/relationships/hyperlink" Target="#'Controle de Estoque'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Menu!A1"/><Relationship Id="rId2" Type="http://schemas.openxmlformats.org/officeDocument/2006/relationships/hyperlink" Target="#Vendas!A1"/><Relationship Id="rId1" Type="http://schemas.openxmlformats.org/officeDocument/2006/relationships/hyperlink" Target="#'Compras mecadorias'!A1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hyperlink" Target="#'Vendas semana 2'!A1"/><Relationship Id="rId3" Type="http://schemas.openxmlformats.org/officeDocument/2006/relationships/chart" Target="../charts/chart3.xml"/><Relationship Id="rId7" Type="http://schemas.openxmlformats.org/officeDocument/2006/relationships/hyperlink" Target="#'Vendas semana 3'!A1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hyperlink" Target="#Menu!A1"/><Relationship Id="rId11" Type="http://schemas.openxmlformats.org/officeDocument/2006/relationships/hyperlink" Target="#'Vendas semana 5'!A1"/><Relationship Id="rId5" Type="http://schemas.openxmlformats.org/officeDocument/2006/relationships/hyperlink" Target="#Resultados!A1"/><Relationship Id="rId10" Type="http://schemas.openxmlformats.org/officeDocument/2006/relationships/hyperlink" Target="#'Vendas semana 4'!A1"/><Relationship Id="rId4" Type="http://schemas.openxmlformats.org/officeDocument/2006/relationships/hyperlink" Target="#Vendas!F61"/><Relationship Id="rId9" Type="http://schemas.openxmlformats.org/officeDocument/2006/relationships/hyperlink" Target="#'Vendas semana 1'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hyperlink" Target="#Menu!A1"/><Relationship Id="rId1" Type="http://schemas.openxmlformats.org/officeDocument/2006/relationships/hyperlink" Target="#Vendas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hyperlink" Target="#Menu!A1"/><Relationship Id="rId1" Type="http://schemas.openxmlformats.org/officeDocument/2006/relationships/hyperlink" Target="#Vendas!A1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hyperlink" Target="#'Vendas semana 1'!A1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hyperlink" Target="#'Vendas semana 2'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hyperlink" Target="#Menu!A1"/><Relationship Id="rId1" Type="http://schemas.openxmlformats.org/officeDocument/2006/relationships/hyperlink" Target="#Vendas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hyperlink" Target="#Menu!A1"/><Relationship Id="rId1" Type="http://schemas.openxmlformats.org/officeDocument/2006/relationships/hyperlink" Target="#Vendas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hyperlink" Target="#Menu!A1"/><Relationship Id="rId1" Type="http://schemas.openxmlformats.org/officeDocument/2006/relationships/hyperlink" Target="#Vendas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hyperlink" Target="#Menu!A1"/><Relationship Id="rId1" Type="http://schemas.openxmlformats.org/officeDocument/2006/relationships/hyperlink" Target="#Vendas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231905</xdr:colOff>
      <xdr:row>29</xdr:row>
      <xdr:rowOff>165228</xdr:rowOff>
    </xdr:from>
    <xdr:to>
      <xdr:col>9</xdr:col>
      <xdr:colOff>262424</xdr:colOff>
      <xdr:row>34</xdr:row>
      <xdr:rowOff>68035</xdr:rowOff>
    </xdr:to>
    <xdr:sp macro="" textlink="">
      <xdr:nvSpPr>
        <xdr:cNvPr id="5" name="Retângulo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5C2004-9556-4315-B897-AA143EDFA5A1}"/>
            </a:ext>
          </a:extLst>
        </xdr:cNvPr>
        <xdr:cNvSpPr/>
      </xdr:nvSpPr>
      <xdr:spPr>
        <a:xfrm>
          <a:off x="3293512" y="5870509"/>
          <a:ext cx="2470085" cy="874745"/>
        </a:xfrm>
        <a:prstGeom prst="rect">
          <a:avLst/>
        </a:prstGeom>
        <a:solidFill>
          <a:schemeClr val="accent1">
            <a:lumMod val="75000"/>
          </a:schemeClr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pt-BR" sz="1600" b="1" baseline="0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lumMod val="50000"/>
                    <a:alpha val="40000"/>
                  </a:schemeClr>
                </a:outerShdw>
              </a:effectLst>
              <a:latin typeface="+mn-lt"/>
              <a:ea typeface="+mn-ea"/>
              <a:cs typeface="+mn-cs"/>
            </a:rPr>
            <a:t>Compras</a:t>
          </a:r>
          <a:r>
            <a:rPr lang="pt-BR" sz="1100" b="1" baseline="0">
              <a:solidFill>
                <a:schemeClr val="lt1"/>
              </a:solidFill>
              <a:effectLst>
                <a:outerShdw blurRad="38100" dist="19050" dir="2700000" algn="tl" rotWithShape="0">
                  <a:schemeClr val="dk1">
                    <a:lumMod val="50000"/>
                    <a:alpha val="40000"/>
                  </a:schemeClr>
                </a:outerShdw>
              </a:effectLst>
              <a:latin typeface="+mn-lt"/>
              <a:ea typeface="+mn-ea"/>
              <a:cs typeface="+mn-cs"/>
            </a:rPr>
            <a:t> </a:t>
          </a:r>
          <a:r>
            <a:rPr lang="pt-BR" sz="1600" b="1" baseline="0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lumMod val="50000"/>
                    <a:alpha val="40000"/>
                  </a:schemeClr>
                </a:outerShdw>
              </a:effectLst>
              <a:latin typeface="+mn-lt"/>
              <a:ea typeface="+mn-ea"/>
              <a:cs typeface="+mn-cs"/>
            </a:rPr>
            <a:t>mercadorias</a:t>
          </a:r>
          <a:endParaRPr lang="pt-BR" sz="1600">
            <a:solidFill>
              <a:schemeClr val="tx1"/>
            </a:solidFill>
            <a:effectLst/>
          </a:endParaRPr>
        </a:p>
        <a:p>
          <a:pPr algn="ctr"/>
          <a:endParaRPr lang="pt-BR" sz="1600" b="1" cap="none" spc="0">
            <a:ln w="9525">
              <a:solidFill>
                <a:schemeClr val="bg1"/>
              </a:solidFill>
              <a:prstDash val="solid"/>
            </a:ln>
            <a:solidFill>
              <a:schemeClr val="accent5"/>
            </a:solidFill>
            <a:effectLst>
              <a:outerShdw blurRad="12700" dist="38100" dir="2700000" algn="tl" rotWithShape="0">
                <a:schemeClr val="accent5">
                  <a:lumMod val="60000"/>
                  <a:lumOff val="40000"/>
                </a:schemeClr>
              </a:outerShdw>
            </a:effectLst>
          </a:endParaRPr>
        </a:p>
      </xdr:txBody>
    </xdr:sp>
    <xdr:clientData/>
  </xdr:twoCellAnchor>
  <xdr:twoCellAnchor>
    <xdr:from>
      <xdr:col>0</xdr:col>
      <xdr:colOff>262424</xdr:colOff>
      <xdr:row>29</xdr:row>
      <xdr:rowOff>165229</xdr:rowOff>
    </xdr:from>
    <xdr:to>
      <xdr:col>4</xdr:col>
      <xdr:colOff>398495</xdr:colOff>
      <xdr:row>34</xdr:row>
      <xdr:rowOff>77366</xdr:rowOff>
    </xdr:to>
    <xdr:sp macro="" textlink="">
      <xdr:nvSpPr>
        <xdr:cNvPr id="4" name="Retângulo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FBE819F-9069-0BF1-899F-023FDDC68316}"/>
            </a:ext>
          </a:extLst>
        </xdr:cNvPr>
        <xdr:cNvSpPr/>
      </xdr:nvSpPr>
      <xdr:spPr>
        <a:xfrm>
          <a:off x="262424" y="5870510"/>
          <a:ext cx="2585357" cy="884075"/>
        </a:xfrm>
        <a:prstGeom prst="rect">
          <a:avLst/>
        </a:prstGeom>
        <a:solidFill>
          <a:schemeClr val="accent1">
            <a:lumMod val="75000"/>
          </a:schemeClr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pt-BR" sz="1600" b="1" cap="none" spc="0">
              <a:ln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lumMod val="50000"/>
                    <a:alpha val="40000"/>
                  </a:schemeClr>
                </a:outerShdw>
              </a:effectLst>
            </a:rPr>
            <a:t>Despesas</a:t>
          </a:r>
        </a:p>
        <a:p>
          <a:pPr algn="ctr"/>
          <a:endParaRPr lang="pt-BR" sz="1600" b="1" cap="none" spc="0">
            <a:ln w="9525">
              <a:solidFill>
                <a:schemeClr val="bg1"/>
              </a:solidFill>
              <a:prstDash val="solid"/>
            </a:ln>
            <a:solidFill>
              <a:schemeClr val="accent5"/>
            </a:solidFill>
            <a:effectLst>
              <a:outerShdw blurRad="12700" dist="38100" dir="2700000" algn="tl" rotWithShape="0">
                <a:schemeClr val="accent5">
                  <a:lumMod val="60000"/>
                  <a:lumOff val="40000"/>
                </a:schemeClr>
              </a:outerShdw>
            </a:effectLst>
          </a:endParaRPr>
        </a:p>
      </xdr:txBody>
    </xdr:sp>
    <xdr:clientData/>
  </xdr:twoCellAnchor>
  <xdr:twoCellAnchor>
    <xdr:from>
      <xdr:col>10</xdr:col>
      <xdr:colOff>124602</xdr:colOff>
      <xdr:row>29</xdr:row>
      <xdr:rowOff>165229</xdr:rowOff>
    </xdr:from>
    <xdr:to>
      <xdr:col>14</xdr:col>
      <xdr:colOff>0</xdr:colOff>
      <xdr:row>34</xdr:row>
      <xdr:rowOff>106913</xdr:rowOff>
    </xdr:to>
    <xdr:sp macro="" textlink="">
      <xdr:nvSpPr>
        <xdr:cNvPr id="13" name="Retângulo 1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AD4E684-72A6-E594-9BE8-0916F53BB8C7}"/>
            </a:ext>
          </a:extLst>
        </xdr:cNvPr>
        <xdr:cNvSpPr/>
      </xdr:nvSpPr>
      <xdr:spPr>
        <a:xfrm>
          <a:off x="6238097" y="5870510"/>
          <a:ext cx="2324684" cy="913622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pt-BR" sz="1100" b="1">
            <a:solidFill>
              <a:schemeClr val="tx1"/>
            </a:solidFill>
          </a:endParaRPr>
        </a:p>
        <a:p>
          <a:pPr algn="ctr"/>
          <a:r>
            <a:rPr lang="pt-BR" sz="1800" b="1">
              <a:solidFill>
                <a:schemeClr val="tx1"/>
              </a:solidFill>
            </a:rPr>
            <a:t>Investimentos</a:t>
          </a:r>
          <a:endParaRPr lang="pt-BR" sz="1100" b="1">
            <a:solidFill>
              <a:schemeClr val="tx1"/>
            </a:solidFill>
          </a:endParaRPr>
        </a:p>
        <a:p>
          <a:pPr algn="r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213826</xdr:colOff>
      <xdr:row>29</xdr:row>
      <xdr:rowOff>184667</xdr:rowOff>
    </xdr:from>
    <xdr:to>
      <xdr:col>18</xdr:col>
      <xdr:colOff>439316</xdr:colOff>
      <xdr:row>34</xdr:row>
      <xdr:rowOff>126352</xdr:rowOff>
    </xdr:to>
    <xdr:sp macro="" textlink="">
      <xdr:nvSpPr>
        <xdr:cNvPr id="15" name="Retângulo 1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2A9B430-8B4B-33EB-BD35-FCE8EF72ECF4}"/>
            </a:ext>
          </a:extLst>
        </xdr:cNvPr>
        <xdr:cNvSpPr/>
      </xdr:nvSpPr>
      <xdr:spPr>
        <a:xfrm>
          <a:off x="8776607" y="5889948"/>
          <a:ext cx="2674775" cy="913623"/>
        </a:xfrm>
        <a:prstGeom prst="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800" b="1">
              <a:solidFill>
                <a:schemeClr val="tx1"/>
              </a:solidFill>
            </a:rPr>
            <a:t>Controle</a:t>
          </a:r>
          <a:r>
            <a:rPr lang="pt-BR" sz="1800" b="1" baseline="0">
              <a:solidFill>
                <a:schemeClr val="tx1"/>
              </a:solidFill>
            </a:rPr>
            <a:t> de </a:t>
          </a:r>
        </a:p>
        <a:p>
          <a:pPr algn="ctr"/>
          <a:r>
            <a:rPr lang="pt-BR" sz="1800" b="1" baseline="0">
              <a:solidFill>
                <a:schemeClr val="tx1"/>
              </a:solidFill>
            </a:rPr>
            <a:t>estoque</a:t>
          </a:r>
        </a:p>
        <a:p>
          <a:pPr algn="ctr"/>
          <a:endParaRPr lang="pt-BR" sz="1800" b="1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23</xdr:col>
      <xdr:colOff>424154</xdr:colOff>
      <xdr:row>29</xdr:row>
      <xdr:rowOff>184668</xdr:rowOff>
    </xdr:from>
    <xdr:to>
      <xdr:col>28</xdr:col>
      <xdr:colOff>136071</xdr:colOff>
      <xdr:row>34</xdr:row>
      <xdr:rowOff>145792</xdr:rowOff>
    </xdr:to>
    <xdr:sp macro="" textlink="">
      <xdr:nvSpPr>
        <xdr:cNvPr id="17" name="Retângulo 1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A79BE9C-5609-8CF1-2E13-3DD63D4E79F9}"/>
            </a:ext>
          </a:extLst>
        </xdr:cNvPr>
        <xdr:cNvSpPr/>
      </xdr:nvSpPr>
      <xdr:spPr>
        <a:xfrm>
          <a:off x="14497827" y="5889949"/>
          <a:ext cx="2773525" cy="933062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600" b="1">
              <a:solidFill>
                <a:schemeClr val="tx1"/>
              </a:solidFill>
            </a:rPr>
            <a:t>Resultados</a:t>
          </a:r>
        </a:p>
      </xdr:txBody>
    </xdr:sp>
    <xdr:clientData/>
  </xdr:twoCellAnchor>
  <xdr:twoCellAnchor>
    <xdr:from>
      <xdr:col>19</xdr:col>
      <xdr:colOff>349509</xdr:colOff>
      <xdr:row>30</xdr:row>
      <xdr:rowOff>9720</xdr:rowOff>
    </xdr:from>
    <xdr:to>
      <xdr:col>23</xdr:col>
      <xdr:colOff>165230</xdr:colOff>
      <xdr:row>34</xdr:row>
      <xdr:rowOff>145791</xdr:rowOff>
    </xdr:to>
    <xdr:sp macro="" textlink="">
      <xdr:nvSpPr>
        <xdr:cNvPr id="20" name="Retângulo 19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9A89FE62-862A-4AA5-AB6C-85C7125B44D1}"/>
            </a:ext>
          </a:extLst>
        </xdr:cNvPr>
        <xdr:cNvSpPr/>
      </xdr:nvSpPr>
      <xdr:spPr>
        <a:xfrm>
          <a:off x="11973897" y="5909388"/>
          <a:ext cx="2265006" cy="913622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600" b="1">
              <a:solidFill>
                <a:schemeClr val="tx1"/>
              </a:solidFill>
            </a:rPr>
            <a:t>Vendas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390525</xdr:colOff>
      <xdr:row>1</xdr:row>
      <xdr:rowOff>28575</xdr:rowOff>
    </xdr:from>
    <xdr:to>
      <xdr:col>8</xdr:col>
      <xdr:colOff>485775</xdr:colOff>
      <xdr:row>1</xdr:row>
      <xdr:rowOff>352425</xdr:rowOff>
    </xdr:to>
    <xdr:sp macro="" textlink="">
      <xdr:nvSpPr>
        <xdr:cNvPr id="4" name="Retângulo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9B0FF4-478C-6CCF-4F86-8E65DB0634F4}"/>
            </a:ext>
          </a:extLst>
        </xdr:cNvPr>
        <xdr:cNvSpPr/>
      </xdr:nvSpPr>
      <xdr:spPr>
        <a:xfrm>
          <a:off x="9401175" y="219075"/>
          <a:ext cx="1924050" cy="323850"/>
        </a:xfrm>
        <a:prstGeom prst="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0"/>
            <a:t>Compras</a:t>
          </a:r>
          <a:r>
            <a:rPr lang="pt-BR" sz="1400" b="0" baseline="0"/>
            <a:t> mercadorias</a:t>
          </a:r>
        </a:p>
      </xdr:txBody>
    </xdr:sp>
    <xdr:clientData/>
  </xdr:twoCellAnchor>
  <xdr:twoCellAnchor>
    <xdr:from>
      <xdr:col>8</xdr:col>
      <xdr:colOff>866775</xdr:colOff>
      <xdr:row>1</xdr:row>
      <xdr:rowOff>38100</xdr:rowOff>
    </xdr:from>
    <xdr:to>
      <xdr:col>10</xdr:col>
      <xdr:colOff>571500</xdr:colOff>
      <xdr:row>1</xdr:row>
      <xdr:rowOff>361950</xdr:rowOff>
    </xdr:to>
    <xdr:sp macro="" textlink="">
      <xdr:nvSpPr>
        <xdr:cNvPr id="5" name="Retângulo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6A1C212-DB9E-4D8A-A3FC-6EE7F81B9BAD}"/>
            </a:ext>
          </a:extLst>
        </xdr:cNvPr>
        <xdr:cNvSpPr/>
      </xdr:nvSpPr>
      <xdr:spPr>
        <a:xfrm>
          <a:off x="11706225" y="228600"/>
          <a:ext cx="1200150" cy="323850"/>
        </a:xfrm>
        <a:prstGeom prst="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0"/>
            <a:t>Resultados</a:t>
          </a:r>
        </a:p>
        <a:p>
          <a:pPr algn="ctr"/>
          <a:endParaRPr lang="pt-BR" sz="1400" b="0"/>
        </a:p>
      </xdr:txBody>
    </xdr:sp>
    <xdr:clientData/>
  </xdr:twoCellAnchor>
  <xdr:twoCellAnchor>
    <xdr:from>
      <xdr:col>11</xdr:col>
      <xdr:colOff>304800</xdr:colOff>
      <xdr:row>1</xdr:row>
      <xdr:rowOff>38100</xdr:rowOff>
    </xdr:from>
    <xdr:to>
      <xdr:col>13</xdr:col>
      <xdr:colOff>285750</xdr:colOff>
      <xdr:row>1</xdr:row>
      <xdr:rowOff>361950</xdr:rowOff>
    </xdr:to>
    <xdr:sp macro="" textlink="">
      <xdr:nvSpPr>
        <xdr:cNvPr id="6" name="Retângulo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AE090D5-64AD-48F7-AA7D-969CABB0548E}"/>
            </a:ext>
          </a:extLst>
        </xdr:cNvPr>
        <xdr:cNvSpPr/>
      </xdr:nvSpPr>
      <xdr:spPr>
        <a:xfrm>
          <a:off x="13249275" y="228600"/>
          <a:ext cx="1200150" cy="323850"/>
        </a:xfrm>
        <a:prstGeom prst="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0"/>
            <a:t>menu</a:t>
          </a:r>
          <a:endParaRPr lang="pt-BR" sz="14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pt-BR" sz="1400" b="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390525</xdr:colOff>
      <xdr:row>1</xdr:row>
      <xdr:rowOff>28575</xdr:rowOff>
    </xdr:from>
    <xdr:to>
      <xdr:col>9</xdr:col>
      <xdr:colOff>485775</xdr:colOff>
      <xdr:row>1</xdr:row>
      <xdr:rowOff>352425</xdr:rowOff>
    </xdr:to>
    <xdr:sp macro="" textlink="">
      <xdr:nvSpPr>
        <xdr:cNvPr id="2" name="Retângul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00AC04-F484-4EB8-8B13-0A34101B229D}"/>
            </a:ext>
          </a:extLst>
        </xdr:cNvPr>
        <xdr:cNvSpPr/>
      </xdr:nvSpPr>
      <xdr:spPr>
        <a:xfrm>
          <a:off x="9401175" y="219075"/>
          <a:ext cx="1924050" cy="323850"/>
        </a:xfrm>
        <a:prstGeom prst="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0" baseline="0"/>
            <a:t>Controle de Estoque</a:t>
          </a:r>
        </a:p>
      </xdr:txBody>
    </xdr:sp>
    <xdr:clientData/>
  </xdr:twoCellAnchor>
  <xdr:twoCellAnchor>
    <xdr:from>
      <xdr:col>10</xdr:col>
      <xdr:colOff>0</xdr:colOff>
      <xdr:row>1</xdr:row>
      <xdr:rowOff>38100</xdr:rowOff>
    </xdr:from>
    <xdr:to>
      <xdr:col>12</xdr:col>
      <xdr:colOff>152400</xdr:colOff>
      <xdr:row>1</xdr:row>
      <xdr:rowOff>361950</xdr:rowOff>
    </xdr:to>
    <xdr:sp macro="" textlink="">
      <xdr:nvSpPr>
        <xdr:cNvPr id="3" name="Retângulo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DBE5C82-9CAD-41EF-87A9-762655D2D93F}"/>
            </a:ext>
          </a:extLst>
        </xdr:cNvPr>
        <xdr:cNvSpPr/>
      </xdr:nvSpPr>
      <xdr:spPr>
        <a:xfrm>
          <a:off x="11572875" y="323850"/>
          <a:ext cx="1371600" cy="323850"/>
        </a:xfrm>
        <a:prstGeom prst="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0"/>
            <a:t>Despesas</a:t>
          </a:r>
        </a:p>
      </xdr:txBody>
    </xdr:sp>
    <xdr:clientData/>
  </xdr:twoCellAnchor>
  <xdr:twoCellAnchor>
    <xdr:from>
      <xdr:col>12</xdr:col>
      <xdr:colOff>304800</xdr:colOff>
      <xdr:row>1</xdr:row>
      <xdr:rowOff>38100</xdr:rowOff>
    </xdr:from>
    <xdr:to>
      <xdr:col>14</xdr:col>
      <xdr:colOff>285750</xdr:colOff>
      <xdr:row>1</xdr:row>
      <xdr:rowOff>361950</xdr:rowOff>
    </xdr:to>
    <xdr:sp macro="" textlink="">
      <xdr:nvSpPr>
        <xdr:cNvPr id="4" name="Retângulo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D67038B-7DE1-4BED-9766-3CAF103C32A6}"/>
            </a:ext>
          </a:extLst>
        </xdr:cNvPr>
        <xdr:cNvSpPr/>
      </xdr:nvSpPr>
      <xdr:spPr>
        <a:xfrm>
          <a:off x="13249275" y="228600"/>
          <a:ext cx="1200150" cy="323850"/>
        </a:xfrm>
        <a:prstGeom prst="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0"/>
            <a:t>menu</a:t>
          </a:r>
          <a:endParaRPr lang="pt-BR" sz="14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pt-BR" sz="1400" b="0"/>
        </a:p>
      </xdr:txBody>
    </xdr:sp>
    <xdr:clientData/>
  </xdr:twoCellAnchor>
  <xdr:twoCellAnchor>
    <xdr:from>
      <xdr:col>9</xdr:col>
      <xdr:colOff>266700</xdr:colOff>
      <xdr:row>6</xdr:row>
      <xdr:rowOff>0</xdr:rowOff>
    </xdr:from>
    <xdr:to>
      <xdr:col>12</xdr:col>
      <xdr:colOff>323850</xdr:colOff>
      <xdr:row>8</xdr:row>
      <xdr:rowOff>0</xdr:rowOff>
    </xdr:to>
    <xdr:sp macro="[0]!Inserir_Compra" textlink="">
      <xdr:nvSpPr>
        <xdr:cNvPr id="5" name="Retângulo 4">
          <a:extLst>
            <a:ext uri="{FF2B5EF4-FFF2-40B4-BE49-F238E27FC236}">
              <a16:creationId xmlns:a16="http://schemas.microsoft.com/office/drawing/2014/main" id="{BC2BC894-80AD-B49C-1C39-DDEB11B88322}"/>
            </a:ext>
          </a:extLst>
        </xdr:cNvPr>
        <xdr:cNvSpPr/>
      </xdr:nvSpPr>
      <xdr:spPr>
        <a:xfrm>
          <a:off x="11229975" y="1466850"/>
          <a:ext cx="1885950" cy="381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Inserir</a:t>
          </a:r>
          <a:r>
            <a:rPr lang="pt-BR" sz="1100" baseline="0"/>
            <a:t> Compra</a:t>
          </a:r>
          <a:endParaRPr lang="pt-BR" sz="1100" b="0" i="0" u="none" strike="noStrike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pt-B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1</xdr:row>
      <xdr:rowOff>0</xdr:rowOff>
    </xdr:from>
    <xdr:to>
      <xdr:col>14</xdr:col>
      <xdr:colOff>95250</xdr:colOff>
      <xdr:row>1</xdr:row>
      <xdr:rowOff>323850</xdr:rowOff>
    </xdr:to>
    <xdr:sp macro="" textlink="">
      <xdr:nvSpPr>
        <xdr:cNvPr id="2" name="Retângul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D69EED-F3D8-4F8D-B165-158F8E9FC55E}"/>
            </a:ext>
          </a:extLst>
        </xdr:cNvPr>
        <xdr:cNvSpPr/>
      </xdr:nvSpPr>
      <xdr:spPr>
        <a:xfrm>
          <a:off x="10982325" y="285750"/>
          <a:ext cx="1924050" cy="323850"/>
        </a:xfrm>
        <a:prstGeom prst="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0"/>
            <a:t>Compras</a:t>
          </a:r>
          <a:r>
            <a:rPr lang="pt-BR" sz="1400" b="0" baseline="0"/>
            <a:t> mercadorias</a:t>
          </a:r>
        </a:p>
      </xdr:txBody>
    </xdr:sp>
    <xdr:clientData/>
  </xdr:twoCellAnchor>
  <xdr:twoCellAnchor>
    <xdr:from>
      <xdr:col>14</xdr:col>
      <xdr:colOff>476250</xdr:colOff>
      <xdr:row>1</xdr:row>
      <xdr:rowOff>9525</xdr:rowOff>
    </xdr:from>
    <xdr:to>
      <xdr:col>16</xdr:col>
      <xdr:colOff>457200</xdr:colOff>
      <xdr:row>1</xdr:row>
      <xdr:rowOff>333375</xdr:rowOff>
    </xdr:to>
    <xdr:sp macro="" textlink="">
      <xdr:nvSpPr>
        <xdr:cNvPr id="3" name="Retângulo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B13326A-7146-465C-B7D8-07793BAEBE9B}"/>
            </a:ext>
          </a:extLst>
        </xdr:cNvPr>
        <xdr:cNvSpPr/>
      </xdr:nvSpPr>
      <xdr:spPr>
        <a:xfrm>
          <a:off x="13287375" y="295275"/>
          <a:ext cx="1200150" cy="323850"/>
        </a:xfrm>
        <a:prstGeom prst="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0"/>
            <a:t>Vendas</a:t>
          </a:r>
        </a:p>
      </xdr:txBody>
    </xdr:sp>
    <xdr:clientData/>
  </xdr:twoCellAnchor>
  <xdr:twoCellAnchor>
    <xdr:from>
      <xdr:col>17</xdr:col>
      <xdr:colOff>190500</xdr:colOff>
      <xdr:row>1</xdr:row>
      <xdr:rowOff>9525</xdr:rowOff>
    </xdr:from>
    <xdr:to>
      <xdr:col>19</xdr:col>
      <xdr:colOff>171450</xdr:colOff>
      <xdr:row>1</xdr:row>
      <xdr:rowOff>333375</xdr:rowOff>
    </xdr:to>
    <xdr:sp macro="" textlink="">
      <xdr:nvSpPr>
        <xdr:cNvPr id="4" name="Retângulo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8102504-D65D-46D4-9272-FF829B43A83B}"/>
            </a:ext>
          </a:extLst>
        </xdr:cNvPr>
        <xdr:cNvSpPr/>
      </xdr:nvSpPr>
      <xdr:spPr>
        <a:xfrm>
          <a:off x="14830425" y="295275"/>
          <a:ext cx="1200150" cy="323850"/>
        </a:xfrm>
        <a:prstGeom prst="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0"/>
            <a:t>menu</a:t>
          </a:r>
          <a:endParaRPr lang="pt-BR" sz="14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pt-BR" sz="1400" b="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657225</xdr:colOff>
      <xdr:row>7</xdr:row>
      <xdr:rowOff>138112</xdr:rowOff>
    </xdr:from>
    <xdr:to>
      <xdr:col>10</xdr:col>
      <xdr:colOff>428625</xdr:colOff>
      <xdr:row>21</xdr:row>
      <xdr:rowOff>42862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F56DCD2-72D6-82AE-5470-F40B36AD64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52387</xdr:colOff>
      <xdr:row>26</xdr:row>
      <xdr:rowOff>80962</xdr:rowOff>
    </xdr:from>
    <xdr:to>
      <xdr:col>11</xdr:col>
      <xdr:colOff>285750</xdr:colOff>
      <xdr:row>37</xdr:row>
      <xdr:rowOff>47625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842D943-5190-FEC6-727D-364A111EC0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728662</xdr:colOff>
      <xdr:row>40</xdr:row>
      <xdr:rowOff>114299</xdr:rowOff>
    </xdr:from>
    <xdr:to>
      <xdr:col>10</xdr:col>
      <xdr:colOff>352425</xdr:colOff>
      <xdr:row>53</xdr:row>
      <xdr:rowOff>80961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94E124A2-584F-E0DA-3672-49B1671401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685800</xdr:colOff>
      <xdr:row>1</xdr:row>
      <xdr:rowOff>38100</xdr:rowOff>
    </xdr:from>
    <xdr:to>
      <xdr:col>10</xdr:col>
      <xdr:colOff>990600</xdr:colOff>
      <xdr:row>1</xdr:row>
      <xdr:rowOff>361950</xdr:rowOff>
    </xdr:to>
    <xdr:sp macro="" textlink="">
      <xdr:nvSpPr>
        <xdr:cNvPr id="5" name="Retângulo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2973C988-A86A-4D2E-B131-1E2F62DAE94B}"/>
            </a:ext>
          </a:extLst>
        </xdr:cNvPr>
        <xdr:cNvSpPr/>
      </xdr:nvSpPr>
      <xdr:spPr>
        <a:xfrm>
          <a:off x="9791700" y="247650"/>
          <a:ext cx="2428875" cy="323850"/>
        </a:xfrm>
        <a:prstGeom prst="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0" baseline="0"/>
            <a:t>Ir para semanas</a:t>
          </a:r>
        </a:p>
      </xdr:txBody>
    </xdr:sp>
    <xdr:clientData/>
  </xdr:twoCellAnchor>
  <xdr:twoCellAnchor>
    <xdr:from>
      <xdr:col>10</xdr:col>
      <xdr:colOff>1095375</xdr:colOff>
      <xdr:row>1</xdr:row>
      <xdr:rowOff>47625</xdr:rowOff>
    </xdr:from>
    <xdr:to>
      <xdr:col>12</xdr:col>
      <xdr:colOff>771525</xdr:colOff>
      <xdr:row>1</xdr:row>
      <xdr:rowOff>371475</xdr:rowOff>
    </xdr:to>
    <xdr:sp macro="" textlink="">
      <xdr:nvSpPr>
        <xdr:cNvPr id="6" name="Retângulo 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75412430-4BFA-487D-8DE1-3E2D3F43DCA5}"/>
            </a:ext>
          </a:extLst>
        </xdr:cNvPr>
        <xdr:cNvSpPr/>
      </xdr:nvSpPr>
      <xdr:spPr>
        <a:xfrm>
          <a:off x="12325350" y="219075"/>
          <a:ext cx="1371600" cy="323850"/>
        </a:xfrm>
        <a:prstGeom prst="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0"/>
            <a:t>Resultados</a:t>
          </a:r>
        </a:p>
      </xdr:txBody>
    </xdr:sp>
    <xdr:clientData/>
  </xdr:twoCellAnchor>
  <xdr:twoCellAnchor>
    <xdr:from>
      <xdr:col>12</xdr:col>
      <xdr:colOff>923925</xdr:colOff>
      <xdr:row>1</xdr:row>
      <xdr:rowOff>47625</xdr:rowOff>
    </xdr:from>
    <xdr:to>
      <xdr:col>14</xdr:col>
      <xdr:colOff>161925</xdr:colOff>
      <xdr:row>1</xdr:row>
      <xdr:rowOff>371475</xdr:rowOff>
    </xdr:to>
    <xdr:sp macro="" textlink="">
      <xdr:nvSpPr>
        <xdr:cNvPr id="7" name="Retângulo 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E9A3045-8A38-41B3-888D-351FCE0717B6}"/>
            </a:ext>
          </a:extLst>
        </xdr:cNvPr>
        <xdr:cNvSpPr/>
      </xdr:nvSpPr>
      <xdr:spPr>
        <a:xfrm>
          <a:off x="13849350" y="219075"/>
          <a:ext cx="1200150" cy="323850"/>
        </a:xfrm>
        <a:prstGeom prst="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0"/>
            <a:t>menu</a:t>
          </a:r>
          <a:endParaRPr lang="pt-BR" sz="14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pt-BR" sz="1400" b="0"/>
        </a:p>
      </xdr:txBody>
    </xdr:sp>
    <xdr:clientData/>
  </xdr:twoCellAnchor>
  <xdr:twoCellAnchor>
    <xdr:from>
      <xdr:col>3</xdr:col>
      <xdr:colOff>323850</xdr:colOff>
      <xdr:row>58</xdr:row>
      <xdr:rowOff>9525</xdr:rowOff>
    </xdr:from>
    <xdr:to>
      <xdr:col>4</xdr:col>
      <xdr:colOff>476250</xdr:colOff>
      <xdr:row>59</xdr:row>
      <xdr:rowOff>142875</xdr:rowOff>
    </xdr:to>
    <xdr:sp macro="" textlink="">
      <xdr:nvSpPr>
        <xdr:cNvPr id="15" name="Retângulo 14">
          <a:extLst>
            <a:ext uri="{FF2B5EF4-FFF2-40B4-BE49-F238E27FC236}">
              <a16:creationId xmlns:a16="http://schemas.microsoft.com/office/drawing/2014/main" id="{B1C9B74B-2E40-4689-BA7E-F27F29240272}"/>
            </a:ext>
          </a:extLst>
        </xdr:cNvPr>
        <xdr:cNvSpPr/>
      </xdr:nvSpPr>
      <xdr:spPr>
        <a:xfrm>
          <a:off x="5534025" y="11868150"/>
          <a:ext cx="1371600" cy="323850"/>
        </a:xfrm>
        <a:prstGeom prst="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0"/>
            <a:t>Despesas</a:t>
          </a:r>
        </a:p>
      </xdr:txBody>
    </xdr:sp>
    <xdr:clientData/>
  </xdr:twoCellAnchor>
  <xdr:twoCellAnchor>
    <xdr:from>
      <xdr:col>5</xdr:col>
      <xdr:colOff>28575</xdr:colOff>
      <xdr:row>58</xdr:row>
      <xdr:rowOff>9525</xdr:rowOff>
    </xdr:from>
    <xdr:to>
      <xdr:col>7</xdr:col>
      <xdr:colOff>295275</xdr:colOff>
      <xdr:row>59</xdr:row>
      <xdr:rowOff>142875</xdr:rowOff>
    </xdr:to>
    <xdr:sp macro="" textlink="">
      <xdr:nvSpPr>
        <xdr:cNvPr id="16" name="Retângulo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A50BEE1B-D567-45DF-B3F9-5800735AA251}"/>
            </a:ext>
          </a:extLst>
        </xdr:cNvPr>
        <xdr:cNvSpPr/>
      </xdr:nvSpPr>
      <xdr:spPr>
        <a:xfrm>
          <a:off x="7191375" y="11887200"/>
          <a:ext cx="2209800" cy="323850"/>
        </a:xfrm>
        <a:prstGeom prst="rect">
          <a:avLst/>
        </a:prstGeom>
        <a:noFill/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0">
              <a:solidFill>
                <a:schemeClr val="tx1"/>
              </a:solidFill>
            </a:rPr>
            <a:t>Semana</a:t>
          </a:r>
          <a:r>
            <a:rPr lang="pt-BR" sz="1400" b="0" baseline="0">
              <a:solidFill>
                <a:schemeClr val="tx1"/>
              </a:solidFill>
            </a:rPr>
            <a:t> 3</a:t>
          </a:r>
        </a:p>
      </xdr:txBody>
    </xdr:sp>
    <xdr:clientData/>
  </xdr:twoCellAnchor>
  <xdr:twoCellAnchor>
    <xdr:from>
      <xdr:col>2</xdr:col>
      <xdr:colOff>1924050</xdr:colOff>
      <xdr:row>58</xdr:row>
      <xdr:rowOff>9525</xdr:rowOff>
    </xdr:from>
    <xdr:to>
      <xdr:col>4</xdr:col>
      <xdr:colOff>552450</xdr:colOff>
      <xdr:row>59</xdr:row>
      <xdr:rowOff>142875</xdr:rowOff>
    </xdr:to>
    <xdr:sp macro="" textlink="">
      <xdr:nvSpPr>
        <xdr:cNvPr id="17" name="Retângulo 16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5A4EC7A3-06DE-4AF6-95BB-5F8788B3FC24}"/>
            </a:ext>
          </a:extLst>
        </xdr:cNvPr>
        <xdr:cNvSpPr/>
      </xdr:nvSpPr>
      <xdr:spPr>
        <a:xfrm>
          <a:off x="5038725" y="11887200"/>
          <a:ext cx="1943100" cy="323850"/>
        </a:xfrm>
        <a:prstGeom prst="rect">
          <a:avLst/>
        </a:prstGeom>
        <a:noFill/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0">
              <a:solidFill>
                <a:schemeClr val="tx1"/>
              </a:solidFill>
            </a:rPr>
            <a:t>Semana</a:t>
          </a:r>
          <a:r>
            <a:rPr lang="pt-BR" sz="1400" b="0" baseline="0">
              <a:solidFill>
                <a:schemeClr val="tx1"/>
              </a:solidFill>
            </a:rPr>
            <a:t> 2</a:t>
          </a:r>
        </a:p>
      </xdr:txBody>
    </xdr:sp>
    <xdr:clientData/>
  </xdr:twoCellAnchor>
  <xdr:twoCellAnchor>
    <xdr:from>
      <xdr:col>1</xdr:col>
      <xdr:colOff>1581150</xdr:colOff>
      <xdr:row>58</xdr:row>
      <xdr:rowOff>19050</xdr:rowOff>
    </xdr:from>
    <xdr:to>
      <xdr:col>2</xdr:col>
      <xdr:colOff>1657350</xdr:colOff>
      <xdr:row>59</xdr:row>
      <xdr:rowOff>152400</xdr:rowOff>
    </xdr:to>
    <xdr:sp macro="" textlink="">
      <xdr:nvSpPr>
        <xdr:cNvPr id="18" name="Retângulo 1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A15EAD35-B31F-40D5-BCBF-1CC56FA44231}"/>
            </a:ext>
          </a:extLst>
        </xdr:cNvPr>
        <xdr:cNvSpPr/>
      </xdr:nvSpPr>
      <xdr:spPr>
        <a:xfrm>
          <a:off x="2657475" y="11896725"/>
          <a:ext cx="2114550" cy="323850"/>
        </a:xfrm>
        <a:prstGeom prst="rect">
          <a:avLst/>
        </a:prstGeom>
        <a:noFill/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0">
              <a:solidFill>
                <a:schemeClr val="tx1"/>
              </a:solidFill>
            </a:rPr>
            <a:t>Semana</a:t>
          </a:r>
          <a:r>
            <a:rPr lang="pt-BR" sz="1400" b="0" baseline="0">
              <a:solidFill>
                <a:schemeClr val="tx1"/>
              </a:solidFill>
            </a:rPr>
            <a:t> 1</a:t>
          </a:r>
          <a:endParaRPr lang="pt-BR" sz="1400" b="0" i="0" u="none" strike="noStrike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pt-BR" sz="1400" b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438149</xdr:colOff>
      <xdr:row>58</xdr:row>
      <xdr:rowOff>0</xdr:rowOff>
    </xdr:from>
    <xdr:to>
      <xdr:col>10</xdr:col>
      <xdr:colOff>495299</xdr:colOff>
      <xdr:row>59</xdr:row>
      <xdr:rowOff>133350</xdr:rowOff>
    </xdr:to>
    <xdr:sp macro="" textlink="">
      <xdr:nvSpPr>
        <xdr:cNvPr id="19" name="Retângulo 18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7787DDBE-3D30-4A24-B27A-DB14F14F0652}"/>
            </a:ext>
          </a:extLst>
        </xdr:cNvPr>
        <xdr:cNvSpPr/>
      </xdr:nvSpPr>
      <xdr:spPr>
        <a:xfrm>
          <a:off x="9544049" y="11877675"/>
          <a:ext cx="2181225" cy="323850"/>
        </a:xfrm>
        <a:prstGeom prst="rect">
          <a:avLst/>
        </a:prstGeom>
        <a:noFill/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0">
              <a:solidFill>
                <a:schemeClr val="tx1"/>
              </a:solidFill>
            </a:rPr>
            <a:t>Semana</a:t>
          </a:r>
          <a:r>
            <a:rPr lang="pt-BR" sz="1400" b="0" baseline="0">
              <a:solidFill>
                <a:schemeClr val="tx1"/>
              </a:solidFill>
            </a:rPr>
            <a:t> 4</a:t>
          </a:r>
        </a:p>
      </xdr:txBody>
    </xdr:sp>
    <xdr:clientData/>
  </xdr:twoCellAnchor>
  <xdr:twoCellAnchor>
    <xdr:from>
      <xdr:col>10</xdr:col>
      <xdr:colOff>714374</xdr:colOff>
      <xdr:row>57</xdr:row>
      <xdr:rowOff>171450</xdr:rowOff>
    </xdr:from>
    <xdr:to>
      <xdr:col>13</xdr:col>
      <xdr:colOff>76199</xdr:colOff>
      <xdr:row>59</xdr:row>
      <xdr:rowOff>114300</xdr:rowOff>
    </xdr:to>
    <xdr:sp macro="" textlink="">
      <xdr:nvSpPr>
        <xdr:cNvPr id="20" name="Retângulo 19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236426E9-8899-4EB6-8792-FA52517EB13E}"/>
            </a:ext>
          </a:extLst>
        </xdr:cNvPr>
        <xdr:cNvSpPr/>
      </xdr:nvSpPr>
      <xdr:spPr>
        <a:xfrm>
          <a:off x="11944349" y="11858625"/>
          <a:ext cx="2409825" cy="323850"/>
        </a:xfrm>
        <a:prstGeom prst="rect">
          <a:avLst/>
        </a:prstGeom>
        <a:noFill/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0">
              <a:solidFill>
                <a:schemeClr val="tx1"/>
              </a:solidFill>
            </a:rPr>
            <a:t>Semana</a:t>
          </a:r>
          <a:r>
            <a:rPr lang="pt-BR" sz="1400" b="0" baseline="0">
              <a:solidFill>
                <a:schemeClr val="tx1"/>
              </a:solidFill>
            </a:rPr>
            <a:t> 5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3</xdr:row>
      <xdr:rowOff>47625</xdr:rowOff>
    </xdr:from>
    <xdr:to>
      <xdr:col>0</xdr:col>
      <xdr:colOff>1171575</xdr:colOff>
      <xdr:row>6</xdr:row>
      <xdr:rowOff>9525</xdr:rowOff>
    </xdr:to>
    <xdr:sp macro="[0]!Excluir_Registro_De_Venda" textlink="">
      <xdr:nvSpPr>
        <xdr:cNvPr id="3" name="Retângulo 2">
          <a:extLst>
            <a:ext uri="{FF2B5EF4-FFF2-40B4-BE49-F238E27FC236}">
              <a16:creationId xmlns:a16="http://schemas.microsoft.com/office/drawing/2014/main" id="{38EBCA0A-71D4-17A0-37FE-782D9C004537}"/>
            </a:ext>
          </a:extLst>
        </xdr:cNvPr>
        <xdr:cNvSpPr/>
      </xdr:nvSpPr>
      <xdr:spPr>
        <a:xfrm>
          <a:off x="104775" y="742950"/>
          <a:ext cx="1066800" cy="533400"/>
        </a:xfrm>
        <a:prstGeom prst="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0"/>
            <a:t>Excluir</a:t>
          </a:r>
          <a:r>
            <a:rPr lang="pt-BR" sz="1400" b="0" baseline="0"/>
            <a:t>  Registro</a:t>
          </a:r>
        </a:p>
        <a:p>
          <a:pPr algn="l"/>
          <a:endParaRPr lang="pt-BR" sz="1100"/>
        </a:p>
      </xdr:txBody>
    </xdr:sp>
    <xdr:clientData/>
  </xdr:twoCellAnchor>
  <xdr:twoCellAnchor>
    <xdr:from>
      <xdr:col>0</xdr:col>
      <xdr:colOff>114300</xdr:colOff>
      <xdr:row>6</xdr:row>
      <xdr:rowOff>95250</xdr:rowOff>
    </xdr:from>
    <xdr:to>
      <xdr:col>0</xdr:col>
      <xdr:colOff>1162050</xdr:colOff>
      <xdr:row>9</xdr:row>
      <xdr:rowOff>19050</xdr:rowOff>
    </xdr:to>
    <xdr:sp macro="[0]!Inserir_Nova_Venda" textlink="">
      <xdr:nvSpPr>
        <xdr:cNvPr id="4" name="Retângulo 3">
          <a:extLst>
            <a:ext uri="{FF2B5EF4-FFF2-40B4-BE49-F238E27FC236}">
              <a16:creationId xmlns:a16="http://schemas.microsoft.com/office/drawing/2014/main" id="{7BB3BABF-2AFC-DC47-E3C5-3877D6805DAF}"/>
            </a:ext>
          </a:extLst>
        </xdr:cNvPr>
        <xdr:cNvSpPr/>
      </xdr:nvSpPr>
      <xdr:spPr>
        <a:xfrm>
          <a:off x="114300" y="1362075"/>
          <a:ext cx="1047750" cy="495300"/>
        </a:xfrm>
        <a:prstGeom prst="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200" b="1"/>
            <a:t>Nova</a:t>
          </a:r>
          <a:r>
            <a:rPr lang="pt-BR" sz="1200" b="1" baseline="0"/>
            <a:t> Venda</a:t>
          </a:r>
        </a:p>
        <a:p>
          <a:pPr algn="ctr"/>
          <a:endParaRPr lang="pt-BR" sz="1200" b="1"/>
        </a:p>
      </xdr:txBody>
    </xdr:sp>
    <xdr:clientData/>
  </xdr:twoCellAnchor>
  <xdr:twoCellAnchor>
    <xdr:from>
      <xdr:col>0</xdr:col>
      <xdr:colOff>133350</xdr:colOff>
      <xdr:row>9</xdr:row>
      <xdr:rowOff>171450</xdr:rowOff>
    </xdr:from>
    <xdr:to>
      <xdr:col>0</xdr:col>
      <xdr:colOff>1181100</xdr:colOff>
      <xdr:row>12</xdr:row>
      <xdr:rowOff>95250</xdr:rowOff>
    </xdr:to>
    <xdr:sp macro="[0]!Inserir_Produto" textlink="">
      <xdr:nvSpPr>
        <xdr:cNvPr id="5" name="Retângulo 4">
          <a:extLst>
            <a:ext uri="{FF2B5EF4-FFF2-40B4-BE49-F238E27FC236}">
              <a16:creationId xmlns:a16="http://schemas.microsoft.com/office/drawing/2014/main" id="{A839E8C9-52D6-4792-ADC1-A85862D70946}"/>
            </a:ext>
          </a:extLst>
        </xdr:cNvPr>
        <xdr:cNvSpPr/>
      </xdr:nvSpPr>
      <xdr:spPr>
        <a:xfrm>
          <a:off x="133350" y="2009775"/>
          <a:ext cx="1047750" cy="495300"/>
        </a:xfrm>
        <a:prstGeom prst="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200" b="1"/>
            <a:t>Inserir</a:t>
          </a:r>
          <a:r>
            <a:rPr lang="pt-BR" sz="1200" b="1" baseline="0"/>
            <a:t> Produto</a:t>
          </a:r>
        </a:p>
      </xdr:txBody>
    </xdr:sp>
    <xdr:clientData/>
  </xdr:twoCellAnchor>
  <xdr:twoCellAnchor>
    <xdr:from>
      <xdr:col>14</xdr:col>
      <xdr:colOff>0</xdr:colOff>
      <xdr:row>1</xdr:row>
      <xdr:rowOff>0</xdr:rowOff>
    </xdr:from>
    <xdr:to>
      <xdr:col>16</xdr:col>
      <xdr:colOff>504825</xdr:colOff>
      <xdr:row>1</xdr:row>
      <xdr:rowOff>266700</xdr:rowOff>
    </xdr:to>
    <xdr:sp macro="" textlink="">
      <xdr:nvSpPr>
        <xdr:cNvPr id="6" name="Retângulo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C2E864-1F34-4BE4-8B82-392D6F96FEC5}"/>
            </a:ext>
          </a:extLst>
        </xdr:cNvPr>
        <xdr:cNvSpPr/>
      </xdr:nvSpPr>
      <xdr:spPr>
        <a:xfrm>
          <a:off x="13020675" y="209550"/>
          <a:ext cx="1724025" cy="266700"/>
        </a:xfrm>
        <a:prstGeom prst="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u="none">
              <a:ln>
                <a:noFill/>
              </a:ln>
              <a:solidFill>
                <a:schemeClr val="bg1"/>
              </a:solidFill>
            </a:rPr>
            <a:t>Vendas</a:t>
          </a:r>
        </a:p>
      </xdr:txBody>
    </xdr:sp>
    <xdr:clientData/>
  </xdr:twoCellAnchor>
  <xdr:twoCellAnchor>
    <xdr:from>
      <xdr:col>17</xdr:col>
      <xdr:colOff>0</xdr:colOff>
      <xdr:row>1</xdr:row>
      <xdr:rowOff>0</xdr:rowOff>
    </xdr:from>
    <xdr:to>
      <xdr:col>19</xdr:col>
      <xdr:colOff>228600</xdr:colOff>
      <xdr:row>1</xdr:row>
      <xdr:rowOff>266700</xdr:rowOff>
    </xdr:to>
    <xdr:sp macro="" textlink="">
      <xdr:nvSpPr>
        <xdr:cNvPr id="7" name="Retângulo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4F98975-2F6E-4525-B3A4-197180E291DD}"/>
            </a:ext>
          </a:extLst>
        </xdr:cNvPr>
        <xdr:cNvSpPr/>
      </xdr:nvSpPr>
      <xdr:spPr>
        <a:xfrm>
          <a:off x="14849475" y="209550"/>
          <a:ext cx="1447800" cy="266700"/>
        </a:xfrm>
        <a:prstGeom prst="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u="none">
              <a:ln>
                <a:noFill/>
              </a:ln>
              <a:solidFill>
                <a:schemeClr val="bg1"/>
              </a:solidFill>
            </a:rPr>
            <a:t>Menu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0</xdr:rowOff>
    </xdr:from>
    <xdr:to>
      <xdr:col>0</xdr:col>
      <xdr:colOff>987188</xdr:colOff>
      <xdr:row>6</xdr:row>
      <xdr:rowOff>152400</xdr:rowOff>
    </xdr:to>
    <xdr:sp macro="[0]!Excluir_Registro_De_Venda" textlink="">
      <xdr:nvSpPr>
        <xdr:cNvPr id="2" name="Retângulo 1">
          <a:extLst>
            <a:ext uri="{FF2B5EF4-FFF2-40B4-BE49-F238E27FC236}">
              <a16:creationId xmlns:a16="http://schemas.microsoft.com/office/drawing/2014/main" id="{C4A22F86-D995-4D68-8930-37436136C486}"/>
            </a:ext>
          </a:extLst>
        </xdr:cNvPr>
        <xdr:cNvSpPr/>
      </xdr:nvSpPr>
      <xdr:spPr>
        <a:xfrm>
          <a:off x="0" y="885825"/>
          <a:ext cx="987188" cy="533400"/>
        </a:xfrm>
        <a:prstGeom prst="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0"/>
            <a:t>Excluir</a:t>
          </a:r>
          <a:r>
            <a:rPr lang="pt-BR" sz="1400" b="0" baseline="0"/>
            <a:t>  Registro</a:t>
          </a:r>
        </a:p>
        <a:p>
          <a:pPr algn="l"/>
          <a:endParaRPr lang="pt-BR" sz="1100"/>
        </a:p>
      </xdr:txBody>
    </xdr:sp>
    <xdr:clientData/>
  </xdr:twoCellAnchor>
  <xdr:twoCellAnchor>
    <xdr:from>
      <xdr:col>0</xdr:col>
      <xdr:colOff>9525</xdr:colOff>
      <xdr:row>7</xdr:row>
      <xdr:rowOff>47625</xdr:rowOff>
    </xdr:from>
    <xdr:to>
      <xdr:col>0</xdr:col>
      <xdr:colOff>979085</xdr:colOff>
      <xdr:row>9</xdr:row>
      <xdr:rowOff>161925</xdr:rowOff>
    </xdr:to>
    <xdr:sp macro="[0]!Inserir_Nova_Venda" textlink="">
      <xdr:nvSpPr>
        <xdr:cNvPr id="3" name="Retângulo 2">
          <a:extLst>
            <a:ext uri="{FF2B5EF4-FFF2-40B4-BE49-F238E27FC236}">
              <a16:creationId xmlns:a16="http://schemas.microsoft.com/office/drawing/2014/main" id="{468534E6-8D06-4F8B-B145-60FDBBEE928C}"/>
            </a:ext>
          </a:extLst>
        </xdr:cNvPr>
        <xdr:cNvSpPr/>
      </xdr:nvSpPr>
      <xdr:spPr>
        <a:xfrm>
          <a:off x="9525" y="1504950"/>
          <a:ext cx="969560" cy="495300"/>
        </a:xfrm>
        <a:prstGeom prst="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200" b="1"/>
            <a:t>Nova</a:t>
          </a:r>
          <a:r>
            <a:rPr lang="pt-BR" sz="1200" b="1" baseline="0"/>
            <a:t> Venda</a:t>
          </a:r>
        </a:p>
        <a:p>
          <a:pPr algn="ctr"/>
          <a:endParaRPr lang="pt-BR" sz="1200" b="1"/>
        </a:p>
      </xdr:txBody>
    </xdr:sp>
    <xdr:clientData/>
  </xdr:twoCellAnchor>
  <xdr:twoCellAnchor>
    <xdr:from>
      <xdr:col>0</xdr:col>
      <xdr:colOff>28575</xdr:colOff>
      <xdr:row>10</xdr:row>
      <xdr:rowOff>123825</xdr:rowOff>
    </xdr:from>
    <xdr:to>
      <xdr:col>0</xdr:col>
      <xdr:colOff>981075</xdr:colOff>
      <xdr:row>13</xdr:row>
      <xdr:rowOff>47625</xdr:rowOff>
    </xdr:to>
    <xdr:sp macro="[0]!Inserir_Produto" textlink="">
      <xdr:nvSpPr>
        <xdr:cNvPr id="4" name="Retângulo 3">
          <a:extLst>
            <a:ext uri="{FF2B5EF4-FFF2-40B4-BE49-F238E27FC236}">
              <a16:creationId xmlns:a16="http://schemas.microsoft.com/office/drawing/2014/main" id="{642CD5A9-E154-4B22-900F-E9932899FA19}"/>
            </a:ext>
          </a:extLst>
        </xdr:cNvPr>
        <xdr:cNvSpPr/>
      </xdr:nvSpPr>
      <xdr:spPr>
        <a:xfrm>
          <a:off x="28575" y="2152650"/>
          <a:ext cx="952500" cy="495300"/>
        </a:xfrm>
        <a:prstGeom prst="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200" b="1"/>
            <a:t>Inserir</a:t>
          </a:r>
          <a:r>
            <a:rPr lang="pt-BR" sz="1200" b="1" baseline="0"/>
            <a:t> Produto</a:t>
          </a:r>
        </a:p>
      </xdr:txBody>
    </xdr:sp>
    <xdr:clientData/>
  </xdr:twoCellAnchor>
  <xdr:twoCellAnchor>
    <xdr:from>
      <xdr:col>12</xdr:col>
      <xdr:colOff>0</xdr:colOff>
      <xdr:row>1</xdr:row>
      <xdr:rowOff>0</xdr:rowOff>
    </xdr:from>
    <xdr:to>
      <xdr:col>13</xdr:col>
      <xdr:colOff>371475</xdr:colOff>
      <xdr:row>1</xdr:row>
      <xdr:rowOff>266700</xdr:rowOff>
    </xdr:to>
    <xdr:sp macro="" textlink="">
      <xdr:nvSpPr>
        <xdr:cNvPr id="5" name="Retângulo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C34E35-548E-44BB-9797-1EC4144E275A}"/>
            </a:ext>
          </a:extLst>
        </xdr:cNvPr>
        <xdr:cNvSpPr/>
      </xdr:nvSpPr>
      <xdr:spPr>
        <a:xfrm>
          <a:off x="11649075" y="209550"/>
          <a:ext cx="1724025" cy="266700"/>
        </a:xfrm>
        <a:prstGeom prst="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u="none">
              <a:ln>
                <a:noFill/>
              </a:ln>
              <a:solidFill>
                <a:schemeClr val="bg1"/>
              </a:solidFill>
            </a:rPr>
            <a:t>Vendas</a:t>
          </a:r>
        </a:p>
      </xdr:txBody>
    </xdr:sp>
    <xdr:clientData/>
  </xdr:twoCellAnchor>
  <xdr:twoCellAnchor>
    <xdr:from>
      <xdr:col>13</xdr:col>
      <xdr:colOff>476250</xdr:colOff>
      <xdr:row>1</xdr:row>
      <xdr:rowOff>0</xdr:rowOff>
    </xdr:from>
    <xdr:to>
      <xdr:col>16</xdr:col>
      <xdr:colOff>95250</xdr:colOff>
      <xdr:row>1</xdr:row>
      <xdr:rowOff>266700</xdr:rowOff>
    </xdr:to>
    <xdr:sp macro="" textlink="">
      <xdr:nvSpPr>
        <xdr:cNvPr id="6" name="Retângulo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4D25915-A729-432E-965E-A8ECBE1A0A3B}"/>
            </a:ext>
          </a:extLst>
        </xdr:cNvPr>
        <xdr:cNvSpPr/>
      </xdr:nvSpPr>
      <xdr:spPr>
        <a:xfrm>
          <a:off x="13477875" y="209550"/>
          <a:ext cx="1447800" cy="266700"/>
        </a:xfrm>
        <a:prstGeom prst="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u="none">
              <a:ln>
                <a:noFill/>
              </a:ln>
              <a:solidFill>
                <a:schemeClr val="bg1"/>
              </a:solidFill>
            </a:rPr>
            <a:t>Menu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457200</xdr:colOff>
      <xdr:row>0</xdr:row>
      <xdr:rowOff>133350</xdr:rowOff>
    </xdr:from>
    <xdr:to>
      <xdr:col>6</xdr:col>
      <xdr:colOff>57150</xdr:colOff>
      <xdr:row>2</xdr:row>
      <xdr:rowOff>76200</xdr:rowOff>
    </xdr:to>
    <xdr:sp macro="" textlink="">
      <xdr:nvSpPr>
        <xdr:cNvPr id="2" name="Retângul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16284A-ED3C-45D3-BE03-C1F45D4DC457}"/>
            </a:ext>
          </a:extLst>
        </xdr:cNvPr>
        <xdr:cNvSpPr/>
      </xdr:nvSpPr>
      <xdr:spPr>
        <a:xfrm>
          <a:off x="3971925" y="133350"/>
          <a:ext cx="2114550" cy="323850"/>
        </a:xfrm>
        <a:prstGeom prst="rect">
          <a:avLst/>
        </a:prstGeom>
        <a:noFill/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0">
              <a:solidFill>
                <a:schemeClr val="tx1"/>
              </a:solidFill>
            </a:rPr>
            <a:t>Semana</a:t>
          </a:r>
          <a:r>
            <a:rPr lang="pt-BR" sz="1400" b="0" baseline="0">
              <a:solidFill>
                <a:schemeClr val="tx1"/>
              </a:solidFill>
            </a:rPr>
            <a:t> 1</a:t>
          </a:r>
          <a:endParaRPr lang="pt-BR" sz="1400" b="0" i="0" u="none" strike="noStrike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pt-BR" sz="1400" b="0">
            <a:solidFill>
              <a:schemeClr val="tx1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171450</xdr:colOff>
      <xdr:row>0</xdr:row>
      <xdr:rowOff>114300</xdr:rowOff>
    </xdr:from>
    <xdr:to>
      <xdr:col>6</xdr:col>
      <xdr:colOff>304800</xdr:colOff>
      <xdr:row>2</xdr:row>
      <xdr:rowOff>57150</xdr:rowOff>
    </xdr:to>
    <xdr:sp macro="" textlink="">
      <xdr:nvSpPr>
        <xdr:cNvPr id="3" name="Retângul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0D36A4-F565-4D87-861A-9485627DC184}"/>
            </a:ext>
          </a:extLst>
        </xdr:cNvPr>
        <xdr:cNvSpPr/>
      </xdr:nvSpPr>
      <xdr:spPr>
        <a:xfrm>
          <a:off x="4200525" y="114300"/>
          <a:ext cx="1943100" cy="323850"/>
        </a:xfrm>
        <a:prstGeom prst="rect">
          <a:avLst/>
        </a:prstGeom>
        <a:noFill/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0">
              <a:solidFill>
                <a:schemeClr val="tx1"/>
              </a:solidFill>
            </a:rPr>
            <a:t>Semana</a:t>
          </a:r>
          <a:r>
            <a:rPr lang="pt-BR" sz="1400" b="0" baseline="0">
              <a:solidFill>
                <a:schemeClr val="tx1"/>
              </a:solidFill>
            </a:rPr>
            <a:t> 2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</xdr:row>
      <xdr:rowOff>0</xdr:rowOff>
    </xdr:from>
    <xdr:to>
      <xdr:col>16</xdr:col>
      <xdr:colOff>504825</xdr:colOff>
      <xdr:row>1</xdr:row>
      <xdr:rowOff>266700</xdr:rowOff>
    </xdr:to>
    <xdr:sp macro="" textlink="">
      <xdr:nvSpPr>
        <xdr:cNvPr id="2" name="Retângul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0DC10B-AD05-417E-A377-468172A9CB5B}"/>
            </a:ext>
          </a:extLst>
        </xdr:cNvPr>
        <xdr:cNvSpPr/>
      </xdr:nvSpPr>
      <xdr:spPr>
        <a:xfrm>
          <a:off x="12896850" y="209550"/>
          <a:ext cx="1724025" cy="266700"/>
        </a:xfrm>
        <a:prstGeom prst="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u="none">
              <a:ln>
                <a:noFill/>
              </a:ln>
              <a:solidFill>
                <a:schemeClr val="bg1"/>
              </a:solidFill>
            </a:rPr>
            <a:t>Vendas</a:t>
          </a:r>
        </a:p>
      </xdr:txBody>
    </xdr:sp>
    <xdr:clientData/>
  </xdr:twoCellAnchor>
  <xdr:twoCellAnchor>
    <xdr:from>
      <xdr:col>17</xdr:col>
      <xdr:colOff>0</xdr:colOff>
      <xdr:row>1</xdr:row>
      <xdr:rowOff>0</xdr:rowOff>
    </xdr:from>
    <xdr:to>
      <xdr:col>19</xdr:col>
      <xdr:colOff>228600</xdr:colOff>
      <xdr:row>1</xdr:row>
      <xdr:rowOff>266700</xdr:rowOff>
    </xdr:to>
    <xdr:sp macro="" textlink="">
      <xdr:nvSpPr>
        <xdr:cNvPr id="3" name="Retângulo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E71C525-BA30-4FEB-98F4-DF37CF2378B2}"/>
            </a:ext>
          </a:extLst>
        </xdr:cNvPr>
        <xdr:cNvSpPr/>
      </xdr:nvSpPr>
      <xdr:spPr>
        <a:xfrm>
          <a:off x="14725650" y="209550"/>
          <a:ext cx="1447800" cy="266700"/>
        </a:xfrm>
        <a:prstGeom prst="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u="none">
              <a:ln>
                <a:noFill/>
              </a:ln>
              <a:solidFill>
                <a:schemeClr val="bg1"/>
              </a:solidFill>
            </a:rPr>
            <a:t>Menu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17</xdr:col>
      <xdr:colOff>504825</xdr:colOff>
      <xdr:row>1</xdr:row>
      <xdr:rowOff>266700</xdr:rowOff>
    </xdr:to>
    <xdr:sp macro="" textlink="">
      <xdr:nvSpPr>
        <xdr:cNvPr id="2" name="Retângul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A4F5AF-5C72-414F-9C2B-428E1D69D3D1}"/>
            </a:ext>
          </a:extLst>
        </xdr:cNvPr>
        <xdr:cNvSpPr/>
      </xdr:nvSpPr>
      <xdr:spPr>
        <a:xfrm>
          <a:off x="13506450" y="209550"/>
          <a:ext cx="1724025" cy="266700"/>
        </a:xfrm>
        <a:prstGeom prst="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u="none">
              <a:ln>
                <a:noFill/>
              </a:ln>
              <a:solidFill>
                <a:schemeClr val="bg1"/>
              </a:solidFill>
            </a:rPr>
            <a:t>Vendas</a:t>
          </a:r>
        </a:p>
      </xdr:txBody>
    </xdr:sp>
    <xdr:clientData/>
  </xdr:twoCellAnchor>
  <xdr:twoCellAnchor>
    <xdr:from>
      <xdr:col>18</xdr:col>
      <xdr:colOff>0</xdr:colOff>
      <xdr:row>1</xdr:row>
      <xdr:rowOff>0</xdr:rowOff>
    </xdr:from>
    <xdr:to>
      <xdr:col>20</xdr:col>
      <xdr:colOff>228600</xdr:colOff>
      <xdr:row>1</xdr:row>
      <xdr:rowOff>266700</xdr:rowOff>
    </xdr:to>
    <xdr:sp macro="" textlink="">
      <xdr:nvSpPr>
        <xdr:cNvPr id="3" name="Retângulo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6B3E8F8-2CA8-4948-9678-70995670D9E3}"/>
            </a:ext>
          </a:extLst>
        </xdr:cNvPr>
        <xdr:cNvSpPr/>
      </xdr:nvSpPr>
      <xdr:spPr>
        <a:xfrm>
          <a:off x="15335250" y="209550"/>
          <a:ext cx="1447800" cy="266700"/>
        </a:xfrm>
        <a:prstGeom prst="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u="none">
              <a:ln>
                <a:noFill/>
              </a:ln>
              <a:solidFill>
                <a:schemeClr val="bg1"/>
              </a:solidFill>
            </a:rPr>
            <a:t>Menu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17</xdr:col>
      <xdr:colOff>504825</xdr:colOff>
      <xdr:row>1</xdr:row>
      <xdr:rowOff>266700</xdr:rowOff>
    </xdr:to>
    <xdr:sp macro="" textlink="">
      <xdr:nvSpPr>
        <xdr:cNvPr id="2" name="Retângul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909487-1E92-4ED6-9DE1-061383F2C330}"/>
            </a:ext>
          </a:extLst>
        </xdr:cNvPr>
        <xdr:cNvSpPr/>
      </xdr:nvSpPr>
      <xdr:spPr>
        <a:xfrm>
          <a:off x="13706475" y="209550"/>
          <a:ext cx="1724025" cy="266700"/>
        </a:xfrm>
        <a:prstGeom prst="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u="none">
              <a:ln>
                <a:noFill/>
              </a:ln>
              <a:solidFill>
                <a:schemeClr val="bg1"/>
              </a:solidFill>
            </a:rPr>
            <a:t>Vendas</a:t>
          </a:r>
        </a:p>
      </xdr:txBody>
    </xdr:sp>
    <xdr:clientData/>
  </xdr:twoCellAnchor>
  <xdr:twoCellAnchor>
    <xdr:from>
      <xdr:col>18</xdr:col>
      <xdr:colOff>0</xdr:colOff>
      <xdr:row>1</xdr:row>
      <xdr:rowOff>0</xdr:rowOff>
    </xdr:from>
    <xdr:to>
      <xdr:col>20</xdr:col>
      <xdr:colOff>228600</xdr:colOff>
      <xdr:row>1</xdr:row>
      <xdr:rowOff>266700</xdr:rowOff>
    </xdr:to>
    <xdr:sp macro="" textlink="">
      <xdr:nvSpPr>
        <xdr:cNvPr id="3" name="Retângulo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A538427-22B7-4D6D-9BC1-38907FB1D734}"/>
            </a:ext>
          </a:extLst>
        </xdr:cNvPr>
        <xdr:cNvSpPr/>
      </xdr:nvSpPr>
      <xdr:spPr>
        <a:xfrm>
          <a:off x="15535275" y="209550"/>
          <a:ext cx="1447800" cy="266700"/>
        </a:xfrm>
        <a:prstGeom prst="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u="none">
              <a:ln>
                <a:noFill/>
              </a:ln>
              <a:solidFill>
                <a:schemeClr val="bg1"/>
              </a:solidFill>
            </a:rPr>
            <a:t>Menu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342900</xdr:colOff>
      <xdr:row>1</xdr:row>
      <xdr:rowOff>0</xdr:rowOff>
    </xdr:from>
    <xdr:to>
      <xdr:col>17</xdr:col>
      <xdr:colOff>238125</xdr:colOff>
      <xdr:row>1</xdr:row>
      <xdr:rowOff>266700</xdr:rowOff>
    </xdr:to>
    <xdr:sp macro="" textlink="">
      <xdr:nvSpPr>
        <xdr:cNvPr id="3" name="Retângul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298AF5-0002-4497-855D-CA027281DA68}"/>
            </a:ext>
          </a:extLst>
        </xdr:cNvPr>
        <xdr:cNvSpPr/>
      </xdr:nvSpPr>
      <xdr:spPr>
        <a:xfrm>
          <a:off x="13449300" y="209550"/>
          <a:ext cx="1724025" cy="266700"/>
        </a:xfrm>
        <a:prstGeom prst="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u="none">
              <a:ln>
                <a:noFill/>
              </a:ln>
              <a:solidFill>
                <a:schemeClr val="bg1"/>
              </a:solidFill>
            </a:rPr>
            <a:t>Vendas</a:t>
          </a:r>
        </a:p>
      </xdr:txBody>
    </xdr:sp>
    <xdr:clientData/>
  </xdr:twoCellAnchor>
  <xdr:twoCellAnchor>
    <xdr:from>
      <xdr:col>17</xdr:col>
      <xdr:colOff>342900</xdr:colOff>
      <xdr:row>1</xdr:row>
      <xdr:rowOff>0</xdr:rowOff>
    </xdr:from>
    <xdr:to>
      <xdr:col>19</xdr:col>
      <xdr:colOff>571500</xdr:colOff>
      <xdr:row>1</xdr:row>
      <xdr:rowOff>266700</xdr:rowOff>
    </xdr:to>
    <xdr:sp macro="" textlink="">
      <xdr:nvSpPr>
        <xdr:cNvPr id="4" name="Retângulo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BF7E3CE-7B3F-4DDD-853E-30D3E7613E33}"/>
            </a:ext>
          </a:extLst>
        </xdr:cNvPr>
        <xdr:cNvSpPr/>
      </xdr:nvSpPr>
      <xdr:spPr>
        <a:xfrm>
          <a:off x="15278100" y="209550"/>
          <a:ext cx="1447800" cy="266700"/>
        </a:xfrm>
        <a:prstGeom prst="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u="none">
              <a:ln>
                <a:noFill/>
              </a:ln>
              <a:solidFill>
                <a:schemeClr val="bg1"/>
              </a:solidFill>
            </a:rPr>
            <a:t>Menu</a:t>
          </a: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JOSE ROBERTO PAES BARBOSA NETO" id="{CE3C086A-4BDE-41F0-B469-A1C04441732C}" userId="JOSE ROBERTO PAES BARBOSA NETO" providerId="Non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 Roberto Neto" refreshedDate="44822.757350694446" createdVersion="8" refreshedVersion="8" minRefreshableVersion="3" recordCount="25" xr:uid="{C4850EA6-3042-4C44-906E-E04687641B54}">
  <cacheSource type="worksheet">
    <worksheetSource name="Tabela1619"/>
  </cacheSource>
  <cacheFields count="12">
    <cacheField name="ID da venda" numFmtId="0">
      <sharedItems containsSemiMixedTypes="0" containsString="0" containsNumber="1" containsInteger="1" minValue="1" maxValue="13"/>
    </cacheField>
    <cacheField name="Data" numFmtId="14">
      <sharedItems containsSemiMixedTypes="0" containsNonDate="0" containsDate="1" containsString="0" minDate="2015-07-02T00:00:00" maxDate="2015-07-06T00:00:00" count="4">
        <d v="2015-07-05T00:00:00"/>
        <d v="2015-07-04T00:00:00"/>
        <d v="2015-07-03T00:00:00"/>
        <d v="2015-07-02T00:00:00"/>
      </sharedItems>
    </cacheField>
    <cacheField name="Produto" numFmtId="0">
      <sharedItems count="13">
        <s v="Amendoim"/>
        <s v="Caixa de Fósforo"/>
        <s v="Carne"/>
        <s v="Cerveja"/>
        <s v="Feijão"/>
        <s v="Refrigerante"/>
        <s v="Pão de Forma"/>
        <s v="Vagem"/>
        <s v="Queijo"/>
        <s v="Alface"/>
        <s v="Bala"/>
        <s v="Arroz"/>
        <s v="Leite"/>
      </sharedItems>
    </cacheField>
    <cacheField name="Medida" numFmtId="0">
      <sharedItems/>
    </cacheField>
    <cacheField name="Quantidade" numFmtId="0">
      <sharedItems containsSemiMixedTypes="0" containsString="0" containsNumber="1" minValue="1" maxValue="24"/>
    </cacheField>
    <cacheField name="Preço unitario" numFmtId="44">
      <sharedItems containsSemiMixedTypes="0" containsString="0" containsNumber="1" minValue="0.79" maxValue="25.9"/>
    </cacheField>
    <cacheField name="Subtotal" numFmtId="44">
      <sharedItems containsSemiMixedTypes="0" containsString="0" containsNumber="1" minValue="0.79" maxValue="159"/>
    </cacheField>
    <cacheField name="Desconto" numFmtId="9">
      <sharedItems containsString="0" containsBlank="1" containsNumber="1" minValue="0.05" maxValue="0.05"/>
    </cacheField>
    <cacheField name="Entrega" numFmtId="0">
      <sharedItems count="4">
        <s v="Zona Sul"/>
        <s v="Loja"/>
        <s v="Zona Norte"/>
        <s v="Zona Oeste"/>
      </sharedItems>
    </cacheField>
    <cacheField name="Valor De Entrega" numFmtId="44">
      <sharedItems containsSemiMixedTypes="0" containsString="0" containsNumber="1" minValue="0" maxValue="8"/>
    </cacheField>
    <cacheField name="Total" numFmtId="44">
      <sharedItems containsSemiMixedTypes="0" containsString="0" containsNumber="1" minValue="0.79" maxValue="151.04999999999998"/>
    </cacheField>
    <cacheField name="Total Para o Cliente" numFmtId="44">
      <sharedItems containsMixedTypes="1" containsNumber="1" minValue="2.19" maxValue="219.7719999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 Roberto Neto" refreshedDate="44822.76200289352" createdVersion="8" refreshedVersion="8" minRefreshableVersion="3" recordCount="26" xr:uid="{83A8406B-9D32-449A-B090-9B65195FA19C}">
  <cacheSource type="worksheet">
    <worksheetSource name="Tabela161914"/>
  </cacheSource>
  <cacheFields count="12">
    <cacheField name="ID da venda" numFmtId="0">
      <sharedItems containsString="0" containsBlank="1" containsNumber="1" containsInteger="1" minValue="2" maxValue="3"/>
    </cacheField>
    <cacheField name="Data" numFmtId="14">
      <sharedItems containsNonDate="0" containsDate="1" containsString="0" containsBlank="1" minDate="2022-09-18T00:00:00" maxDate="2022-09-19T00:00:00" count="2">
        <d v="2022-09-18T00:00:00"/>
        <m/>
      </sharedItems>
    </cacheField>
    <cacheField name="Produto" numFmtId="0">
      <sharedItems containsBlank="1" count="2">
        <m/>
        <s v="Vodka"/>
      </sharedItems>
    </cacheField>
    <cacheField name="Medida" numFmtId="0">
      <sharedItems/>
    </cacheField>
    <cacheField name="Quantidade" numFmtId="0">
      <sharedItems containsString="0" containsBlank="1" containsNumber="1" containsInteger="1" minValue="1" maxValue="1"/>
    </cacheField>
    <cacheField name="Preço unitario" numFmtId="44">
      <sharedItems containsSemiMixedTypes="0" containsString="0" containsNumber="1" minValue="0" maxValue="54.9"/>
    </cacheField>
    <cacheField name="Subtotal" numFmtId="44">
      <sharedItems containsSemiMixedTypes="0" containsString="0" containsNumber="1" minValue="0" maxValue="54.9"/>
    </cacheField>
    <cacheField name="Desconto" numFmtId="9">
      <sharedItems containsNonDate="0" containsString="0" containsBlank="1"/>
    </cacheField>
    <cacheField name="Entrega" numFmtId="0">
      <sharedItems containsBlank="1" count="2">
        <m/>
        <s v="zona sul"/>
      </sharedItems>
    </cacheField>
    <cacheField name="Valor De Entrega" numFmtId="44">
      <sharedItems containsSemiMixedTypes="0" containsString="0" containsNumber="1" minValue="0" maxValue="6.5"/>
    </cacheField>
    <cacheField name="Total" numFmtId="44">
      <sharedItems containsSemiMixedTypes="0" containsString="0" containsNumber="1" minValue="0" maxValue="61.4"/>
    </cacheField>
    <cacheField name="Total Para o Cliente" numFmtId="44">
      <sharedItems containsBlank="1" containsMixedTypes="1" containsNumber="1" minValue="2.19" maxValue="219.7719999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">
  <r>
    <n v="13"/>
    <x v="0"/>
    <x v="0"/>
    <s v="Pacote"/>
    <n v="10"/>
    <n v="1.1499999999999999"/>
    <n v="11.5"/>
    <m/>
    <x v="0"/>
    <n v="0"/>
    <n v="11.5"/>
    <s v=""/>
  </r>
  <r>
    <n v="13"/>
    <x v="0"/>
    <x v="1"/>
    <s v="Pacote"/>
    <n v="1"/>
    <n v="0.79"/>
    <n v="0.79"/>
    <m/>
    <x v="0"/>
    <n v="0"/>
    <n v="0.79"/>
    <s v=""/>
  </r>
  <r>
    <n v="13"/>
    <x v="0"/>
    <x v="2"/>
    <s v="Kg"/>
    <n v="10"/>
    <n v="15.9"/>
    <n v="159"/>
    <n v="0.05"/>
    <x v="0"/>
    <n v="0"/>
    <n v="151.04999999999998"/>
    <s v=""/>
  </r>
  <r>
    <n v="13"/>
    <x v="0"/>
    <x v="3"/>
    <s v="Lata"/>
    <n v="24"/>
    <n v="2.19"/>
    <n v="52.56"/>
    <n v="0.05"/>
    <x v="0"/>
    <n v="6.5"/>
    <n v="56.432000000000002"/>
    <n v="219.77199999999999"/>
  </r>
  <r>
    <n v="12"/>
    <x v="1"/>
    <x v="3"/>
    <s v="Lata"/>
    <n v="1"/>
    <n v="2.19"/>
    <n v="2.19"/>
    <m/>
    <x v="1"/>
    <n v="0"/>
    <n v="2.19"/>
    <n v="2.19"/>
  </r>
  <r>
    <n v="11"/>
    <x v="1"/>
    <x v="3"/>
    <s v="Lata"/>
    <n v="10"/>
    <n v="2.19"/>
    <n v="21.9"/>
    <m/>
    <x v="1"/>
    <n v="0"/>
    <n v="21.9"/>
    <n v="21.9"/>
  </r>
  <r>
    <n v="10"/>
    <x v="1"/>
    <x v="4"/>
    <s v="Kg"/>
    <n v="6"/>
    <n v="4.28"/>
    <n v="25.68"/>
    <m/>
    <x v="1"/>
    <n v="0"/>
    <n v="25.68"/>
    <s v=""/>
  </r>
  <r>
    <n v="10"/>
    <x v="1"/>
    <x v="5"/>
    <s v="Litro"/>
    <n v="4"/>
    <n v="2.39"/>
    <n v="9.56"/>
    <m/>
    <x v="1"/>
    <n v="0"/>
    <n v="9.56"/>
    <n v="35.24"/>
  </r>
  <r>
    <n v="9"/>
    <x v="2"/>
    <x v="6"/>
    <s v="Unidade"/>
    <n v="5"/>
    <n v="2.89"/>
    <n v="14.450000000000001"/>
    <m/>
    <x v="1"/>
    <n v="0"/>
    <n v="14.450000000000001"/>
    <s v=""/>
  </r>
  <r>
    <n v="9"/>
    <x v="2"/>
    <x v="7"/>
    <s v="Kg"/>
    <n v="2"/>
    <n v="9.58"/>
    <n v="19.16"/>
    <m/>
    <x v="1"/>
    <n v="0"/>
    <n v="19.16"/>
    <s v=""/>
  </r>
  <r>
    <n v="9"/>
    <x v="2"/>
    <x v="8"/>
    <s v="Kg"/>
    <n v="1.5"/>
    <n v="25.9"/>
    <n v="38.849999999999994"/>
    <m/>
    <x v="1"/>
    <n v="0"/>
    <n v="38.849999999999994"/>
    <s v=""/>
  </r>
  <r>
    <n v="9"/>
    <x v="2"/>
    <x v="4"/>
    <s v="Kg"/>
    <n v="4"/>
    <n v="4.28"/>
    <n v="17.12"/>
    <m/>
    <x v="1"/>
    <n v="0"/>
    <n v="17.12"/>
    <n v="89.58"/>
  </r>
  <r>
    <n v="8"/>
    <x v="2"/>
    <x v="3"/>
    <s v="Lata"/>
    <n v="20"/>
    <n v="2.19"/>
    <n v="43.8"/>
    <n v="0.05"/>
    <x v="0"/>
    <n v="6.5"/>
    <n v="48.109999999999992"/>
    <n v="48.109999999999992"/>
  </r>
  <r>
    <n v="7"/>
    <x v="2"/>
    <x v="3"/>
    <s v="Lata"/>
    <n v="20"/>
    <n v="2.19"/>
    <n v="43.8"/>
    <n v="0.05"/>
    <x v="1"/>
    <n v="0"/>
    <n v="41.609999999999992"/>
    <n v="41.609999999999992"/>
  </r>
  <r>
    <n v="6"/>
    <x v="2"/>
    <x v="1"/>
    <s v="Pacote"/>
    <n v="2"/>
    <n v="0.79"/>
    <n v="1.58"/>
    <m/>
    <x v="1"/>
    <n v="0"/>
    <n v="1.58"/>
    <s v=""/>
  </r>
  <r>
    <n v="6"/>
    <x v="2"/>
    <x v="2"/>
    <s v="Kg"/>
    <n v="6"/>
    <n v="15.9"/>
    <n v="95.4"/>
    <m/>
    <x v="1"/>
    <n v="0"/>
    <n v="95.4"/>
    <s v=""/>
  </r>
  <r>
    <n v="6"/>
    <x v="2"/>
    <x v="3"/>
    <s v="Lata"/>
    <n v="12"/>
    <n v="2.19"/>
    <n v="26.28"/>
    <m/>
    <x v="1"/>
    <n v="0"/>
    <n v="26.28"/>
    <n v="123.26"/>
  </r>
  <r>
    <n v="5"/>
    <x v="3"/>
    <x v="9"/>
    <s v="Unidade"/>
    <n v="3"/>
    <n v="2.99"/>
    <n v="8.9700000000000006"/>
    <m/>
    <x v="0"/>
    <n v="6.5"/>
    <n v="15.47"/>
    <n v="15.47"/>
  </r>
  <r>
    <n v="4"/>
    <x v="3"/>
    <x v="10"/>
    <s v="Pacote"/>
    <n v="2"/>
    <n v="1.99"/>
    <n v="3.98"/>
    <m/>
    <x v="2"/>
    <n v="0"/>
    <n v="3.98"/>
    <s v=""/>
  </r>
  <r>
    <n v="4"/>
    <x v="3"/>
    <x v="11"/>
    <s v="Kg"/>
    <n v="5"/>
    <n v="2.4900000000000002"/>
    <n v="12.450000000000001"/>
    <m/>
    <x v="2"/>
    <n v="6.5"/>
    <n v="18.950000000000003"/>
    <n v="22.930000000000003"/>
  </r>
  <r>
    <n v="3"/>
    <x v="3"/>
    <x v="12"/>
    <s v="Litro"/>
    <n v="6"/>
    <n v="1.49"/>
    <n v="8.94"/>
    <m/>
    <x v="3"/>
    <n v="8"/>
    <n v="16.939999999999998"/>
    <n v="16.939999999999998"/>
  </r>
  <r>
    <n v="2"/>
    <x v="3"/>
    <x v="10"/>
    <s v="Pacote"/>
    <n v="1"/>
    <n v="1.99"/>
    <n v="1.99"/>
    <m/>
    <x v="2"/>
    <n v="6.5"/>
    <n v="8.49"/>
    <n v="8.49"/>
  </r>
  <r>
    <n v="1"/>
    <x v="3"/>
    <x v="11"/>
    <s v="Kg"/>
    <n v="2"/>
    <n v="2.4900000000000002"/>
    <n v="4.9800000000000004"/>
    <m/>
    <x v="1"/>
    <n v="0"/>
    <n v="4.9800000000000004"/>
    <s v=""/>
  </r>
  <r>
    <n v="1"/>
    <x v="3"/>
    <x v="0"/>
    <s v="Pacote"/>
    <n v="3"/>
    <n v="1.1499999999999999"/>
    <n v="3.4499999999999997"/>
    <m/>
    <x v="1"/>
    <n v="0"/>
    <n v="3.4499999999999997"/>
    <s v=""/>
  </r>
  <r>
    <n v="1"/>
    <x v="3"/>
    <x v="10"/>
    <s v="Pacote"/>
    <n v="1"/>
    <n v="1.99"/>
    <n v="1.99"/>
    <m/>
    <x v="1"/>
    <n v="0"/>
    <n v="1.99"/>
    <n v="10.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">
  <r>
    <n v="3"/>
    <x v="0"/>
    <x v="0"/>
    <s v=""/>
    <m/>
    <n v="0"/>
    <n v="0"/>
    <m/>
    <x v="0"/>
    <n v="0"/>
    <n v="0"/>
    <m/>
  </r>
  <r>
    <n v="2"/>
    <x v="0"/>
    <x v="1"/>
    <s v="Garrafa"/>
    <n v="1"/>
    <n v="54.9"/>
    <n v="54.9"/>
    <m/>
    <x v="1"/>
    <n v="6.5"/>
    <n v="61.4"/>
    <n v="61.4"/>
  </r>
  <r>
    <m/>
    <x v="1"/>
    <x v="0"/>
    <s v=""/>
    <m/>
    <n v="0"/>
    <n v="0"/>
    <m/>
    <x v="0"/>
    <n v="0"/>
    <n v="0"/>
    <n v="219.77199999999999"/>
  </r>
  <r>
    <m/>
    <x v="1"/>
    <x v="0"/>
    <s v=""/>
    <m/>
    <n v="0"/>
    <n v="0"/>
    <m/>
    <x v="0"/>
    <n v="0"/>
    <n v="0"/>
    <n v="219.77199999999999"/>
  </r>
  <r>
    <m/>
    <x v="1"/>
    <x v="0"/>
    <s v=""/>
    <m/>
    <n v="0"/>
    <n v="0"/>
    <m/>
    <x v="0"/>
    <n v="0"/>
    <n v="0"/>
    <n v="2.19"/>
  </r>
  <r>
    <m/>
    <x v="1"/>
    <x v="0"/>
    <s v=""/>
    <m/>
    <n v="0"/>
    <n v="0"/>
    <m/>
    <x v="0"/>
    <n v="0"/>
    <n v="0"/>
    <n v="21.9"/>
  </r>
  <r>
    <m/>
    <x v="1"/>
    <x v="0"/>
    <s v=""/>
    <m/>
    <n v="0"/>
    <n v="0"/>
    <m/>
    <x v="0"/>
    <n v="0"/>
    <n v="0"/>
    <n v="35.24"/>
  </r>
  <r>
    <m/>
    <x v="1"/>
    <x v="0"/>
    <s v=""/>
    <m/>
    <n v="0"/>
    <n v="0"/>
    <m/>
    <x v="0"/>
    <n v="0"/>
    <n v="0"/>
    <n v="35.24"/>
  </r>
  <r>
    <m/>
    <x v="1"/>
    <x v="0"/>
    <s v=""/>
    <m/>
    <n v="0"/>
    <n v="0"/>
    <m/>
    <x v="0"/>
    <n v="0"/>
    <n v="0"/>
    <n v="89.58"/>
  </r>
  <r>
    <m/>
    <x v="1"/>
    <x v="0"/>
    <s v=""/>
    <m/>
    <n v="0"/>
    <n v="0"/>
    <m/>
    <x v="0"/>
    <n v="0"/>
    <n v="0"/>
    <n v="89.58"/>
  </r>
  <r>
    <m/>
    <x v="1"/>
    <x v="0"/>
    <s v=""/>
    <m/>
    <n v="0"/>
    <n v="0"/>
    <m/>
    <x v="0"/>
    <n v="0"/>
    <n v="0"/>
    <n v="89.58"/>
  </r>
  <r>
    <m/>
    <x v="1"/>
    <x v="0"/>
    <s v=""/>
    <m/>
    <n v="0"/>
    <n v="0"/>
    <m/>
    <x v="0"/>
    <n v="0"/>
    <n v="0"/>
    <n v="89.58"/>
  </r>
  <r>
    <m/>
    <x v="1"/>
    <x v="0"/>
    <s v=""/>
    <m/>
    <n v="0"/>
    <n v="0"/>
    <m/>
    <x v="0"/>
    <n v="0"/>
    <n v="0"/>
    <n v="48.109999999999992"/>
  </r>
  <r>
    <m/>
    <x v="1"/>
    <x v="0"/>
    <s v=""/>
    <m/>
    <n v="0"/>
    <n v="0"/>
    <m/>
    <x v="0"/>
    <n v="0"/>
    <n v="0"/>
    <n v="41.609999999999992"/>
  </r>
  <r>
    <m/>
    <x v="1"/>
    <x v="0"/>
    <s v=""/>
    <m/>
    <n v="0"/>
    <n v="0"/>
    <m/>
    <x v="0"/>
    <n v="0"/>
    <n v="0"/>
    <n v="123.26"/>
  </r>
  <r>
    <m/>
    <x v="1"/>
    <x v="0"/>
    <s v=""/>
    <m/>
    <n v="0"/>
    <n v="0"/>
    <m/>
    <x v="0"/>
    <n v="0"/>
    <n v="0"/>
    <n v="123.26"/>
  </r>
  <r>
    <m/>
    <x v="1"/>
    <x v="0"/>
    <s v=""/>
    <m/>
    <n v="0"/>
    <n v="0"/>
    <m/>
    <x v="0"/>
    <n v="0"/>
    <n v="0"/>
    <n v="123.26"/>
  </r>
  <r>
    <m/>
    <x v="1"/>
    <x v="0"/>
    <s v=""/>
    <m/>
    <n v="0"/>
    <n v="0"/>
    <m/>
    <x v="0"/>
    <n v="0"/>
    <n v="0"/>
    <n v="15.47"/>
  </r>
  <r>
    <m/>
    <x v="1"/>
    <x v="0"/>
    <s v=""/>
    <m/>
    <n v="0"/>
    <n v="0"/>
    <m/>
    <x v="0"/>
    <n v="0"/>
    <n v="0"/>
    <n v="22.930000000000003"/>
  </r>
  <r>
    <m/>
    <x v="1"/>
    <x v="0"/>
    <s v=""/>
    <m/>
    <n v="0"/>
    <n v="0"/>
    <m/>
    <x v="0"/>
    <n v="0"/>
    <n v="0"/>
    <n v="22.930000000000003"/>
  </r>
  <r>
    <m/>
    <x v="1"/>
    <x v="0"/>
    <s v=""/>
    <m/>
    <n v="0"/>
    <n v="0"/>
    <m/>
    <x v="0"/>
    <n v="0"/>
    <n v="0"/>
    <n v="16.939999999999998"/>
  </r>
  <r>
    <m/>
    <x v="1"/>
    <x v="0"/>
    <s v=""/>
    <m/>
    <n v="0"/>
    <n v="0"/>
    <m/>
    <x v="0"/>
    <n v="0"/>
    <n v="0"/>
    <n v="8.49"/>
  </r>
  <r>
    <m/>
    <x v="1"/>
    <x v="0"/>
    <s v=""/>
    <m/>
    <n v="0"/>
    <n v="0"/>
    <m/>
    <x v="0"/>
    <n v="0"/>
    <n v="0"/>
    <n v="10.42"/>
  </r>
  <r>
    <m/>
    <x v="1"/>
    <x v="0"/>
    <s v=""/>
    <m/>
    <n v="0"/>
    <n v="0"/>
    <m/>
    <x v="0"/>
    <n v="0"/>
    <n v="0"/>
    <n v="10.42"/>
  </r>
  <r>
    <m/>
    <x v="1"/>
    <x v="0"/>
    <s v=""/>
    <m/>
    <n v="0"/>
    <n v="0"/>
    <m/>
    <x v="0"/>
    <n v="0"/>
    <n v="0"/>
    <n v="10.42"/>
  </r>
  <r>
    <m/>
    <x v="1"/>
    <x v="0"/>
    <s v=""/>
    <m/>
    <n v="0"/>
    <n v="0"/>
    <m/>
    <x v="0"/>
    <n v="0"/>
    <n v="0"/>
    <e v="#VALUE!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130997-D9D3-4EB3-A32F-7E6F39605BEB}" name="Tabela dinâmica8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C27" firstHeaderRow="0" firstDataRow="1" firstDataCol="1"/>
  <pivotFields count="12">
    <pivotField showAll="0"/>
    <pivotField axis="axisRow" numFmtId="14" showAll="0">
      <items count="5">
        <item x="3"/>
        <item x="2"/>
        <item x="1"/>
        <item x="0"/>
        <item t="default"/>
      </items>
    </pivotField>
    <pivotField axis="axisRow" showAll="0">
      <items count="14">
        <item x="9"/>
        <item x="0"/>
        <item x="11"/>
        <item x="10"/>
        <item x="1"/>
        <item x="2"/>
        <item x="3"/>
        <item x="4"/>
        <item x="12"/>
        <item x="6"/>
        <item x="8"/>
        <item x="5"/>
        <item x="7"/>
        <item t="default"/>
      </items>
    </pivotField>
    <pivotField showAll="0"/>
    <pivotField dataField="1" showAll="0"/>
    <pivotField numFmtId="44" showAll="0"/>
    <pivotField numFmtId="44" showAll="0"/>
    <pivotField showAll="0"/>
    <pivotField showAll="0"/>
    <pivotField numFmtId="44" showAll="0"/>
    <pivotField dataField="1" numFmtId="44" showAll="0"/>
    <pivotField showAll="0"/>
  </pivotFields>
  <rowFields count="2">
    <field x="1"/>
    <field x="2"/>
  </rowFields>
  <rowItems count="24">
    <i>
      <x/>
    </i>
    <i r="1">
      <x/>
    </i>
    <i r="1">
      <x v="1"/>
    </i>
    <i r="1">
      <x v="2"/>
    </i>
    <i r="1">
      <x v="3"/>
    </i>
    <i r="1">
      <x v="8"/>
    </i>
    <i>
      <x v="1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2"/>
    </i>
    <i>
      <x v="2"/>
    </i>
    <i r="1">
      <x v="6"/>
    </i>
    <i r="1">
      <x v="7"/>
    </i>
    <i r="1">
      <x v="11"/>
    </i>
    <i>
      <x v="3"/>
    </i>
    <i r="1">
      <x v="1"/>
    </i>
    <i r="1">
      <x v="4"/>
    </i>
    <i r="1">
      <x v="5"/>
    </i>
    <i r="1"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Soma de Quantidade" fld="4" baseField="0" baseItem="0"/>
    <dataField name="Soma de Total" fld="10" baseField="1" baseItem="0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0FAB63-076D-4DE6-89F6-CE1C4968BD82}" name="Tabela dinâmica9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4:I28" firstHeaderRow="0" firstDataRow="1" firstDataCol="1"/>
  <pivotFields count="12">
    <pivotField showAll="0"/>
    <pivotField numFmtId="14" showAll="0"/>
    <pivotField axis="axisRow" showAll="0">
      <items count="14">
        <item x="9"/>
        <item x="0"/>
        <item x="11"/>
        <item x="10"/>
        <item x="1"/>
        <item x="2"/>
        <item x="3"/>
        <item x="4"/>
        <item x="12"/>
        <item x="6"/>
        <item x="8"/>
        <item x="5"/>
        <item x="7"/>
        <item t="default"/>
      </items>
    </pivotField>
    <pivotField showAll="0"/>
    <pivotField dataField="1" showAll="0"/>
    <pivotField numFmtId="44" showAll="0"/>
    <pivotField numFmtId="44" showAll="0"/>
    <pivotField showAll="0"/>
    <pivotField axis="axisRow" showAll="0">
      <items count="5">
        <item x="1"/>
        <item x="2"/>
        <item x="3"/>
        <item x="0"/>
        <item t="default"/>
      </items>
    </pivotField>
    <pivotField dataField="1" numFmtId="44" showAll="0"/>
    <pivotField dataField="1" numFmtId="44" showAll="0"/>
    <pivotField showAll="0"/>
  </pivotFields>
  <rowFields count="2">
    <field x="8"/>
    <field x="2"/>
  </rowFields>
  <rowItems count="24">
    <i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>
      <x v="1"/>
    </i>
    <i r="1">
      <x v="2"/>
    </i>
    <i r="1">
      <x v="3"/>
    </i>
    <i>
      <x v="2"/>
    </i>
    <i r="1">
      <x v="8"/>
    </i>
    <i>
      <x v="3"/>
    </i>
    <i r="1">
      <x/>
    </i>
    <i r="1">
      <x v="1"/>
    </i>
    <i r="1">
      <x v="4"/>
    </i>
    <i r="1">
      <x v="5"/>
    </i>
    <i r="1"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a de Quantidade" fld="4" baseField="0" baseItem="0"/>
    <dataField name="Soma de Valor De Entrega" fld="9" baseField="2" baseItem="1" numFmtId="44"/>
    <dataField name="Soma de Total" fld="10" baseField="2" baseItem="1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E393D0-EF7C-4426-8528-C89AAEEA6140}" name="Tabela dinâmica8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C9" firstHeaderRow="0" firstDataRow="1" firstDataCol="1"/>
  <pivotFields count="12">
    <pivotField showAll="0"/>
    <pivotField axis="axisRow" numFmtId="14" showAll="0">
      <items count="3">
        <item x="0"/>
        <item x="1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dataField="1" showAll="0"/>
    <pivotField numFmtId="44" showAll="0"/>
    <pivotField numFmtId="44" showAll="0"/>
    <pivotField showAll="0"/>
    <pivotField showAll="0"/>
    <pivotField numFmtId="44" showAll="0"/>
    <pivotField dataField="1" numFmtId="44" showAll="0"/>
    <pivotField showAll="0"/>
  </pivotFields>
  <rowFields count="2">
    <field x="1"/>
    <field x="2"/>
  </rowFields>
  <rowItems count="6">
    <i>
      <x/>
    </i>
    <i r="1">
      <x/>
    </i>
    <i r="1">
      <x v="1"/>
    </i>
    <i>
      <x v="1"/>
    </i>
    <i r="1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Soma de Quantidade" fld="4" baseField="0" baseItem="0"/>
    <dataField name="Soma de Total" fld="10" baseField="1" baseItem="0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5536E3-FBD8-431C-BC8F-B2147C8FD576}" name="Tabela dinâmica9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4:I9" firstHeaderRow="0" firstDataRow="1" firstDataCol="1"/>
  <pivotFields count="12">
    <pivotField showAll="0"/>
    <pivotField numFmtId="14" showAll="0"/>
    <pivotField axis="axisRow" showAll="0">
      <items count="3">
        <item x="0"/>
        <item x="1"/>
        <item t="default"/>
      </items>
    </pivotField>
    <pivotField showAll="0"/>
    <pivotField dataField="1" showAll="0"/>
    <pivotField numFmtId="44" showAll="0"/>
    <pivotField numFmtId="44" showAll="0"/>
    <pivotField showAll="0"/>
    <pivotField axis="axisRow" showAll="0">
      <items count="3">
        <item x="1"/>
        <item x="0"/>
        <item t="default"/>
      </items>
    </pivotField>
    <pivotField dataField="1" numFmtId="44" showAll="0"/>
    <pivotField dataField="1" numFmtId="44" showAll="0"/>
    <pivotField showAll="0"/>
  </pivotFields>
  <rowFields count="2">
    <field x="8"/>
    <field x="2"/>
  </rowFields>
  <rowItems count="5">
    <i>
      <x/>
    </i>
    <i r="1">
      <x v="1"/>
    </i>
    <i>
      <x v="1"/>
    </i>
    <i r="1"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a de Quantidade" fld="4" baseField="0" baseItem="0"/>
    <dataField name="Soma de Valor De Entrega" fld="9" baseField="2" baseItem="1" numFmtId="44"/>
    <dataField name="Soma de Total" fld="10" baseField="2" baseItem="1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66009D9-407C-4948-9062-66C92320EBA7}" name="Tabela6" displayName="Tabela6" ref="B6:G31" totalsRowShown="0">
  <autoFilter ref="B6:G31" xr:uid="{166009D9-407C-4948-9062-66C92320EBA7}"/>
  <tableColumns count="6">
    <tableColumn id="1" xr3:uid="{012B3372-FB11-4121-B75B-FC2BBAEB946D}" name="Despesas de funcionamento"/>
    <tableColumn id="2" xr3:uid="{909C6D60-C6D7-43CD-8E1A-4B4588CCAEBA}" name="items despesas "/>
    <tableColumn id="3" xr3:uid="{84BDD69B-61C8-4747-AA29-12196D9E3ACF}" name="Data"/>
    <tableColumn id="4" xr3:uid="{1D12607D-479B-42EE-9CD1-85BF564082ED}" name="Observação"/>
    <tableColumn id="5" xr3:uid="{E71D840D-0FF1-4B91-80EF-350A8981544C}" name="Valor intermediario" dataCellStyle="Moeda"/>
    <tableColumn id="6" xr3:uid="{D40ABD8B-262B-4797-9E39-6508C86A9138}" name="Valor final" dataCellStyle="Moeda"/>
  </tableColumns>
  <tableStyleInfo name="TableStyleMedium1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5F3FD7E-8350-4671-9201-0958850820DB}" name="Tabela8" displayName="Tabela8" ref="B6:I30" totalsRowShown="0">
  <autoFilter ref="B6:I30" xr:uid="{95F3FD7E-8350-4671-9201-0958850820DB}"/>
  <sortState xmlns:xlrd2="http://schemas.microsoft.com/office/spreadsheetml/2017/richdata2" ref="B7:I28">
    <sortCondition descending="1" ref="G6:G28"/>
  </sortState>
  <tableColumns count="8">
    <tableColumn id="1" xr3:uid="{65543F1B-84C6-4E9B-AB1D-6DE4339BC9AF}" name="Data" dataDxfId="48"/>
    <tableColumn id="2" xr3:uid="{F70CCD8F-CBB2-455E-AF63-ABBD4987FD23}" name="Fornecedor"/>
    <tableColumn id="3" xr3:uid="{1B649B4D-07C1-45D3-BBC0-CB560BBFC6F9}" name="Mercadoria"/>
    <tableColumn id="4" xr3:uid="{2C7EF7E5-85AB-40DA-AD2C-DD288E102E8B}" name="Medida" dataDxfId="47"/>
    <tableColumn id="5" xr3:uid="{AF496231-2ADE-4829-89EC-6C6DB22F6907}" name="Quantidade"/>
    <tableColumn id="6" xr3:uid="{D418D1FE-04F8-4AA9-A84D-9BB1586A0522}" name="Preço Unitário" dataDxfId="46" dataCellStyle="Moeda"/>
    <tableColumn id="7" xr3:uid="{82AB43BB-3886-42B7-9194-08B7E9C1F864}" name="Desconto"/>
    <tableColumn id="8" xr3:uid="{B823FEE8-720C-456F-B771-4B41176E25DF}" name="Valor Pago" dataCellStyle="Moeda">
      <calculatedColumnFormula>Tabela8[[#This Row],[Quantidade]]*Tabela8[[#This Row],[Preço Unitário]]*(1-Tabela8[[#This Row],[Desconto]])</calculatedColumnFormula>
    </tableColumn>
  </tableColumns>
  <tableStyleInfo name="TableStyleMedium1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FF2ABC6-C438-44AB-859D-1A0225279CE4}" name="Tabela11" displayName="Tabela11" ref="B4:E9" totalsRowShown="0">
  <autoFilter ref="B4:E9" xr:uid="{DFF2ABC6-C438-44AB-859D-1A0225279CE4}"/>
  <tableColumns count="4">
    <tableColumn id="1" xr3:uid="{A8EB7CE5-854D-4594-9768-D9145B78D6EF}" name="Investimento"/>
    <tableColumn id="2" xr3:uid="{C0C9A6FC-48FA-4523-9B5B-D9F47A30C652}" name="Data"/>
    <tableColumn id="3" xr3:uid="{AB0BEA72-8697-4053-8978-6CE0CF343615}" name="Descrição"/>
    <tableColumn id="4" xr3:uid="{64F22920-C366-4721-A8B3-6DEC59BA6953}" name="Valor"/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66F34E6-E977-4CB9-846C-C22DF2ECB2EE}" name="Tabela12" displayName="Tabela12" ref="C4:I26" totalsRowShown="0">
  <autoFilter ref="C4:I26" xr:uid="{366F34E6-E977-4CB9-846C-C22DF2ECB2EE}"/>
  <sortState xmlns:xlrd2="http://schemas.microsoft.com/office/spreadsheetml/2017/richdata2" ref="C5:I26">
    <sortCondition descending="1" ref="E4:E26"/>
  </sortState>
  <tableColumns count="7">
    <tableColumn id="1" xr3:uid="{BCD4AED6-B5AD-4CC3-BE28-14E75695B078}" name="Produto"/>
    <tableColumn id="2" xr3:uid="{602EF02C-F23D-4298-BF06-AEA1BAD77D3D}" name="Data última compra" dataDxfId="45">
      <calculatedColumnFormula>IFERROR(INDEX(Tabela8[],MATCH(Tabela12[[#This Row],[Produto]],Tabela8[Mercadoria],0),1),)</calculatedColumnFormula>
    </tableColumn>
    <tableColumn id="3" xr3:uid="{29785DE8-B3E3-4872-B109-5BA0508CEAF4}" name="Quatidade inicial"/>
    <tableColumn id="4" xr3:uid="{AFA026E5-DDDC-4126-97FC-1AC0861A15D3}" name="Quantidade comprada" dataDxfId="44">
      <calculatedColumnFormula>SUMIF(Tabela8[Mercadoria],Tabela12[[#This Row],[Produto]],Tabela8[Quantidade])</calculatedColumnFormula>
    </tableColumn>
    <tableColumn id="5" xr3:uid="{8AD633F1-08D9-48F3-8AF0-7668E7B2F0AB}" name="Quantidade vendida" dataDxfId="43">
      <calculatedColumnFormula>SUMIF(Tabela1619[Produto],Tabela12[[#This Row],[Produto]],Tabela1619[Quantidade])+SUMIF(Tabela161914[Produto],Tabela12[[#This Row],[Produto]],Tabela161914[Quantidade])+SUMIF(Tabela161916[Produto],Tabela12[[#This Row],[Produto]],Tabela161916[Quantidade])+SUMIF(Tabela161920[Produto],Tabela12[[#This Row],[Produto]],Tabela161920[Quantidade])+SUMIF(Tabela16192021[Produto],Tabela12[[#This Row],[Produto]],Tabela16192021[Quantidade])</calculatedColumnFormula>
    </tableColumn>
    <tableColumn id="6" xr3:uid="{A73C0E6A-31F2-45D1-89EA-7CA6C2BA77A1}" name="Quantidade atual" dataDxfId="42">
      <calculatedColumnFormula>Tabela12[[#This Row],[Quatidade inicial]]+Tabela12[[#This Row],[Quantidade comprada]]-Tabela12[[#This Row],[Quantidade vendida]]</calculatedColumnFormula>
    </tableColumn>
    <tableColumn id="7" xr3:uid="{193624B7-1E20-470A-8713-7056F9120C3F}" name="Situação" dataDxfId="41">
      <calculatedColumnFormula>IF(Tabela12[[#This Row],[Quantidade atual]]&lt;50,IF(Tabela12[[#This Row],[Quantidade atual]]&lt;21,"Comprar","Atenção"),"OK")</calculatedColumnFormula>
    </tableColumn>
  </tableColumns>
  <tableStyleInfo name="TableStyleMedium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FDF659B2-42EF-4F35-8643-B53AE73599B2}" name="Tabela1619" displayName="Tabela1619" ref="B4:M29" totalsRowShown="0">
  <autoFilter ref="B4:M29" xr:uid="{FDF659B2-42EF-4F35-8643-B53AE73599B2}"/>
  <tableColumns count="12">
    <tableColumn id="1" xr3:uid="{8201F87A-DC55-447B-843A-FFD613DC71C3}" name="ID da venda"/>
    <tableColumn id="2" xr3:uid="{8C8236C7-60D6-477A-B8F0-27AC7755FBD2}" name="Data" dataDxfId="40"/>
    <tableColumn id="3" xr3:uid="{2163AC96-0FB9-4617-BE52-E956BA519701}" name="Produto"/>
    <tableColumn id="4" xr3:uid="{404B34C1-5B11-4816-9D36-8B45F46712FE}" name="Medida" dataDxfId="39">
      <calculatedColumnFormula>IFERROR(VLOOKUP(Tabela1619[[#This Row],[Produto]],cálculos!$K$4:$N$32,4,FALSE),"")</calculatedColumnFormula>
    </tableColumn>
    <tableColumn id="5" xr3:uid="{B08EDB90-7B30-4A3C-8F40-DAAB00B4CFDC}" name="Quantidade"/>
    <tableColumn id="6" xr3:uid="{C9F094F9-CE0E-4419-9B55-17FAD22F8CE0}" name="Preço unitario" dataDxfId="38" dataCellStyle="Moeda">
      <calculatedColumnFormula>IFERROR(VLOOKUP(Tabela1619[[#This Row],[Produto]],cálculos!$K$4:$N$32,3,FALSE),0)</calculatedColumnFormula>
    </tableColumn>
    <tableColumn id="7" xr3:uid="{343911CA-B6A0-4934-BAA2-A24B1D18E127}" name="Subtotal" dataDxfId="37" dataCellStyle="Moeda">
      <calculatedColumnFormula>Tabela1619[[#This Row],[Quantidade]]*Tabela1619[[#This Row],[Preço unitario]]</calculatedColumnFormula>
    </tableColumn>
    <tableColumn id="8" xr3:uid="{27408A8B-02A9-4A64-808B-7CB9AC886E8D}" name="Desconto" dataCellStyle="Porcentagem"/>
    <tableColumn id="9" xr3:uid="{C057BC37-AB19-4D4E-9248-2CF941B1EE4E}" name="Entrega"/>
    <tableColumn id="10" xr3:uid="{4594FD95-3372-45FE-9DAB-B4AAE0F6D660}" name="Valor De Entrega" dataDxfId="36" dataCellStyle="Moeda">
      <calculatedColumnFormula>IFERROR(IF(Tabela1619[[#This Row],[ID da venda]]=B6,0,VLOOKUP(Tabela1619[[#This Row],[Entrega]],cálculos!$A$4:$B$9,2,FALSE)),0)</calculatedColumnFormula>
    </tableColumn>
    <tableColumn id="11" xr3:uid="{DC71D0D7-CD2B-4F52-BA14-7EAF2667E9C4}" name="Total" dataDxfId="35" dataCellStyle="Moeda">
      <calculatedColumnFormula>Tabela1619[[#This Row],[Subtotal]]*(1-Tabela1619[[#This Row],[Desconto]])+Tabela1619[[#This Row],[Valor De Entrega]]</calculatedColumnFormula>
    </tableColumn>
    <tableColumn id="12" xr3:uid="{E6F8A862-4882-4DA4-8AF2-534A770D72B8}" name="Total Para o Cliente" dataDxfId="34" dataCellStyle="Moeda">
      <calculatedColumnFormula>IF(Tabela1619[[#This Row],[ID da venda]]=B6,"",SUMIF(Tabela1619[ID da venda],Tabela1619[[#This Row],[ID da venda]],Tabela1619[Total] ))</calculatedColumnFormula>
    </tableColumn>
  </tableColumns>
  <tableStyleInfo name="TableStyleMedium1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8E28FC9-CDC9-44BD-B5D4-D35F4E98A63E}" name="Tabela161914" displayName="Tabela161914" ref="B4:M29" totalsRowShown="0" dataCellStyle="Moeda">
  <autoFilter ref="B4:M29" xr:uid="{E8E28FC9-CDC9-44BD-B5D4-D35F4E98A63E}"/>
  <tableColumns count="12">
    <tableColumn id="1" xr3:uid="{6FAEF357-BBF4-4C02-AFB2-D79427A25540}" name="ID da venda"/>
    <tableColumn id="2" xr3:uid="{FE040B78-388C-4CFB-A8A3-9F74800C5B74}" name="Data" dataDxfId="33">
      <calculatedColumnFormula>TODAY()</calculatedColumnFormula>
    </tableColumn>
    <tableColumn id="3" xr3:uid="{6732DDB8-4C5E-46EF-8B70-DAC170E3996A}" name="Produto"/>
    <tableColumn id="4" xr3:uid="{86BE68D7-3D36-4922-98B0-44AC71C294DD}" name="Medida" dataDxfId="32">
      <calculatedColumnFormula>IFERROR(VLOOKUP(Tabela161914[[#This Row],[Produto]],cálculos!$K$4:$N$32,4,FALSE),"")</calculatedColumnFormula>
    </tableColumn>
    <tableColumn id="5" xr3:uid="{A7FAC77B-E8A6-4382-A869-F99F9D850424}" name="Quantidade"/>
    <tableColumn id="6" xr3:uid="{E7009AB3-0E04-4B76-8BC0-56F8E34163DB}" name="Preço unitario" dataDxfId="31" dataCellStyle="Moeda">
      <calculatedColumnFormula>IFERROR(VLOOKUP(Tabela161914[[#This Row],[Produto]],cálculos!$K$4:$N$32,3,FALSE),0)</calculatedColumnFormula>
    </tableColumn>
    <tableColumn id="7" xr3:uid="{30F89B9B-FD6B-4564-B8F7-F0B4FB484A4D}" name="Subtotal" dataDxfId="30" dataCellStyle="Moeda">
      <calculatedColumnFormula>Tabela161914[[#This Row],[Quantidade]]*Tabela161914[[#This Row],[Preço unitario]]</calculatedColumnFormula>
    </tableColumn>
    <tableColumn id="8" xr3:uid="{36F2FBA1-0B14-4DF6-B80D-28FC5F60087B}" name="Desconto" dataDxfId="29" dataCellStyle="Porcentagem"/>
    <tableColumn id="9" xr3:uid="{491FF7C2-9C96-4616-A802-72E045AB3E24}" name="Entrega"/>
    <tableColumn id="10" xr3:uid="{9D40F2FB-6143-49B2-8570-D095FBE0F668}" name="Valor De Entrega" dataDxfId="28" dataCellStyle="Moeda">
      <calculatedColumnFormula>IFERROR(IF(Tabela161914[[#This Row],[ID da venda]]=B6,0,VLOOKUP(Tabela161914[[#This Row],[Entrega]],cálculos!$A$4:$B$9,2,FALSE)),0)</calculatedColumnFormula>
    </tableColumn>
    <tableColumn id="11" xr3:uid="{03E32BCC-461D-4467-850B-090F95D54A05}" name="Total" dataDxfId="27" dataCellStyle="Moeda">
      <calculatedColumnFormula>Tabela161914[[#This Row],[Subtotal]]*(1-Tabela161914[[#This Row],[Desconto]])+Tabela161914[[#This Row],[Valor De Entrega]]</calculatedColumnFormula>
    </tableColumn>
    <tableColumn id="12" xr3:uid="{4F3D673A-9AE5-4540-8AF0-6D23253F0E86}" name="Total Para o Cliente" dataDxfId="26" dataCellStyle="Moeda">
      <calculatedColumnFormula>IF(Tabela161914[[#This Row],[ID da venda]]=B8,"",SUMIF(Tabela161914[ID da venda],Tabela161914[[#This Row],[ID da venda]],Tabela161914[Total] ))</calculatedColumnFormula>
    </tableColumn>
  </tableColumns>
  <tableStyleInfo name="TableStyleMedium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39D61093-6375-420A-AACB-7E50066D509A}" name="Tabela161916" displayName="Tabela161916" ref="B4:M26" totalsRowShown="0">
  <autoFilter ref="B4:M26" xr:uid="{39D61093-6375-420A-AACB-7E50066D509A}"/>
  <tableColumns count="12">
    <tableColumn id="1" xr3:uid="{BB874338-1BF7-4CEC-9881-A2787C91B165}" name="ID da venda"/>
    <tableColumn id="2" xr3:uid="{4D1CE3F2-305A-4E2E-9C02-2C110D8452B7}" name="Data" dataDxfId="25"/>
    <tableColumn id="3" xr3:uid="{DB8D2267-F11B-4DD8-86E5-49D297FE994D}" name="Produto"/>
    <tableColumn id="4" xr3:uid="{9AF8B9EF-F49B-444F-B069-8267AAE440CA}" name="Medida" dataDxfId="24"/>
    <tableColumn id="5" xr3:uid="{ED071088-8ECD-47BC-9EE2-31AC910DFDA4}" name="Quantidade"/>
    <tableColumn id="6" xr3:uid="{93F1CEFD-766E-45CB-8B9E-282BD09AB078}" name="Preço unitario" dataDxfId="23" dataCellStyle="Moeda">
      <calculatedColumnFormula>IFERROR(VLOOKUP(Tabela161916[[#This Row],[Produto]],cálculos!$K$4:$N$32,3,FALSE),0)</calculatedColumnFormula>
    </tableColumn>
    <tableColumn id="7" xr3:uid="{B34D9781-11CC-48F4-B8AB-8264453D1E0B}" name="Subtotal" dataDxfId="22" dataCellStyle="Moeda">
      <calculatedColumnFormula>Tabela161916[[#This Row],[Quantidade]]*Tabela161916[[#This Row],[Preço unitario]]</calculatedColumnFormula>
    </tableColumn>
    <tableColumn id="8" xr3:uid="{C17B2C23-F422-439E-8AEF-D4FCECF00ECB}" name="Desconto" dataCellStyle="Porcentagem"/>
    <tableColumn id="9" xr3:uid="{4BE08911-D9C7-4A5E-A85B-49EB3A9A8BD6}" name="Entrega"/>
    <tableColumn id="10" xr3:uid="{3A53139D-764D-42CA-82BD-E1449BD08F9C}" name="Valor De Entrega" dataDxfId="21" dataCellStyle="Moeda">
      <calculatedColumnFormula>IFERROR(VLOOKUP(Tabela161916[[#This Row],[Entrega]],cálculos!$A$4:$B$9,2,FALSE),0)</calculatedColumnFormula>
    </tableColumn>
    <tableColumn id="11" xr3:uid="{1701F164-766C-4BA2-8507-0984AC153C44}" name="Total" dataDxfId="20" dataCellStyle="Moeda">
      <calculatedColumnFormula>Tabela161916[[#This Row],[Subtotal]]*(1-Tabela161916[[#This Row],[Desconto]])+Tabela161916[[#This Row],[Valor De Entrega]]</calculatedColumnFormula>
    </tableColumn>
    <tableColumn id="12" xr3:uid="{64C92417-C57D-4EB4-92F7-F33F283BD48A}" name="Total Para o Cliente" dataDxfId="19" dataCellStyle="Moeda">
      <calculatedColumnFormula>IF(Tabela161916[[#This Row],[ID da venda]]=B6,"",SUMIF(Tabela161916[ID da venda],Tabela161916[[#This Row],[ID da venda]],Tabela161916[Total] ))</calculatedColumnFormula>
    </tableColumn>
  </tableColumns>
  <tableStyleInfo name="TableStyleMedium14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58CF2038-B4C9-4304-BF02-EB87170C4F85}" name="Tabela161920" displayName="Tabela161920" ref="B4:M26" totalsRowShown="0">
  <autoFilter ref="B4:M26" xr:uid="{58CF2038-B4C9-4304-BF02-EB87170C4F85}"/>
  <tableColumns count="12">
    <tableColumn id="1" xr3:uid="{0CA23C9C-9154-4D24-B7F3-EFA4CA6297C5}" name="ID da venda"/>
    <tableColumn id="2" xr3:uid="{22687250-A969-4CD4-81E3-39F119E5C8E9}" name="Data" dataDxfId="18"/>
    <tableColumn id="3" xr3:uid="{DA6A90BD-C331-42BC-B80D-2348D433C938}" name="Produto"/>
    <tableColumn id="4" xr3:uid="{8969A584-6F23-46BF-975D-32C0EBDEDE62}" name="Medida" dataDxfId="17"/>
    <tableColumn id="5" xr3:uid="{4788D5DC-3366-41DE-BDD8-1E069A085416}" name="Quantidade"/>
    <tableColumn id="6" xr3:uid="{B7501DCB-E158-4B85-8B48-C868A10108C9}" name="Preço unitario" dataDxfId="16" dataCellStyle="Moeda">
      <calculatedColumnFormula>IFERROR(VLOOKUP(Tabela161920[[#This Row],[Produto]],cálculos!$K$4:$N$32,3,FALSE),0)</calculatedColumnFormula>
    </tableColumn>
    <tableColumn id="7" xr3:uid="{879738E5-CA7F-4130-ABB0-D712FB3430F7}" name="Subtotal" dataDxfId="15" dataCellStyle="Moeda">
      <calculatedColumnFormula>Tabela161920[[#This Row],[Quantidade]]*Tabela161920[[#This Row],[Preço unitario]]</calculatedColumnFormula>
    </tableColumn>
    <tableColumn id="8" xr3:uid="{442CE18D-D43E-4EE4-A6B5-C4A5FCC43E7A}" name="Desconto" dataCellStyle="Porcentagem"/>
    <tableColumn id="9" xr3:uid="{F90E016E-E8C4-40D3-B58A-44C4732CB9F8}" name="Entrega"/>
    <tableColumn id="10" xr3:uid="{F510D42C-F533-4F9A-BD86-F3055FDF1927}" name="Valor De Entrega" dataDxfId="14" dataCellStyle="Moeda">
      <calculatedColumnFormula>IFERROR(VLOOKUP(Tabela161920[[#This Row],[Entrega]],cálculos!$A$4:$B$9,2,FALSE),0)</calculatedColumnFormula>
    </tableColumn>
    <tableColumn id="11" xr3:uid="{33A76236-6393-4253-A06C-480947B5B4EA}" name="Total" dataDxfId="13" dataCellStyle="Moeda">
      <calculatedColumnFormula>Tabela161920[[#This Row],[Subtotal]]*(1-Tabela161920[[#This Row],[Desconto]])+Tabela161920[[#This Row],[Valor De Entrega]]</calculatedColumnFormula>
    </tableColumn>
    <tableColumn id="12" xr3:uid="{8B9FD0A2-E548-464D-A8BF-AD90269137B0}" name="Total Para o Cliente" dataDxfId="12" dataCellStyle="Moeda">
      <calculatedColumnFormula>IF(Tabela161920[[#This Row],[ID da venda]]=B6,"",SUMIF(Tabela161920[ID da venda],Tabela161920[[#This Row],[ID da venda]],Tabela161920[Total] ))</calculatedColumnFormula>
    </tableColumn>
  </tableColumns>
  <tableStyleInfo name="TableStyleMedium1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E6DD8C18-8B59-4E15-A154-A4A4BB1CF1A1}" name="Tabela16192021" displayName="Tabela16192021" ref="B4:M29" totalsRowShown="0">
  <autoFilter ref="B4:M29" xr:uid="{E6DD8C18-8B59-4E15-A154-A4A4BB1CF1A1}"/>
  <tableColumns count="12">
    <tableColumn id="1" xr3:uid="{BE2078C3-CCB5-4DEC-B40E-BA890FFED734}" name="ID da venda"/>
    <tableColumn id="2" xr3:uid="{BD44005A-DF2A-4018-9106-69118C199113}" name="Data" dataDxfId="11"/>
    <tableColumn id="3" xr3:uid="{D1FADE1A-5E0A-416F-A27F-D6A41F7DB08A}" name="Produto"/>
    <tableColumn id="4" xr3:uid="{36908FE3-7EB5-441D-A04B-F6C9AEF4F6A7}" name="Medida" dataDxfId="10">
      <calculatedColumnFormula>IFERROR(VLOOKUP(Tabela16192021[[#This Row],[Produto]],cálculos!$K$4:$N$32,4,FALSE),"")</calculatedColumnFormula>
    </tableColumn>
    <tableColumn id="5" xr3:uid="{B08F9159-7631-4B39-A52B-1D0960728843}" name="Quantidade"/>
    <tableColumn id="6" xr3:uid="{7F6C5973-DAB8-4E70-842D-726AB305B4C8}" name="Preço unitario" dataDxfId="9" dataCellStyle="Moeda">
      <calculatedColumnFormula>IFERROR(VLOOKUP(Tabela16192021[[#This Row],[Produto]],cálculos!$K$4:$N$32,3,FALSE),0)</calculatedColumnFormula>
    </tableColumn>
    <tableColumn id="7" xr3:uid="{21A0A3A7-C911-4C02-81CA-7ED69FC78943}" name="Subtotal" dataDxfId="8" dataCellStyle="Moeda">
      <calculatedColumnFormula>Tabela16192021[[#This Row],[Quantidade]]*Tabela16192021[[#This Row],[Preço unitario]]</calculatedColumnFormula>
    </tableColumn>
    <tableColumn id="8" xr3:uid="{9A9116E0-DE61-4993-8D57-49A148E73D19}" name="Desconto" dataCellStyle="Porcentagem"/>
    <tableColumn id="9" xr3:uid="{5794B21C-827B-4002-AE9C-CC1D8BCEC984}" name="Entrega"/>
    <tableColumn id="10" xr3:uid="{7B3CDADF-A822-4AE8-9408-B2129ADE513B}" name="Valor De Entrega" dataDxfId="7" dataCellStyle="Moeda">
      <calculatedColumnFormula>IFERROR(VLOOKUP(Tabela16192021[[#This Row],[Entrega]],cálculos!$A$4:$B$9,2,FALSE),0)</calculatedColumnFormula>
    </tableColumn>
    <tableColumn id="11" xr3:uid="{5A3FB477-8279-46B9-993B-DB7D471362FF}" name="Total" dataDxfId="6" dataCellStyle="Moeda">
      <calculatedColumnFormula>Tabela16192021[[#This Row],[Subtotal]]*(1-Tabela16192021[[#This Row],[Desconto]])+Tabela16192021[[#This Row],[Valor De Entrega]]</calculatedColumnFormula>
    </tableColumn>
    <tableColumn id="12" xr3:uid="{4AFDFA57-69B6-4888-8D11-D34893ED4E6B}" name="Total Para o Cliente" dataDxfId="5" dataCellStyle="Moeda">
      <calculatedColumnFormula>IF(Tabela16192021[[#This Row],[ID da venda]]=B6,"",SUMIF(Tabela16192021[ID da venda],Tabela16192021[[#This Row],[ID da venda]],Tabela16192021[Total] ))</calculatedColumnFormula>
    </tableColumn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13" dT="2022-09-18T19:43:31.73" personId="{CE3C086A-4BDE-41F0-B469-A1C04441732C}" id="{15B3FFE4-8926-481F-B072-1FFBDC5C6352}">
    <text xml:space="preserve">Colocar  descrição da despesa na coluna de observação </text>
  </threadedComment>
  <threadedComment ref="C21" dT="2022-09-18T19:43:31.73" personId="{CE3C086A-4BDE-41F0-B469-A1C04441732C}" id="{7CB87881-6678-47B3-8E89-A41D90E70B98}">
    <text xml:space="preserve">Colocar  descrição da despesa na coluna de observação </text>
  </threadedComment>
  <threadedComment ref="C29" dT="2022-09-18T19:43:31.73" personId="{CE3C086A-4BDE-41F0-B469-A1C04441732C}" id="{03F455AC-4169-4542-9238-C3B15FD2D387}">
    <text xml:space="preserve">Colocar  descrição da despesa na coluna de observação </text>
  </threadedComment>
  <threadedComment ref="B31" dT="2022-09-18T19:43:31.73" personId="{CE3C086A-4BDE-41F0-B469-A1C04441732C}" id="{F1C0C91F-3161-4899-B67A-CC403BF31263}">
    <text xml:space="preserve">Colocar  descrição da despesa na coluna de observação 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B8" dT="2022-09-18T20:12:00.54" personId="{CE3C086A-4BDE-41F0-B469-A1C04441732C}" id="{7A0E73A3-620C-4B9D-91A9-01244E54CCE2}">
    <text>Exemplo Estantes,Prateleiras,etc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8" dT="2022-09-18T20:10:10.38" personId="{CE3C086A-4BDE-41F0-B469-A1C04441732C}" id="{19175BE9-56E7-4C51-988F-55382BDB4786}">
    <text>Imposto considerado 15%</text>
  </threadedComment>
  <threadedComment ref="I23" dT="2022-09-18T20:10:27.75" personId="{CE3C086A-4BDE-41F0-B469-A1C04441732C}" id="{659C8D65-E74F-4FCF-8E6D-567E1E569001}">
    <text>Imposto considerado 3%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microsoft.com/office/2017/10/relationships/threadedComment" Target="../threadedComments/threadedComment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comments" Target="../comments1.xml"/><Relationship Id="rId5" Type="http://schemas.openxmlformats.org/officeDocument/2006/relationships/table" Target="../tables/table1.xml"/><Relationship Id="rId4" Type="http://schemas.openxmlformats.org/officeDocument/2006/relationships/image" Target="../media/image2.jpeg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image" Target="../media/image3.jpeg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image" Target="../media/image4.jpeg"/><Relationship Id="rId1" Type="http://schemas.openxmlformats.org/officeDocument/2006/relationships/vmlDrawing" Target="../drawings/vmlDrawing2.vml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image" Target="../media/image5.jpeg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3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F4:U20"/>
  <sheetViews>
    <sheetView showGridLines="0" zoomScaleNormal="100" workbookViewId="0">
      <selection activeCell="F6" sqref="F6"/>
    </sheetView>
  </sheetViews>
  <sheetFormatPr defaultRowHeight="15" x14ac:dyDescent="0.25"/>
  <cols>
    <col min="7" max="7" width="9" customWidth="1"/>
    <col min="16" max="16" width="9.140625" customWidth="1"/>
  </cols>
  <sheetData>
    <row r="4" spans="6:21" s="30" customFormat="1" ht="15" customHeight="1" x14ac:dyDescent="0.25">
      <c r="G4" s="28"/>
      <c r="H4" s="28"/>
      <c r="I4" s="28"/>
      <c r="J4" s="28"/>
      <c r="K4" s="82" t="s">
        <v>38</v>
      </c>
      <c r="L4" s="82"/>
      <c r="M4" s="82"/>
      <c r="N4" s="82"/>
      <c r="O4" s="82"/>
      <c r="P4" s="82"/>
      <c r="Q4" s="82"/>
      <c r="R4" s="82"/>
    </row>
    <row r="5" spans="6:21" s="30" customFormat="1" ht="15" customHeight="1" x14ac:dyDescent="0.25">
      <c r="G5" s="28"/>
      <c r="H5" s="28"/>
      <c r="I5" s="28"/>
      <c r="J5" s="28"/>
      <c r="K5" s="82"/>
      <c r="L5" s="82"/>
      <c r="M5" s="82"/>
      <c r="N5" s="82"/>
      <c r="O5" s="82"/>
      <c r="P5" s="82"/>
      <c r="Q5" s="82"/>
      <c r="R5" s="82"/>
    </row>
    <row r="6" spans="6:21" s="30" customFormat="1" ht="21" customHeight="1" x14ac:dyDescent="0.25">
      <c r="F6" s="81"/>
      <c r="G6" s="28"/>
      <c r="H6" s="28"/>
      <c r="I6" s="28"/>
      <c r="J6" s="28"/>
      <c r="K6" s="82"/>
      <c r="L6" s="82"/>
      <c r="M6" s="82"/>
      <c r="N6" s="82"/>
      <c r="O6" s="82"/>
      <c r="P6" s="82"/>
      <c r="Q6" s="82"/>
      <c r="R6" s="82"/>
    </row>
    <row r="7" spans="6:21" s="30" customFormat="1" ht="15" customHeight="1" x14ac:dyDescent="0.25">
      <c r="G7" s="28"/>
      <c r="H7" s="28"/>
      <c r="I7" s="28"/>
      <c r="J7" s="28"/>
      <c r="K7" s="82"/>
      <c r="L7" s="82"/>
      <c r="M7" s="82"/>
      <c r="N7" s="82"/>
      <c r="O7" s="82"/>
      <c r="P7" s="82"/>
      <c r="Q7" s="82"/>
      <c r="R7" s="82"/>
      <c r="S7" s="28"/>
      <c r="T7" s="28"/>
      <c r="U7" s="28"/>
    </row>
    <row r="8" spans="6:21" s="30" customFormat="1" ht="15" customHeight="1" x14ac:dyDescent="0.25">
      <c r="G8" s="28"/>
      <c r="H8" s="28"/>
      <c r="I8" s="28"/>
      <c r="J8" s="28"/>
      <c r="K8" s="82"/>
      <c r="L8" s="82"/>
      <c r="M8" s="82"/>
      <c r="N8" s="82"/>
      <c r="O8" s="82"/>
      <c r="P8" s="82"/>
      <c r="Q8" s="82"/>
      <c r="R8" s="82"/>
      <c r="S8" s="28"/>
      <c r="T8" s="28"/>
      <c r="U8" s="28"/>
    </row>
    <row r="9" spans="6:21" s="30" customFormat="1" ht="15" customHeight="1" x14ac:dyDescent="0.25">
      <c r="G9" s="28"/>
      <c r="H9" s="28"/>
      <c r="I9" s="28"/>
      <c r="J9" s="28"/>
      <c r="K9" s="82"/>
      <c r="L9" s="82"/>
      <c r="M9" s="82"/>
      <c r="N9" s="82"/>
      <c r="O9" s="82"/>
      <c r="P9" s="82"/>
      <c r="Q9" s="82"/>
      <c r="R9" s="82"/>
      <c r="S9" s="28"/>
      <c r="T9" s="28"/>
      <c r="U9" s="28"/>
    </row>
    <row r="10" spans="6:21" s="30" customFormat="1" ht="15" customHeight="1" x14ac:dyDescent="0.25">
      <c r="G10" s="28"/>
      <c r="H10" s="28"/>
      <c r="I10" s="28"/>
      <c r="J10" s="28"/>
      <c r="K10" s="82"/>
      <c r="L10" s="82"/>
      <c r="M10" s="82"/>
      <c r="N10" s="82"/>
      <c r="O10" s="82"/>
      <c r="P10" s="82"/>
      <c r="Q10" s="82"/>
      <c r="R10" s="82"/>
      <c r="S10" s="28"/>
      <c r="T10" s="28"/>
      <c r="U10" s="28"/>
    </row>
    <row r="11" spans="6:21" s="30" customFormat="1" ht="15" customHeight="1" x14ac:dyDescent="0.25">
      <c r="G11" s="28"/>
      <c r="H11" s="28"/>
      <c r="I11" s="28"/>
      <c r="J11" s="28"/>
      <c r="K11" s="82"/>
      <c r="L11" s="82"/>
      <c r="M11" s="82"/>
      <c r="N11" s="82"/>
      <c r="O11" s="82"/>
      <c r="P11" s="82"/>
      <c r="Q11" s="82"/>
      <c r="R11" s="82"/>
      <c r="S11" s="28"/>
      <c r="T11" s="28"/>
      <c r="U11" s="28"/>
    </row>
    <row r="12" spans="6:21" s="30" customFormat="1" ht="15" customHeight="1" x14ac:dyDescent="0.25">
      <c r="J12" s="28"/>
      <c r="K12" s="82"/>
      <c r="L12" s="82"/>
      <c r="M12" s="82"/>
      <c r="N12" s="82"/>
      <c r="O12" s="82"/>
      <c r="P12" s="82"/>
      <c r="Q12" s="82"/>
      <c r="R12" s="82"/>
      <c r="S12" s="28"/>
      <c r="T12" s="28"/>
      <c r="U12" s="28"/>
    </row>
    <row r="13" spans="6:21" ht="15" customHeight="1" x14ac:dyDescent="0.25"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</row>
    <row r="14" spans="6:21" ht="15" customHeight="1" x14ac:dyDescent="0.25"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</row>
    <row r="15" spans="6:21" ht="15" customHeight="1" x14ac:dyDescent="0.25"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</row>
    <row r="16" spans="6:21" ht="15" customHeight="1" x14ac:dyDescent="0.25"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</row>
    <row r="17" spans="10:21" ht="15" customHeight="1" x14ac:dyDescent="0.25"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</row>
    <row r="18" spans="10:21" ht="15" customHeight="1" x14ac:dyDescent="0.25"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</row>
    <row r="19" spans="10:21" ht="15" customHeight="1" x14ac:dyDescent="0.25"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</row>
    <row r="20" spans="10:21" ht="15" customHeight="1" x14ac:dyDescent="0.25">
      <c r="L20" s="27"/>
      <c r="M20" s="27"/>
      <c r="N20" s="27"/>
      <c r="O20" s="27"/>
      <c r="P20" s="27"/>
      <c r="Q20" s="27"/>
      <c r="R20" s="27"/>
      <c r="S20" s="27"/>
      <c r="T20" s="27"/>
      <c r="U20" s="27"/>
    </row>
  </sheetData>
  <mergeCells count="1">
    <mergeCell ref="K4:R12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  <drawing r:id="rId2"/>
  <picture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ilha2"/>
  <dimension ref="B2:I36"/>
  <sheetViews>
    <sheetView showGridLines="0" zoomScaleNormal="100" workbookViewId="0"/>
  </sheetViews>
  <sheetFormatPr defaultRowHeight="15" x14ac:dyDescent="0.25"/>
  <cols>
    <col min="2" max="3" width="34.5703125" bestFit="1" customWidth="1"/>
    <col min="4" max="4" width="12.42578125" customWidth="1"/>
    <col min="5" max="5" width="25" bestFit="1" customWidth="1"/>
    <col min="6" max="6" width="19.42578125" customWidth="1"/>
    <col min="7" max="7" width="18.28515625" bestFit="1" customWidth="1"/>
    <col min="9" max="9" width="13.28515625" bestFit="1" customWidth="1"/>
  </cols>
  <sheetData>
    <row r="2" spans="2:9" s="4" customFormat="1" ht="32.25" customHeight="1" x14ac:dyDescent="0.25">
      <c r="B2" s="7" t="s">
        <v>39</v>
      </c>
    </row>
    <row r="3" spans="2:9" ht="13.5" hidden="1" customHeight="1" x14ac:dyDescent="0.25"/>
    <row r="4" spans="2:9" x14ac:dyDescent="0.25">
      <c r="F4" s="83" t="s">
        <v>137</v>
      </c>
    </row>
    <row r="5" spans="2:9" x14ac:dyDescent="0.25">
      <c r="F5" s="83"/>
    </row>
    <row r="6" spans="2:9" x14ac:dyDescent="0.25">
      <c r="B6" t="s">
        <v>40</v>
      </c>
      <c r="C6" t="s">
        <v>41</v>
      </c>
      <c r="D6" t="s">
        <v>42</v>
      </c>
      <c r="E6" t="s">
        <v>43</v>
      </c>
      <c r="F6" t="s">
        <v>44</v>
      </c>
      <c r="G6" t="s">
        <v>45</v>
      </c>
      <c r="I6" s="25"/>
    </row>
    <row r="7" spans="2:9" x14ac:dyDescent="0.25">
      <c r="B7" t="s">
        <v>3</v>
      </c>
      <c r="F7" s="2"/>
      <c r="G7" s="2">
        <v>1000</v>
      </c>
    </row>
    <row r="8" spans="2:9" x14ac:dyDescent="0.25">
      <c r="B8" t="s">
        <v>46</v>
      </c>
      <c r="F8" s="2"/>
      <c r="G8" s="2">
        <f>SUM(F9:F13)</f>
        <v>17500</v>
      </c>
    </row>
    <row r="9" spans="2:9" x14ac:dyDescent="0.25">
      <c r="C9" t="s">
        <v>8</v>
      </c>
      <c r="F9" s="2">
        <v>10000</v>
      </c>
      <c r="G9" s="2"/>
    </row>
    <row r="10" spans="2:9" x14ac:dyDescent="0.25">
      <c r="C10" t="s">
        <v>9</v>
      </c>
      <c r="F10" s="2">
        <v>500</v>
      </c>
      <c r="G10" s="2"/>
    </row>
    <row r="11" spans="2:9" x14ac:dyDescent="0.25">
      <c r="C11" t="s">
        <v>1</v>
      </c>
      <c r="F11" s="2">
        <v>3000</v>
      </c>
      <c r="G11" s="2"/>
    </row>
    <row r="12" spans="2:9" x14ac:dyDescent="0.25">
      <c r="C12" t="s">
        <v>10</v>
      </c>
      <c r="F12" s="2">
        <v>2500</v>
      </c>
      <c r="G12" s="2"/>
    </row>
    <row r="13" spans="2:9" x14ac:dyDescent="0.25">
      <c r="C13" t="s">
        <v>5</v>
      </c>
      <c r="E13" t="s">
        <v>52</v>
      </c>
      <c r="F13" s="2">
        <v>1500</v>
      </c>
      <c r="G13" s="2"/>
    </row>
    <row r="14" spans="2:9" x14ac:dyDescent="0.25">
      <c r="B14" t="s">
        <v>0</v>
      </c>
      <c r="F14" s="2"/>
      <c r="G14" s="2">
        <v>900</v>
      </c>
    </row>
    <row r="15" spans="2:9" x14ac:dyDescent="0.25">
      <c r="B15" t="s">
        <v>1</v>
      </c>
      <c r="F15" s="2"/>
      <c r="G15" s="2">
        <v>6000</v>
      </c>
    </row>
    <row r="16" spans="2:9" x14ac:dyDescent="0.25">
      <c r="B16" t="s">
        <v>47</v>
      </c>
      <c r="F16" s="2"/>
      <c r="G16" s="2">
        <f>SUM(F17:F21)</f>
        <v>5300</v>
      </c>
    </row>
    <row r="17" spans="2:7" x14ac:dyDescent="0.25">
      <c r="C17" t="s">
        <v>48</v>
      </c>
      <c r="F17" s="2">
        <v>800</v>
      </c>
      <c r="G17" s="2"/>
    </row>
    <row r="18" spans="2:7" x14ac:dyDescent="0.25">
      <c r="C18" t="s">
        <v>50</v>
      </c>
      <c r="F18" s="2">
        <v>3200</v>
      </c>
      <c r="G18" s="2"/>
    </row>
    <row r="19" spans="2:7" x14ac:dyDescent="0.25">
      <c r="C19" t="s">
        <v>49</v>
      </c>
      <c r="F19" s="2">
        <v>500</v>
      </c>
      <c r="G19" s="2"/>
    </row>
    <row r="20" spans="2:7" x14ac:dyDescent="0.25">
      <c r="C20" t="s">
        <v>51</v>
      </c>
      <c r="F20" s="2">
        <v>800</v>
      </c>
      <c r="G20" s="2"/>
    </row>
    <row r="21" spans="2:7" x14ac:dyDescent="0.25">
      <c r="C21" t="s">
        <v>5</v>
      </c>
      <c r="F21" s="2">
        <v>0</v>
      </c>
      <c r="G21" s="2"/>
    </row>
    <row r="22" spans="2:7" x14ac:dyDescent="0.25">
      <c r="B22" t="s">
        <v>2</v>
      </c>
      <c r="F22" s="2"/>
      <c r="G22" s="2">
        <v>300</v>
      </c>
    </row>
    <row r="23" spans="2:7" x14ac:dyDescent="0.25">
      <c r="B23" t="s">
        <v>12</v>
      </c>
      <c r="F23" s="2"/>
      <c r="G23" s="2">
        <f>SUM(F24:F29)</f>
        <v>11950</v>
      </c>
    </row>
    <row r="24" spans="2:7" x14ac:dyDescent="0.25">
      <c r="C24" t="s">
        <v>13</v>
      </c>
      <c r="F24" s="2">
        <v>1650</v>
      </c>
      <c r="G24" s="2"/>
    </row>
    <row r="25" spans="2:7" x14ac:dyDescent="0.25">
      <c r="C25" t="s">
        <v>14</v>
      </c>
      <c r="F25" s="2">
        <v>3000</v>
      </c>
      <c r="G25" s="2"/>
    </row>
    <row r="26" spans="2:7" x14ac:dyDescent="0.25">
      <c r="C26" t="s">
        <v>15</v>
      </c>
      <c r="F26" s="2">
        <v>3000</v>
      </c>
      <c r="G26" s="2"/>
    </row>
    <row r="27" spans="2:7" x14ac:dyDescent="0.25">
      <c r="C27" t="s">
        <v>16</v>
      </c>
      <c r="F27" s="2">
        <v>2700</v>
      </c>
      <c r="G27" s="2"/>
    </row>
    <row r="28" spans="2:7" x14ac:dyDescent="0.25">
      <c r="C28" t="s">
        <v>11</v>
      </c>
      <c r="F28" s="2">
        <v>1500</v>
      </c>
      <c r="G28" s="2"/>
    </row>
    <row r="29" spans="2:7" x14ac:dyDescent="0.25">
      <c r="C29" t="s">
        <v>5</v>
      </c>
      <c r="F29" s="2">
        <v>100</v>
      </c>
      <c r="G29" s="2"/>
    </row>
    <row r="30" spans="2:7" x14ac:dyDescent="0.25">
      <c r="B30" t="s">
        <v>4</v>
      </c>
      <c r="F30" s="2"/>
      <c r="G30" s="2">
        <v>1500</v>
      </c>
    </row>
    <row r="31" spans="2:7" x14ac:dyDescent="0.25">
      <c r="B31" t="s">
        <v>5</v>
      </c>
      <c r="F31" s="2"/>
      <c r="G31" s="2">
        <v>957</v>
      </c>
    </row>
    <row r="34" spans="2:7" ht="37.5" customHeight="1" thickBot="1" x14ac:dyDescent="0.3">
      <c r="B34" s="9" t="s">
        <v>53</v>
      </c>
      <c r="C34" s="10"/>
      <c r="D34" s="10"/>
      <c r="E34" s="10"/>
      <c r="F34" s="10"/>
      <c r="G34" s="11">
        <f>SUM(G7:G31)</f>
        <v>45407</v>
      </c>
    </row>
    <row r="35" spans="2:7" ht="26.25" customHeight="1" thickBot="1" x14ac:dyDescent="0.3">
      <c r="B35" s="14" t="s">
        <v>86</v>
      </c>
      <c r="C35" s="13"/>
      <c r="D35" s="12"/>
      <c r="E35" s="12"/>
      <c r="F35" s="12"/>
      <c r="G35" s="15">
        <f>SUM(Tabela8[Valor Pago])</f>
        <v>20355.599999999999</v>
      </c>
    </row>
    <row r="36" spans="2:7" ht="20.25" customHeight="1" x14ac:dyDescent="0.25"/>
  </sheetData>
  <mergeCells count="1">
    <mergeCell ref="F4:F5"/>
  </mergeCells>
  <pageMargins left="0.511811024" right="0.511811024" top="0.78740157499999996" bottom="0.78740157499999996" header="0.31496062000000002" footer="0.31496062000000002"/>
  <pageSetup paperSize="9" orientation="portrait" horizontalDpi="360" verticalDpi="360" r:id="rId1"/>
  <drawing r:id="rId2"/>
  <legacyDrawing r:id="rId3"/>
  <picture r:id="rId4"/>
  <tableParts count="1">
    <tablePart r:id="rId5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ilha3"/>
  <dimension ref="B1:L32"/>
  <sheetViews>
    <sheetView showGridLines="0" topLeftCell="B1" workbookViewId="0">
      <selection activeCell="J28" sqref="J28"/>
    </sheetView>
  </sheetViews>
  <sheetFormatPr defaultRowHeight="15" x14ac:dyDescent="0.25"/>
  <cols>
    <col min="2" max="2" width="33.7109375" bestFit="1" customWidth="1"/>
    <col min="3" max="3" width="30.85546875" bestFit="1" customWidth="1"/>
    <col min="4" max="4" width="15.7109375" bestFit="1" customWidth="1"/>
    <col min="5" max="5" width="10.140625" bestFit="1" customWidth="1"/>
    <col min="6" max="6" width="13.7109375" bestFit="1" customWidth="1"/>
    <col min="7" max="7" width="16.140625" bestFit="1" customWidth="1"/>
    <col min="8" max="8" width="13.28515625" bestFit="1" customWidth="1"/>
    <col min="9" max="9" width="21.7109375" bestFit="1" customWidth="1"/>
  </cols>
  <sheetData>
    <row r="1" spans="2:9" ht="22.5" customHeight="1" x14ac:dyDescent="0.25"/>
    <row r="2" spans="2:9" s="4" customFormat="1" ht="33" customHeight="1" x14ac:dyDescent="0.25">
      <c r="B2" s="7" t="s">
        <v>6</v>
      </c>
    </row>
    <row r="6" spans="2:9" x14ac:dyDescent="0.25">
      <c r="B6" t="s">
        <v>42</v>
      </c>
      <c r="C6" t="s">
        <v>54</v>
      </c>
      <c r="D6" t="s">
        <v>55</v>
      </c>
      <c r="E6" t="s">
        <v>56</v>
      </c>
      <c r="F6" t="s">
        <v>57</v>
      </c>
      <c r="G6" t="s">
        <v>58</v>
      </c>
      <c r="H6" t="s">
        <v>59</v>
      </c>
      <c r="I6" t="s">
        <v>60</v>
      </c>
    </row>
    <row r="7" spans="2:9" x14ac:dyDescent="0.25">
      <c r="B7" s="6">
        <v>42187</v>
      </c>
      <c r="C7" t="s">
        <v>75</v>
      </c>
      <c r="D7" t="s">
        <v>20</v>
      </c>
      <c r="E7" t="str">
        <f>IFERROR(VLOOKUP('Compras mecadorias'!D7,cálculos!$K$4:$N$32,4,FALSE),"")</f>
        <v>Unidade</v>
      </c>
      <c r="F7">
        <v>80</v>
      </c>
      <c r="G7" s="2">
        <f>IFERROR(VLOOKUP(Tabela8[[#This Row],[Mercadoria]],cálculos!$K$4:$N$32,3,FALSE),0)</f>
        <v>2.99</v>
      </c>
      <c r="I7" s="2">
        <f>Tabela8[[#This Row],[Quantidade]]*Tabela8[[#This Row],[Preço Unitário]]*(1-Tabela8[[#This Row],[Desconto]])</f>
        <v>239.20000000000002</v>
      </c>
    </row>
    <row r="8" spans="2:9" x14ac:dyDescent="0.25">
      <c r="B8" s="6">
        <v>42188</v>
      </c>
      <c r="C8" t="s">
        <v>76</v>
      </c>
      <c r="D8" t="s">
        <v>29</v>
      </c>
      <c r="E8" t="str">
        <f>IFERROR(VLOOKUP('Compras mecadorias'!D8,cálculos!$K$4:$N$32,4,FALSE),"")</f>
        <v>Pacote</v>
      </c>
      <c r="F8">
        <v>50</v>
      </c>
      <c r="G8" s="2">
        <f>IFERROR(VLOOKUP(Tabela8[[#This Row],[Mercadoria]],cálculos!$K$4:$N$32,3,FALSE),0)</f>
        <v>1.1499999999999999</v>
      </c>
      <c r="I8" s="2">
        <f>Tabela8[[#This Row],[Quantidade]]*Tabela8[[#This Row],[Preço Unitário]]*(1-Tabela8[[#This Row],[Desconto]])</f>
        <v>57.499999999999993</v>
      </c>
    </row>
    <row r="9" spans="2:9" x14ac:dyDescent="0.25">
      <c r="B9" s="6">
        <v>42187</v>
      </c>
      <c r="C9" t="s">
        <v>76</v>
      </c>
      <c r="D9" t="s">
        <v>17</v>
      </c>
      <c r="E9" t="str">
        <f>IFERROR(VLOOKUP('Compras mecadorias'!D9,cálculos!$K$4:$N$32,4,FALSE),"")</f>
        <v>Kg</v>
      </c>
      <c r="F9">
        <v>150</v>
      </c>
      <c r="G9" s="2">
        <f>IFERROR(VLOOKUP(Tabela8[[#This Row],[Mercadoria]],cálculos!$K$4:$N$32,3,FALSE),0)</f>
        <v>2.4900000000000002</v>
      </c>
      <c r="I9" s="2">
        <f>Tabela8[[#This Row],[Quantidade]]*Tabela8[[#This Row],[Preço Unitário]]*(1-Tabela8[[#This Row],[Desconto]])</f>
        <v>373.50000000000006</v>
      </c>
    </row>
    <row r="10" spans="2:9" x14ac:dyDescent="0.25">
      <c r="B10" s="6">
        <v>42188</v>
      </c>
      <c r="C10" t="s">
        <v>76</v>
      </c>
      <c r="D10" t="s">
        <v>34</v>
      </c>
      <c r="E10" t="str">
        <f>IFERROR(VLOOKUP('Compras mecadorias'!D10,cálculos!$K$4:$N$32,4,FALSE),"")</f>
        <v>Pacote</v>
      </c>
      <c r="F10">
        <v>110</v>
      </c>
      <c r="G10" s="2">
        <f>IFERROR(VLOOKUP(Tabela8[[#This Row],[Mercadoria]],cálculos!$K$4:$N$32,3,FALSE),0)</f>
        <v>1.99</v>
      </c>
      <c r="I10" s="2">
        <f>Tabela8[[#This Row],[Quantidade]]*Tabela8[[#This Row],[Preço Unitário]]*(1-Tabela8[[#This Row],[Desconto]])</f>
        <v>218.9</v>
      </c>
    </row>
    <row r="11" spans="2:9" x14ac:dyDescent="0.25">
      <c r="B11" s="6">
        <v>42188</v>
      </c>
      <c r="C11" t="s">
        <v>77</v>
      </c>
      <c r="D11" t="s">
        <v>37</v>
      </c>
      <c r="E11" t="str">
        <f>IFERROR(VLOOKUP('Compras mecadorias'!D11,cálculos!$K$4:$N$32,4,FALSE),"")</f>
        <v>Pacote</v>
      </c>
      <c r="F11">
        <v>100</v>
      </c>
      <c r="G11" s="2">
        <f>IFERROR(VLOOKUP(Tabela8[[#This Row],[Mercadoria]],cálculos!$K$4:$N$32,3,FALSE),0)</f>
        <v>1.1499999999999999</v>
      </c>
      <c r="I11" s="2">
        <f>Tabela8[[#This Row],[Quantidade]]*Tabela8[[#This Row],[Preço Unitário]]*(1-Tabela8[[#This Row],[Desconto]])</f>
        <v>114.99999999999999</v>
      </c>
    </row>
    <row r="12" spans="2:9" x14ac:dyDescent="0.25">
      <c r="B12" s="6">
        <v>42188</v>
      </c>
      <c r="C12" t="s">
        <v>77</v>
      </c>
      <c r="D12" t="s">
        <v>33</v>
      </c>
      <c r="E12" t="str">
        <f>IFERROR(VLOOKUP('Compras mecadorias'!D12,cálculos!$K$4:$N$32,4,FALSE),"")</f>
        <v>Pacote</v>
      </c>
      <c r="F12">
        <v>100</v>
      </c>
      <c r="G12" s="2">
        <f>IFERROR(VLOOKUP(Tabela8[[#This Row],[Mercadoria]],cálculos!$K$4:$N$32,3,FALSE),0)</f>
        <v>0.79</v>
      </c>
      <c r="I12" s="2">
        <f>Tabela8[[#This Row],[Quantidade]]*Tabela8[[#This Row],[Preço Unitário]]*(1-Tabela8[[#This Row],[Desconto]])</f>
        <v>79</v>
      </c>
    </row>
    <row r="13" spans="2:9" x14ac:dyDescent="0.25">
      <c r="B13" s="6">
        <v>42190</v>
      </c>
      <c r="C13" t="s">
        <v>78</v>
      </c>
      <c r="D13" t="s">
        <v>21</v>
      </c>
      <c r="E13" t="str">
        <f>IFERROR(VLOOKUP('Compras mecadorias'!D13,cálculos!$K$4:$N$32,4,FALSE),"")</f>
        <v>Kg</v>
      </c>
      <c r="F13">
        <v>120</v>
      </c>
      <c r="G13" s="2">
        <f>IFERROR(VLOOKUP(Tabela8[[#This Row],[Mercadoria]],cálculos!$K$4:$N$32,3,FALSE),0)</f>
        <v>15.9</v>
      </c>
      <c r="I13" s="2">
        <f>Tabela8[[#This Row],[Quantidade]]*Tabela8[[#This Row],[Preço Unitário]]*(1-Tabela8[[#This Row],[Desconto]])</f>
        <v>1908</v>
      </c>
    </row>
    <row r="14" spans="2:9" x14ac:dyDescent="0.25">
      <c r="B14" s="6">
        <v>42189</v>
      </c>
      <c r="C14" t="s">
        <v>79</v>
      </c>
      <c r="D14" t="s">
        <v>27</v>
      </c>
      <c r="E14" t="str">
        <f>IFERROR(VLOOKUP('Compras mecadorias'!D14,cálculos!$K$4:$N$32,4,FALSE),"")</f>
        <v>Kg</v>
      </c>
      <c r="F14">
        <v>150</v>
      </c>
      <c r="G14" s="2">
        <f>IFERROR(VLOOKUP(Tabela8[[#This Row],[Mercadoria]],cálculos!$K$4:$N$32,3,FALSE),0)</f>
        <v>3.99</v>
      </c>
      <c r="I14" s="2">
        <f>Tabela8[[#This Row],[Quantidade]]*Tabela8[[#This Row],[Preço Unitário]]*(1-Tabela8[[#This Row],[Desconto]])</f>
        <v>598.5</v>
      </c>
    </row>
    <row r="15" spans="2:9" x14ac:dyDescent="0.25">
      <c r="B15" s="6">
        <v>42188</v>
      </c>
      <c r="C15" t="s">
        <v>76</v>
      </c>
      <c r="D15" t="s">
        <v>30</v>
      </c>
      <c r="E15" t="str">
        <f>IFERROR(VLOOKUP('Compras mecadorias'!D15,cálculos!$K$4:$N$32,4,FALSE),"")</f>
        <v>Lata</v>
      </c>
      <c r="F15">
        <v>300</v>
      </c>
      <c r="G15" s="2">
        <f>IFERROR(VLOOKUP(Tabela8[[#This Row],[Mercadoria]],cálculos!$K$4:$N$32,3,FALSE),0)</f>
        <v>2.19</v>
      </c>
      <c r="I15" s="2">
        <f>Tabela8[[#This Row],[Quantidade]]*Tabela8[[#This Row],[Preço Unitário]]*(1-Tabela8[[#This Row],[Desconto]])</f>
        <v>657</v>
      </c>
    </row>
    <row r="16" spans="2:9" x14ac:dyDescent="0.25">
      <c r="B16" s="6">
        <v>42187</v>
      </c>
      <c r="C16" t="s">
        <v>76</v>
      </c>
      <c r="D16" t="s">
        <v>35</v>
      </c>
      <c r="E16" t="str">
        <f>IFERROR(VLOOKUP('Compras mecadorias'!D16,cálculos!$K$4:$N$32,4,FALSE),"")</f>
        <v>Barra</v>
      </c>
      <c r="F16">
        <v>150</v>
      </c>
      <c r="G16" s="2">
        <f>IFERROR(VLOOKUP(Tabela8[[#This Row],[Mercadoria]],cálculos!$K$4:$N$32,3,FALSE),0)</f>
        <v>4.99</v>
      </c>
      <c r="I16" s="2">
        <f>Tabela8[[#This Row],[Quantidade]]*Tabela8[[#This Row],[Preço Unitário]]*(1-Tabela8[[#This Row],[Desconto]])</f>
        <v>748.5</v>
      </c>
    </row>
    <row r="17" spans="2:12" x14ac:dyDescent="0.25">
      <c r="B17" s="6">
        <v>42189</v>
      </c>
      <c r="C17" t="s">
        <v>80</v>
      </c>
      <c r="D17" t="s">
        <v>36</v>
      </c>
      <c r="E17" t="str">
        <f>IFERROR(VLOOKUP('Compras mecadorias'!D17,cálculos!$K$4:$N$32,4,FALSE),"")</f>
        <v>Maço</v>
      </c>
      <c r="F17">
        <v>200</v>
      </c>
      <c r="G17" s="2">
        <f>IFERROR(VLOOKUP(Tabela8[[#This Row],[Mercadoria]],cálculos!$K$4:$N$32,3,FALSE),0)</f>
        <v>6.75</v>
      </c>
      <c r="I17" s="2">
        <f>Tabela8[[#This Row],[Quantidade]]*Tabela8[[#This Row],[Preço Unitário]]*(1-Tabela8[[#This Row],[Desconto]])</f>
        <v>1350</v>
      </c>
    </row>
    <row r="18" spans="2:12" x14ac:dyDescent="0.25">
      <c r="B18" s="6">
        <v>42187</v>
      </c>
      <c r="C18" t="s">
        <v>79</v>
      </c>
      <c r="D18" t="s">
        <v>32</v>
      </c>
      <c r="E18" t="str">
        <f>IFERROR(VLOOKUP('Compras mecadorias'!D18,cálculos!$K$4:$N$32,4,FALSE),"")</f>
        <v>Unidade</v>
      </c>
      <c r="F18">
        <v>150</v>
      </c>
      <c r="G18" s="2">
        <f>IFERROR(VLOOKUP(Tabela8[[#This Row],[Mercadoria]],cálculos!$K$4:$N$32,3,FALSE),0)</f>
        <v>2.6</v>
      </c>
      <c r="I18" s="2">
        <f>Tabela8[[#This Row],[Quantidade]]*Tabela8[[#This Row],[Preço Unitário]]*(1-Tabela8[[#This Row],[Desconto]])</f>
        <v>390</v>
      </c>
      <c r="L18" s="25"/>
    </row>
    <row r="19" spans="2:12" x14ac:dyDescent="0.25">
      <c r="B19" s="6">
        <v>42188</v>
      </c>
      <c r="C19" t="s">
        <v>77</v>
      </c>
      <c r="D19" t="s">
        <v>18</v>
      </c>
      <c r="E19" t="str">
        <f>IFERROR(VLOOKUP('Compras mecadorias'!D19,cálculos!$K$4:$N$32,4,FALSE),"")</f>
        <v>Kg</v>
      </c>
      <c r="F19">
        <v>300</v>
      </c>
      <c r="G19" s="2">
        <f>IFERROR(VLOOKUP(Tabela8[[#This Row],[Mercadoria]],cálculos!$K$4:$N$32,3,FALSE),0)</f>
        <v>4.28</v>
      </c>
      <c r="I19" s="2">
        <f>Tabela8[[#This Row],[Quantidade]]*Tabela8[[#This Row],[Preço Unitário]]*(1-Tabela8[[#This Row],[Desconto]])</f>
        <v>1284</v>
      </c>
    </row>
    <row r="20" spans="2:12" x14ac:dyDescent="0.25">
      <c r="B20" s="6">
        <v>42190</v>
      </c>
      <c r="C20" t="s">
        <v>81</v>
      </c>
      <c r="D20" t="s">
        <v>22</v>
      </c>
      <c r="E20" t="str">
        <f>IFERROR(VLOOKUP('Compras mecadorias'!D20,cálculos!$K$4:$N$32,4,FALSE),"")</f>
        <v>Kg</v>
      </c>
      <c r="F20">
        <v>50</v>
      </c>
      <c r="G20" s="2">
        <f>IFERROR(VLOOKUP(Tabela8[[#This Row],[Mercadoria]],cálculos!$K$4:$N$32,3,FALSE),0)</f>
        <v>6.98</v>
      </c>
      <c r="H20" s="8"/>
      <c r="I20" s="2">
        <f>Tabela8[[#This Row],[Quantidade]]*Tabela8[[#This Row],[Preço Unitário]]*(1-Tabela8[[#This Row],[Desconto]])</f>
        <v>349</v>
      </c>
    </row>
    <row r="21" spans="2:12" x14ac:dyDescent="0.25">
      <c r="B21" s="6">
        <v>42187</v>
      </c>
      <c r="C21" t="s">
        <v>82</v>
      </c>
      <c r="D21" t="s">
        <v>67</v>
      </c>
      <c r="E21" t="str">
        <f>IFERROR(VLOOKUP('Compras mecadorias'!D21,cálculos!$K$4:$N$32,4,FALSE),"")</f>
        <v>Litro</v>
      </c>
      <c r="F21">
        <v>100</v>
      </c>
      <c r="G21" s="2">
        <f>IFERROR(VLOOKUP(Tabela8[[#This Row],[Mercadoria]],cálculos!$K$4:$N$32,3,FALSE),0)</f>
        <v>1.49</v>
      </c>
      <c r="I21" s="2">
        <f>Tabela8[[#This Row],[Quantidade]]*Tabela8[[#This Row],[Preço Unitário]]*(1-Tabela8[[#This Row],[Desconto]])</f>
        <v>149</v>
      </c>
    </row>
    <row r="22" spans="2:12" x14ac:dyDescent="0.25">
      <c r="B22" s="6">
        <v>42189</v>
      </c>
      <c r="C22" t="s">
        <v>76</v>
      </c>
      <c r="D22" t="s">
        <v>72</v>
      </c>
      <c r="E22" t="str">
        <f>IFERROR(VLOOKUP('Compras mecadorias'!D22,cálculos!$K$4:$N$32,4,FALSE),"")</f>
        <v>Unidade</v>
      </c>
      <c r="F22">
        <v>150</v>
      </c>
      <c r="G22" s="2">
        <f>IFERROR(VLOOKUP(Tabela8[[#This Row],[Mercadoria]],cálculos!$K$4:$N$32,3,FALSE),0)</f>
        <v>2.89</v>
      </c>
      <c r="I22" s="2">
        <f>Tabela8[[#This Row],[Quantidade]]*Tabela8[[#This Row],[Preço Unitário]]*(1-Tabela8[[#This Row],[Desconto]])</f>
        <v>433.5</v>
      </c>
    </row>
    <row r="23" spans="2:12" x14ac:dyDescent="0.25">
      <c r="B23" s="6">
        <v>42187</v>
      </c>
      <c r="C23" t="s">
        <v>75</v>
      </c>
      <c r="D23" t="s">
        <v>23</v>
      </c>
      <c r="E23" t="str">
        <f>IFERROR(VLOOKUP('Compras mecadorias'!D23,cálculos!$K$4:$N$32,4,FALSE),"")</f>
        <v>Kg</v>
      </c>
      <c r="F23">
        <v>300</v>
      </c>
      <c r="G23" s="2">
        <f>IFERROR(VLOOKUP(Tabela8[[#This Row],[Mercadoria]],cálculos!$K$4:$N$32,3,FALSE),0)</f>
        <v>23.9</v>
      </c>
      <c r="I23" s="2">
        <f>Tabela8[[#This Row],[Quantidade]]*Tabela8[[#This Row],[Preço Unitário]]*(1-Tabela8[[#This Row],[Desconto]])</f>
        <v>7170</v>
      </c>
    </row>
    <row r="24" spans="2:12" x14ac:dyDescent="0.25">
      <c r="B24" s="6">
        <v>42189</v>
      </c>
      <c r="C24" t="s">
        <v>83</v>
      </c>
      <c r="D24" t="s">
        <v>24</v>
      </c>
      <c r="E24" t="str">
        <f>IFERROR(VLOOKUP('Compras mecadorias'!D24,cálculos!$K$4:$N$32,4,FALSE),"")</f>
        <v>Kg</v>
      </c>
      <c r="F24">
        <v>100</v>
      </c>
      <c r="G24" s="2">
        <f>IFERROR(VLOOKUP(Tabela8[[#This Row],[Mercadoria]],cálculos!$K$4:$N$32,3,FALSE),0)</f>
        <v>25.9</v>
      </c>
      <c r="I24" s="2">
        <f>Tabela8[[#This Row],[Quantidade]]*Tabela8[[#This Row],[Preço Unitário]]*(1-Tabela8[[#This Row],[Desconto]])</f>
        <v>2590</v>
      </c>
    </row>
    <row r="25" spans="2:12" x14ac:dyDescent="0.25">
      <c r="B25" s="6">
        <v>42188</v>
      </c>
      <c r="C25" t="s">
        <v>84</v>
      </c>
      <c r="D25" t="s">
        <v>73</v>
      </c>
      <c r="E25" t="str">
        <f>IFERROR(VLOOKUP('Compras mecadorias'!D25,cálculos!$K$4:$N$32,4,FALSE),"")</f>
        <v>Litro</v>
      </c>
      <c r="F25">
        <v>100</v>
      </c>
      <c r="G25" s="2">
        <f>IFERROR(VLOOKUP(Tabela8[[#This Row],[Mercadoria]],cálculos!$K$4:$N$32,3,FALSE),0)</f>
        <v>2.39</v>
      </c>
      <c r="I25" s="2">
        <f>Tabela8[[#This Row],[Quantidade]]*Tabela8[[#This Row],[Preço Unitário]]*(1-Tabela8[[#This Row],[Desconto]])</f>
        <v>239</v>
      </c>
    </row>
    <row r="26" spans="2:12" x14ac:dyDescent="0.25">
      <c r="B26" s="6">
        <v>42187</v>
      </c>
      <c r="C26" t="s">
        <v>77</v>
      </c>
      <c r="D26" t="s">
        <v>26</v>
      </c>
      <c r="E26" t="str">
        <f>IFERROR(VLOOKUP('Compras mecadorias'!D26,cálculos!$K$4:$N$32,4,FALSE),"")</f>
        <v>Litro</v>
      </c>
      <c r="F26">
        <v>100</v>
      </c>
      <c r="G26" s="2">
        <f>IFERROR(VLOOKUP(Tabela8[[#This Row],[Mercadoria]],cálculos!$K$4:$N$32,3,FALSE),0)</f>
        <v>3.45</v>
      </c>
      <c r="I26" s="2">
        <f>Tabela8[[#This Row],[Quantidade]]*Tabela8[[#This Row],[Preço Unitário]]*(1-Tabela8[[#This Row],[Desconto]])</f>
        <v>345</v>
      </c>
    </row>
    <row r="27" spans="2:12" x14ac:dyDescent="0.25">
      <c r="B27" s="6">
        <v>42188</v>
      </c>
      <c r="C27" t="s">
        <v>77</v>
      </c>
      <c r="D27" t="s">
        <v>19</v>
      </c>
      <c r="E27" t="str">
        <f>IFERROR(VLOOKUP('Compras mecadorias'!D27,cálculos!$K$4:$N$32,4,FALSE),"")</f>
        <v>Kg</v>
      </c>
      <c r="F27">
        <v>100</v>
      </c>
      <c r="G27" s="2">
        <f>IFERROR(VLOOKUP(Tabela8[[#This Row],[Mercadoria]],cálculos!$K$4:$N$32,3,FALSE),0)</f>
        <v>5.82</v>
      </c>
      <c r="I27" s="2">
        <f>Tabela8[[#This Row],[Quantidade]]*Tabela8[[#This Row],[Preço Unitário]]*(1-Tabela8[[#This Row],[Desconto]])</f>
        <v>582</v>
      </c>
    </row>
    <row r="28" spans="2:12" x14ac:dyDescent="0.25">
      <c r="B28" s="6">
        <v>42188</v>
      </c>
      <c r="C28" t="s">
        <v>75</v>
      </c>
      <c r="D28" t="s">
        <v>28</v>
      </c>
      <c r="E28" t="str">
        <f>IFERROR(VLOOKUP('Compras mecadorias'!D28,cálculos!$K$4:$N$32,4,FALSE),"")</f>
        <v>Kg</v>
      </c>
      <c r="F28">
        <v>50</v>
      </c>
      <c r="G28" s="2">
        <f>IFERROR(VLOOKUP(Tabela8[[#This Row],[Mercadoria]],cálculos!$K$4:$N$32,3,FALSE),0)</f>
        <v>9.58</v>
      </c>
      <c r="I28" s="2">
        <f>Tabela8[[#This Row],[Quantidade]]*Tabela8[[#This Row],[Preço Unitário]]*(1-Tabela8[[#This Row],[Desconto]])</f>
        <v>479</v>
      </c>
    </row>
    <row r="29" spans="2:12" x14ac:dyDescent="0.25">
      <c r="B29" s="6"/>
      <c r="G29" s="2"/>
      <c r="I29" s="2"/>
    </row>
    <row r="30" spans="2:12" x14ac:dyDescent="0.25">
      <c r="B30" s="6"/>
      <c r="G30" s="2"/>
      <c r="I30" s="2"/>
    </row>
    <row r="32" spans="2:12" ht="30.75" customHeight="1" thickBot="1" x14ac:dyDescent="0.3">
      <c r="B32" s="14" t="s">
        <v>86</v>
      </c>
      <c r="C32" s="13"/>
      <c r="D32" s="12"/>
      <c r="E32" s="12"/>
      <c r="F32" s="12"/>
      <c r="G32" s="12"/>
      <c r="H32" s="12"/>
      <c r="I32" s="22">
        <f>SUM(Tabela8[Valor Pago])</f>
        <v>20355.599999999999</v>
      </c>
    </row>
  </sheetData>
  <pageMargins left="0.511811024" right="0.511811024" top="0.78740157499999996" bottom="0.78740157499999996" header="0.31496062000000002" footer="0.31496062000000002"/>
  <drawing r:id="rId1"/>
  <picture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ilha4"/>
  <dimension ref="B1:E12"/>
  <sheetViews>
    <sheetView showGridLines="0" workbookViewId="0">
      <selection activeCell="B7" sqref="B7"/>
    </sheetView>
  </sheetViews>
  <sheetFormatPr defaultRowHeight="15" x14ac:dyDescent="0.25"/>
  <cols>
    <col min="2" max="2" width="52.28515625" bestFit="1" customWidth="1"/>
    <col min="3" max="3" width="30.28515625" customWidth="1"/>
    <col min="4" max="4" width="37.28515625" customWidth="1"/>
    <col min="5" max="5" width="30.7109375" customWidth="1"/>
  </cols>
  <sheetData>
    <row r="1" spans="2:5" ht="22.5" customHeight="1" x14ac:dyDescent="0.25"/>
    <row r="2" spans="2:5" s="12" customFormat="1" ht="33" customHeight="1" x14ac:dyDescent="0.25">
      <c r="B2" s="19" t="s">
        <v>7</v>
      </c>
    </row>
    <row r="4" spans="2:5" ht="18" customHeight="1" x14ac:dyDescent="0.25">
      <c r="B4" t="s">
        <v>87</v>
      </c>
      <c r="C4" t="s">
        <v>42</v>
      </c>
      <c r="D4" t="s">
        <v>88</v>
      </c>
      <c r="E4" t="s">
        <v>89</v>
      </c>
    </row>
    <row r="5" spans="2:5" ht="46.5" customHeight="1" x14ac:dyDescent="0.25">
      <c r="B5" s="17" t="s">
        <v>90</v>
      </c>
      <c r="C5" s="6">
        <v>42129</v>
      </c>
      <c r="D5" s="16" t="s">
        <v>94</v>
      </c>
      <c r="E5" s="2">
        <v>400000</v>
      </c>
    </row>
    <row r="6" spans="2:5" ht="35.25" customHeight="1" x14ac:dyDescent="0.25">
      <c r="B6" s="17" t="s">
        <v>91</v>
      </c>
    </row>
    <row r="7" spans="2:5" ht="36.75" customHeight="1" x14ac:dyDescent="0.25">
      <c r="B7" s="18" t="s">
        <v>92</v>
      </c>
    </row>
    <row r="8" spans="2:5" ht="36" customHeight="1" x14ac:dyDescent="0.25">
      <c r="B8" s="5" t="s">
        <v>152</v>
      </c>
    </row>
    <row r="9" spans="2:5" ht="39.75" customHeight="1" x14ac:dyDescent="0.25">
      <c r="B9" s="5" t="s">
        <v>5</v>
      </c>
    </row>
    <row r="11" spans="2:5" ht="3.75" customHeight="1" x14ac:dyDescent="0.25"/>
    <row r="12" spans="2:5" s="5" customFormat="1" ht="33" customHeight="1" thickBot="1" x14ac:dyDescent="0.3">
      <c r="B12" s="20" t="s">
        <v>151</v>
      </c>
      <c r="C12" s="20"/>
      <c r="D12" s="20"/>
      <c r="E12" s="21">
        <f>SUM(Tabela11[Valor])</f>
        <v>400000</v>
      </c>
    </row>
  </sheetData>
  <pageMargins left="0.511811024" right="0.511811024" top="0.78740157499999996" bottom="0.78740157499999996" header="0.31496062000000002" footer="0.31496062000000002"/>
  <legacyDrawing r:id="rId1"/>
  <picture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ilha5"/>
  <dimension ref="B1:M26"/>
  <sheetViews>
    <sheetView showGridLines="0" zoomScaleNormal="100" workbookViewId="0">
      <selection activeCell="G9" sqref="G9"/>
    </sheetView>
  </sheetViews>
  <sheetFormatPr defaultRowHeight="15" x14ac:dyDescent="0.25"/>
  <cols>
    <col min="2" max="2" width="9" customWidth="1"/>
    <col min="3" max="3" width="15.7109375" bestFit="1" customWidth="1"/>
    <col min="4" max="4" width="20.7109375" bestFit="1" customWidth="1"/>
    <col min="5" max="5" width="18.42578125" bestFit="1" customWidth="1"/>
    <col min="6" max="6" width="23.140625" bestFit="1" customWidth="1"/>
    <col min="7" max="7" width="21.5703125" bestFit="1" customWidth="1"/>
    <col min="8" max="8" width="18.7109375" bestFit="1" customWidth="1"/>
    <col min="9" max="9" width="10.7109375" bestFit="1" customWidth="1"/>
    <col min="10" max="10" width="8.42578125" bestFit="1" customWidth="1"/>
  </cols>
  <sheetData>
    <row r="1" spans="2:13" ht="22.5" customHeight="1" x14ac:dyDescent="0.25">
      <c r="E1" s="25"/>
    </row>
    <row r="2" spans="2:13" s="24" customFormat="1" ht="33" customHeight="1" x14ac:dyDescent="0.25">
      <c r="B2" s="23" t="s">
        <v>95</v>
      </c>
    </row>
    <row r="4" spans="2:13" x14ac:dyDescent="0.25">
      <c r="C4" t="s">
        <v>98</v>
      </c>
      <c r="D4" t="s">
        <v>96</v>
      </c>
      <c r="E4" t="s">
        <v>97</v>
      </c>
      <c r="F4" t="s">
        <v>99</v>
      </c>
      <c r="G4" t="s">
        <v>100</v>
      </c>
      <c r="H4" t="s">
        <v>101</v>
      </c>
      <c r="I4" t="s">
        <v>102</v>
      </c>
    </row>
    <row r="5" spans="2:13" x14ac:dyDescent="0.25">
      <c r="C5" t="s">
        <v>37</v>
      </c>
      <c r="D5" s="6">
        <f>IFERROR(INDEX(Tabela8[],MATCH(Tabela12[[#This Row],[Produto]],Tabela8[Mercadoria],0),1),)</f>
        <v>42188</v>
      </c>
      <c r="E5">
        <v>150</v>
      </c>
      <c r="F5">
        <f>SUMIF(Tabela8[Mercadoria],Tabela12[[#This Row],[Produto]],Tabela8[Quantidade])</f>
        <v>100</v>
      </c>
      <c r="G5">
        <f>SUMIF(Tabela1619[Produto],Tabela12[[#This Row],[Produto]],Tabela1619[Quantidade])+SUMIF(Tabela161914[Produto],Tabela12[[#This Row],[Produto]],Tabela161914[Quantidade])+SUMIF(Tabela161916[Produto],Tabela12[[#This Row],[Produto]],Tabela161916[Quantidade])+SUMIF(Tabela161920[Produto],Tabela12[[#This Row],[Produto]],Tabela161920[Quantidade])+SUMIF(Tabela16192021[Produto],Tabela12[[#This Row],[Produto]],Tabela16192021[Quantidade])</f>
        <v>0</v>
      </c>
      <c r="H5">
        <f>Tabela12[[#This Row],[Quatidade inicial]]+Tabela12[[#This Row],[Quantidade comprada]]-Tabela12[[#This Row],[Quantidade vendida]]</f>
        <v>250</v>
      </c>
      <c r="I5" t="str">
        <f>IF(Tabela12[[#This Row],[Quantidade atual]]&lt;50,IF(Tabela12[[#This Row],[Quantidade atual]]&lt;21,"Comprar","Atenção"),"OK")</f>
        <v>OK</v>
      </c>
    </row>
    <row r="6" spans="2:13" x14ac:dyDescent="0.25">
      <c r="C6" t="s">
        <v>73</v>
      </c>
      <c r="D6" s="6">
        <f>IFERROR(INDEX(Tabela8[],MATCH(Tabela12[[#This Row],[Produto]],Tabela8[Mercadoria],0),1),)</f>
        <v>42188</v>
      </c>
      <c r="E6">
        <v>100</v>
      </c>
      <c r="F6">
        <f>SUMIF(Tabela8[Mercadoria],Tabela12[[#This Row],[Produto]],Tabela8[Quantidade])</f>
        <v>100</v>
      </c>
      <c r="G6">
        <f>SUMIF(Tabela1619[Produto],Tabela12[[#This Row],[Produto]],Tabela1619[Quantidade])+SUMIF(Tabela161914[Produto],Tabela12[[#This Row],[Produto]],Tabela161914[Quantidade])+SUMIF(Tabela161916[Produto],Tabela12[[#This Row],[Produto]],Tabela161916[Quantidade])+SUMIF(Tabela161920[Produto],Tabela12[[#This Row],[Produto]],Tabela161920[Quantidade])+SUMIF(Tabela16192021[Produto],Tabela12[[#This Row],[Produto]],Tabela16192021[Quantidade])</f>
        <v>4</v>
      </c>
      <c r="H6">
        <f>Tabela12[[#This Row],[Quatidade inicial]]+Tabela12[[#This Row],[Quantidade comprada]]-Tabela12[[#This Row],[Quantidade vendida]]</f>
        <v>196</v>
      </c>
      <c r="I6" t="str">
        <f>IF(Tabela12[[#This Row],[Quantidade atual]]&lt;50,IF(Tabela12[[#This Row],[Quantidade atual]]&lt;21,"Comprar","Atenção"),"OK")</f>
        <v>OK</v>
      </c>
    </row>
    <row r="7" spans="2:13" x14ac:dyDescent="0.25">
      <c r="C7" t="s">
        <v>28</v>
      </c>
      <c r="D7" s="6">
        <f>IFERROR(INDEX(Tabela8[],MATCH(Tabela12[[#This Row],[Produto]],Tabela8[Mercadoria],0),1),)</f>
        <v>42188</v>
      </c>
      <c r="E7">
        <v>50</v>
      </c>
      <c r="F7">
        <f>SUMIF(Tabela8[Mercadoria],Tabela12[[#This Row],[Produto]],Tabela8[Quantidade])</f>
        <v>50</v>
      </c>
      <c r="G7">
        <f>SUMIF(Tabela1619[Produto],Tabela12[[#This Row],[Produto]],Tabela1619[Quantidade])+SUMIF(Tabela161914[Produto],Tabela12[[#This Row],[Produto]],Tabela161914[Quantidade])+SUMIF(Tabela161916[Produto],Tabela12[[#This Row],[Produto]],Tabela161916[Quantidade])+SUMIF(Tabela161920[Produto],Tabela12[[#This Row],[Produto]],Tabela161920[Quantidade])+SUMIF(Tabela16192021[Produto],Tabela12[[#This Row],[Produto]],Tabela16192021[Quantidade])</f>
        <v>2</v>
      </c>
      <c r="H7">
        <f>Tabela12[[#This Row],[Quatidade inicial]]+Tabela12[[#This Row],[Quantidade comprada]]-Tabela12[[#This Row],[Quantidade vendida]]</f>
        <v>98</v>
      </c>
      <c r="I7" t="str">
        <f>IF(Tabela12[[#This Row],[Quantidade atual]]&lt;50,IF(Tabela12[[#This Row],[Quantidade atual]]&lt;21,"Comprar","Atenção"),"OK")</f>
        <v>OK</v>
      </c>
    </row>
    <row r="8" spans="2:13" x14ac:dyDescent="0.25">
      <c r="C8" t="s">
        <v>67</v>
      </c>
      <c r="D8" s="6">
        <f>IFERROR(INDEX(Tabela8[],MATCH(Tabela12[[#This Row],[Produto]],Tabela8[Mercadoria],0),1),)</f>
        <v>42187</v>
      </c>
      <c r="E8">
        <v>39</v>
      </c>
      <c r="F8">
        <f>SUMIF(Tabela8[Mercadoria],Tabela12[[#This Row],[Produto]],Tabela8[Quantidade])</f>
        <v>100</v>
      </c>
      <c r="G8">
        <f>SUMIF(Tabela1619[Produto],Tabela12[[#This Row],[Produto]],Tabela1619[Quantidade])+SUMIF(Tabela161914[Produto],Tabela12[[#This Row],[Produto]],Tabela161914[Quantidade])+SUMIF(Tabela161916[Produto],Tabela12[[#This Row],[Produto]],Tabela161916[Quantidade])+SUMIF(Tabela161920[Produto],Tabela12[[#This Row],[Produto]],Tabela161920[Quantidade])+SUMIF(Tabela16192021[Produto],Tabela12[[#This Row],[Produto]],Tabela16192021[Quantidade])</f>
        <v>6</v>
      </c>
      <c r="H8">
        <f>Tabela12[[#This Row],[Quatidade inicial]]+Tabela12[[#This Row],[Quantidade comprada]]-Tabela12[[#This Row],[Quantidade vendida]]</f>
        <v>133</v>
      </c>
      <c r="I8" t="str">
        <f>IF(Tabela12[[#This Row],[Quantidade atual]]&lt;50,IF(Tabela12[[#This Row],[Quantidade atual]]&lt;21,"Comprar","Atenção"),"OK")</f>
        <v>OK</v>
      </c>
    </row>
    <row r="9" spans="2:13" x14ac:dyDescent="0.25">
      <c r="C9" t="s">
        <v>19</v>
      </c>
      <c r="D9" s="6">
        <f>IFERROR(INDEX(Tabela8[],MATCH(Tabela12[[#This Row],[Produto]],Tabela8[Mercadoria],0),1),)</f>
        <v>42188</v>
      </c>
      <c r="E9">
        <v>30</v>
      </c>
      <c r="F9">
        <f>SUMIF(Tabela8[Mercadoria],Tabela12[[#This Row],[Produto]],Tabela8[Quantidade])</f>
        <v>100</v>
      </c>
      <c r="G9">
        <f>SUMIF(Tabela1619[Produto],Tabela12[[#This Row],[Produto]],Tabela1619[Quantidade])+SUMIF(Tabela161914[Produto],Tabela12[[#This Row],[Produto]],Tabela161914[Quantidade])+SUMIF(Tabela161916[Produto],Tabela12[[#This Row],[Produto]],Tabela161916[Quantidade])+SUMIF(Tabela161920[Produto],Tabela12[[#This Row],[Produto]],Tabela161920[Quantidade])+SUMIF(Tabela16192021[Produto],Tabela12[[#This Row],[Produto]],Tabela16192021[Quantidade])</f>
        <v>0</v>
      </c>
      <c r="H9">
        <f>Tabela12[[#This Row],[Quatidade inicial]]+Tabela12[[#This Row],[Quantidade comprada]]-Tabela12[[#This Row],[Quantidade vendida]]</f>
        <v>130</v>
      </c>
      <c r="I9" t="str">
        <f>IF(Tabela12[[#This Row],[Quantidade atual]]&lt;50,IF(Tabela12[[#This Row],[Quantidade atual]]&lt;21,"Comprar","Atenção"),"OK")</f>
        <v>OK</v>
      </c>
    </row>
    <row r="10" spans="2:13" x14ac:dyDescent="0.25">
      <c r="C10" t="s">
        <v>35</v>
      </c>
      <c r="D10" s="6">
        <f>IFERROR(INDEX(Tabela8[],MATCH(Tabela12[[#This Row],[Produto]],Tabela8[Mercadoria],0),1),)</f>
        <v>42187</v>
      </c>
      <c r="E10">
        <v>30</v>
      </c>
      <c r="F10">
        <f>SUMIF(Tabela8[Mercadoria],Tabela12[[#This Row],[Produto]],Tabela8[Quantidade])</f>
        <v>150</v>
      </c>
      <c r="G10">
        <f>SUMIF(Tabela1619[Produto],Tabela12[[#This Row],[Produto]],Tabela1619[Quantidade])+SUMIF(Tabela161914[Produto],Tabela12[[#This Row],[Produto]],Tabela161914[Quantidade])+SUMIF(Tabela161916[Produto],Tabela12[[#This Row],[Produto]],Tabela161916[Quantidade])+SUMIF(Tabela161920[Produto],Tabela12[[#This Row],[Produto]],Tabela161920[Quantidade])+SUMIF(Tabela16192021[Produto],Tabela12[[#This Row],[Produto]],Tabela16192021[Quantidade])</f>
        <v>0</v>
      </c>
      <c r="H10">
        <f>Tabela12[[#This Row],[Quatidade inicial]]+Tabela12[[#This Row],[Quantidade comprada]]-Tabela12[[#This Row],[Quantidade vendida]]</f>
        <v>180</v>
      </c>
      <c r="I10" t="str">
        <f>IF(Tabela12[[#This Row],[Quantidade atual]]&lt;50,IF(Tabela12[[#This Row],[Quantidade atual]]&lt;21,"Comprar","Atenção"),"OK")</f>
        <v>OK</v>
      </c>
    </row>
    <row r="11" spans="2:13" x14ac:dyDescent="0.25">
      <c r="C11" t="s">
        <v>21</v>
      </c>
      <c r="D11" s="6">
        <f>IFERROR(INDEX(Tabela8[],MATCH(Tabela12[[#This Row],[Produto]],Tabela8[Mercadoria],0),1),)</f>
        <v>42190</v>
      </c>
      <c r="E11">
        <v>25</v>
      </c>
      <c r="F11">
        <f>SUMIF(Tabela8[Mercadoria],Tabela12[[#This Row],[Produto]],Tabela8[Quantidade])</f>
        <v>120</v>
      </c>
      <c r="G11">
        <f>SUMIF(Tabela1619[Produto],Tabela12[[#This Row],[Produto]],Tabela1619[Quantidade])+SUMIF(Tabela161914[Produto],Tabela12[[#This Row],[Produto]],Tabela161914[Quantidade])+SUMIF(Tabela161916[Produto],Tabela12[[#This Row],[Produto]],Tabela161916[Quantidade])+SUMIF(Tabela161920[Produto],Tabela12[[#This Row],[Produto]],Tabela161920[Quantidade])+SUMIF(Tabela16192021[Produto],Tabela12[[#This Row],[Produto]],Tabela16192021[Quantidade])</f>
        <v>16</v>
      </c>
      <c r="H11">
        <f>Tabela12[[#This Row],[Quatidade inicial]]+Tabela12[[#This Row],[Quantidade comprada]]-Tabela12[[#This Row],[Quantidade vendida]]</f>
        <v>129</v>
      </c>
      <c r="I11" t="str">
        <f>IF(Tabela12[[#This Row],[Quantidade atual]]&lt;50,IF(Tabela12[[#This Row],[Quantidade atual]]&lt;21,"Comprar","Atenção"),"OK")</f>
        <v>OK</v>
      </c>
    </row>
    <row r="12" spans="2:13" x14ac:dyDescent="0.25">
      <c r="C12" t="s">
        <v>20</v>
      </c>
      <c r="D12" s="6">
        <f>IFERROR(INDEX(Tabela8[],MATCH(Tabela12[[#This Row],[Produto]],Tabela8[Mercadoria],0),1),)</f>
        <v>42187</v>
      </c>
      <c r="E12">
        <v>15</v>
      </c>
      <c r="F12">
        <f>SUMIF(Tabela8[Mercadoria],Tabela12[[#This Row],[Produto]],Tabela8[Quantidade])</f>
        <v>80</v>
      </c>
      <c r="G12">
        <f>SUMIF(Tabela1619[Produto],Tabela12[[#This Row],[Produto]],Tabela1619[Quantidade])+SUMIF(Tabela161914[Produto],Tabela12[[#This Row],[Produto]],Tabela161914[Quantidade])+SUMIF(Tabela161916[Produto],Tabela12[[#This Row],[Produto]],Tabela161916[Quantidade])+SUMIF(Tabela161920[Produto],Tabela12[[#This Row],[Produto]],Tabela161920[Quantidade])+SUMIF(Tabela16192021[Produto],Tabela12[[#This Row],[Produto]],Tabela16192021[Quantidade])</f>
        <v>3</v>
      </c>
      <c r="H12">
        <f>Tabela12[[#This Row],[Quatidade inicial]]+Tabela12[[#This Row],[Quantidade comprada]]-Tabela12[[#This Row],[Quantidade vendida]]</f>
        <v>92</v>
      </c>
      <c r="I12" t="str">
        <f>IF(Tabela12[[#This Row],[Quantidade atual]]&lt;50,IF(Tabela12[[#This Row],[Quantidade atual]]&lt;21,"Comprar","Atenção"),"OK")</f>
        <v>OK</v>
      </c>
    </row>
    <row r="13" spans="2:13" x14ac:dyDescent="0.25">
      <c r="C13" t="s">
        <v>33</v>
      </c>
      <c r="D13" s="6">
        <f>IFERROR(INDEX(Tabela8[],MATCH(Tabela12[[#This Row],[Produto]],Tabela8[Mercadoria],0),1),)</f>
        <v>42188</v>
      </c>
      <c r="E13">
        <v>15</v>
      </c>
      <c r="F13">
        <f>SUMIF(Tabela8[Mercadoria],Tabela12[[#This Row],[Produto]],Tabela8[Quantidade])</f>
        <v>100</v>
      </c>
      <c r="G13">
        <f>SUMIF(Tabela1619[Produto],Tabela12[[#This Row],[Produto]],Tabela1619[Quantidade])+SUMIF(Tabela161914[Produto],Tabela12[[#This Row],[Produto]],Tabela161914[Quantidade])+SUMIF(Tabela161916[Produto],Tabela12[[#This Row],[Produto]],Tabela161916[Quantidade])+SUMIF(Tabela161920[Produto],Tabela12[[#This Row],[Produto]],Tabela161920[Quantidade])+SUMIF(Tabela16192021[Produto],Tabela12[[#This Row],[Produto]],Tabela16192021[Quantidade])</f>
        <v>3</v>
      </c>
      <c r="H13">
        <f>Tabela12[[#This Row],[Quatidade inicial]]+Tabela12[[#This Row],[Quantidade comprada]]-Tabela12[[#This Row],[Quantidade vendida]]</f>
        <v>112</v>
      </c>
      <c r="I13" t="str">
        <f>IF(Tabela12[[#This Row],[Quantidade atual]]&lt;50,IF(Tabela12[[#This Row],[Quantidade atual]]&lt;21,"Comprar","Atenção"),"OK")</f>
        <v>OK</v>
      </c>
    </row>
    <row r="14" spans="2:13" x14ac:dyDescent="0.25">
      <c r="C14" t="s">
        <v>29</v>
      </c>
      <c r="D14" s="6">
        <f>IFERROR(INDEX(Tabela8[],MATCH(Tabela12[[#This Row],[Produto]],Tabela8[Mercadoria],0),1),)</f>
        <v>42188</v>
      </c>
      <c r="E14">
        <v>10</v>
      </c>
      <c r="F14">
        <f>SUMIF(Tabela8[Mercadoria],Tabela12[[#This Row],[Produto]],Tabela8[Quantidade])</f>
        <v>50</v>
      </c>
      <c r="G14">
        <f>SUMIF(Tabela1619[Produto],Tabela12[[#This Row],[Produto]],Tabela1619[Quantidade])+SUMIF(Tabela161914[Produto],Tabela12[[#This Row],[Produto]],Tabela161914[Quantidade])+SUMIF(Tabela161916[Produto],Tabela12[[#This Row],[Produto]],Tabela161916[Quantidade])+SUMIF(Tabela161920[Produto],Tabela12[[#This Row],[Produto]],Tabela161920[Quantidade])+SUMIF(Tabela16192021[Produto],Tabela12[[#This Row],[Produto]],Tabela16192021[Quantidade])</f>
        <v>13</v>
      </c>
      <c r="H14">
        <f>Tabela12[[#This Row],[Quatidade inicial]]+Tabela12[[#This Row],[Quantidade comprada]]-Tabela12[[#This Row],[Quantidade vendida]]</f>
        <v>47</v>
      </c>
      <c r="I14" t="str">
        <f>IF(Tabela12[[#This Row],[Quantidade atual]]&lt;50,IF(Tabela12[[#This Row],[Quantidade atual]]&lt;21,"Comprar","Atenção"),"OK")</f>
        <v>Atenção</v>
      </c>
      <c r="M14" s="25"/>
    </row>
    <row r="15" spans="2:13" x14ac:dyDescent="0.25">
      <c r="C15" t="s">
        <v>24</v>
      </c>
      <c r="D15" s="6">
        <f>IFERROR(INDEX(Tabela8[],MATCH(Tabela12[[#This Row],[Produto]],Tabela8[Mercadoria],0),1),)</f>
        <v>42189</v>
      </c>
      <c r="E15">
        <v>10</v>
      </c>
      <c r="F15">
        <f>SUMIF(Tabela8[Mercadoria],Tabela12[[#This Row],[Produto]],Tabela8[Quantidade])</f>
        <v>100</v>
      </c>
      <c r="G15">
        <f>SUMIF(Tabela1619[Produto],Tabela12[[#This Row],[Produto]],Tabela1619[Quantidade])+SUMIF(Tabela161914[Produto],Tabela12[[#This Row],[Produto]],Tabela161914[Quantidade])+SUMIF(Tabela161916[Produto],Tabela12[[#This Row],[Produto]],Tabela161916[Quantidade])+SUMIF(Tabela161920[Produto],Tabela12[[#This Row],[Produto]],Tabela161920[Quantidade])+SUMIF(Tabela16192021[Produto],Tabela12[[#This Row],[Produto]],Tabela16192021[Quantidade])</f>
        <v>1.5</v>
      </c>
      <c r="H15">
        <f>Tabela12[[#This Row],[Quatidade inicial]]+Tabela12[[#This Row],[Quantidade comprada]]-Tabela12[[#This Row],[Quantidade vendida]]</f>
        <v>108.5</v>
      </c>
      <c r="I15" t="str">
        <f>IF(Tabela12[[#This Row],[Quantidade atual]]&lt;50,IF(Tabela12[[#This Row],[Quantidade atual]]&lt;21,"Comprar","Atenção"),"OK")</f>
        <v>OK</v>
      </c>
    </row>
    <row r="16" spans="2:13" x14ac:dyDescent="0.25">
      <c r="C16" t="s">
        <v>22</v>
      </c>
      <c r="D16" s="6">
        <f>IFERROR(INDEX(Tabela8[],MATCH(Tabela12[[#This Row],[Produto]],Tabela8[Mercadoria],0),1),)</f>
        <v>42190</v>
      </c>
      <c r="E16">
        <v>0</v>
      </c>
      <c r="F16">
        <f>SUMIF(Tabela8[Mercadoria],Tabela12[[#This Row],[Produto]],Tabela8[Quantidade])</f>
        <v>50</v>
      </c>
      <c r="G16">
        <f>SUMIF(Tabela1619[Produto],Tabela12[[#This Row],[Produto]],Tabela1619[Quantidade])+SUMIF(Tabela161914[Produto],Tabela12[[#This Row],[Produto]],Tabela161914[Quantidade])+SUMIF(Tabela161916[Produto],Tabela12[[#This Row],[Produto]],Tabela161916[Quantidade])+SUMIF(Tabela161920[Produto],Tabela12[[#This Row],[Produto]],Tabela161920[Quantidade])+SUMIF(Tabela16192021[Produto],Tabela12[[#This Row],[Produto]],Tabela16192021[Quantidade])</f>
        <v>0</v>
      </c>
      <c r="H16">
        <f>Tabela12[[#This Row],[Quatidade inicial]]+Tabela12[[#This Row],[Quantidade comprada]]-Tabela12[[#This Row],[Quantidade vendida]]</f>
        <v>50</v>
      </c>
      <c r="I16" t="str">
        <f>IF(Tabela12[[#This Row],[Quantidade atual]]&lt;50,IF(Tabela12[[#This Row],[Quantidade atual]]&lt;21,"Comprar","Atenção"),"OK")</f>
        <v>OK</v>
      </c>
    </row>
    <row r="17" spans="3:9" x14ac:dyDescent="0.25">
      <c r="C17" t="s">
        <v>26</v>
      </c>
      <c r="D17" s="6">
        <f>IFERROR(INDEX(Tabela8[],MATCH(Tabela12[[#This Row],[Produto]],Tabela8[Mercadoria],0),1),)</f>
        <v>42187</v>
      </c>
      <c r="E17">
        <v>0</v>
      </c>
      <c r="F17">
        <f>SUMIF(Tabela8[Mercadoria],Tabela12[[#This Row],[Produto]],Tabela8[Quantidade])</f>
        <v>100</v>
      </c>
      <c r="G17">
        <f>SUMIF(Tabela1619[Produto],Tabela12[[#This Row],[Produto]],Tabela1619[Quantidade])+SUMIF(Tabela161914[Produto],Tabela12[[#This Row],[Produto]],Tabela161914[Quantidade])+SUMIF(Tabela161916[Produto],Tabela12[[#This Row],[Produto]],Tabela161916[Quantidade])+SUMIF(Tabela161920[Produto],Tabela12[[#This Row],[Produto]],Tabela161920[Quantidade])+SUMIF(Tabela16192021[Produto],Tabela12[[#This Row],[Produto]],Tabela16192021[Quantidade])</f>
        <v>0</v>
      </c>
      <c r="H17">
        <f>Tabela12[[#This Row],[Quatidade inicial]]+Tabela12[[#This Row],[Quantidade comprada]]-Tabela12[[#This Row],[Quantidade vendida]]</f>
        <v>100</v>
      </c>
      <c r="I17" t="str">
        <f>IF(Tabela12[[#This Row],[Quantidade atual]]&lt;50,IF(Tabela12[[#This Row],[Quantidade atual]]&lt;21,"Comprar","Atenção"),"OK")</f>
        <v>OK</v>
      </c>
    </row>
    <row r="18" spans="3:9" x14ac:dyDescent="0.25">
      <c r="C18" t="s">
        <v>34</v>
      </c>
      <c r="D18" s="6">
        <f>IFERROR(INDEX(Tabela8[],MATCH(Tabela12[[#This Row],[Produto]],Tabela8[Mercadoria],0),1),)</f>
        <v>42188</v>
      </c>
      <c r="E18">
        <v>0</v>
      </c>
      <c r="F18">
        <f>SUMIF(Tabela8[Mercadoria],Tabela12[[#This Row],[Produto]],Tabela8[Quantidade])</f>
        <v>110</v>
      </c>
      <c r="G18">
        <f>SUMIF(Tabela1619[Produto],Tabela12[[#This Row],[Produto]],Tabela1619[Quantidade])+SUMIF(Tabela161914[Produto],Tabela12[[#This Row],[Produto]],Tabela161914[Quantidade])+SUMIF(Tabela161916[Produto],Tabela12[[#This Row],[Produto]],Tabela161916[Quantidade])+SUMIF(Tabela161920[Produto],Tabela12[[#This Row],[Produto]],Tabela161920[Quantidade])+SUMIF(Tabela16192021[Produto],Tabela12[[#This Row],[Produto]],Tabela16192021[Quantidade])</f>
        <v>4</v>
      </c>
      <c r="H18">
        <f>Tabela12[[#This Row],[Quatidade inicial]]+Tabela12[[#This Row],[Quantidade comprada]]-Tabela12[[#This Row],[Quantidade vendida]]</f>
        <v>106</v>
      </c>
      <c r="I18" t="str">
        <f>IF(Tabela12[[#This Row],[Quantidade atual]]&lt;50,IF(Tabela12[[#This Row],[Quantidade atual]]&lt;21,"Comprar","Atenção"),"OK")</f>
        <v>OK</v>
      </c>
    </row>
    <row r="19" spans="3:9" x14ac:dyDescent="0.25">
      <c r="C19" t="s">
        <v>17</v>
      </c>
      <c r="D19" s="6">
        <f>IFERROR(INDEX(Tabela8[],MATCH(Tabela12[[#This Row],[Produto]],Tabela8[Mercadoria],0),1),)</f>
        <v>42187</v>
      </c>
      <c r="E19">
        <v>0</v>
      </c>
      <c r="F19">
        <f>SUMIF(Tabela8[Mercadoria],Tabela12[[#This Row],[Produto]],Tabela8[Quantidade])</f>
        <v>150</v>
      </c>
      <c r="G19">
        <f>SUMIF(Tabela1619[Produto],Tabela12[[#This Row],[Produto]],Tabela1619[Quantidade])+SUMIF(Tabela161914[Produto],Tabela12[[#This Row],[Produto]],Tabela161914[Quantidade])+SUMIF(Tabela161916[Produto],Tabela12[[#This Row],[Produto]],Tabela161916[Quantidade])+SUMIF(Tabela161920[Produto],Tabela12[[#This Row],[Produto]],Tabela161920[Quantidade])+SUMIF(Tabela16192021[Produto],Tabela12[[#This Row],[Produto]],Tabela16192021[Quantidade])</f>
        <v>7</v>
      </c>
      <c r="H19">
        <f>Tabela12[[#This Row],[Quatidade inicial]]+Tabela12[[#This Row],[Quantidade comprada]]-Tabela12[[#This Row],[Quantidade vendida]]</f>
        <v>143</v>
      </c>
      <c r="I19" t="str">
        <f>IF(Tabela12[[#This Row],[Quantidade atual]]&lt;50,IF(Tabela12[[#This Row],[Quantidade atual]]&lt;21,"Comprar","Atenção"),"OK")</f>
        <v>OK</v>
      </c>
    </row>
    <row r="20" spans="3:9" x14ac:dyDescent="0.25">
      <c r="C20" t="s">
        <v>27</v>
      </c>
      <c r="D20" s="6">
        <f>IFERROR(INDEX(Tabela8[],MATCH(Tabela12[[#This Row],[Produto]],Tabela8[Mercadoria],0),1),)</f>
        <v>42189</v>
      </c>
      <c r="E20">
        <v>0</v>
      </c>
      <c r="F20">
        <f>SUMIF(Tabela8[Mercadoria],Tabela12[[#This Row],[Produto]],Tabela8[Quantidade])</f>
        <v>150</v>
      </c>
      <c r="G20">
        <f>SUMIF(Tabela1619[Produto],Tabela12[[#This Row],[Produto]],Tabela1619[Quantidade])+SUMIF(Tabela161914[Produto],Tabela12[[#This Row],[Produto]],Tabela161914[Quantidade])+SUMIF(Tabela161916[Produto],Tabela12[[#This Row],[Produto]],Tabela161916[Quantidade])+SUMIF(Tabela161920[Produto],Tabela12[[#This Row],[Produto]],Tabela161920[Quantidade])+SUMIF(Tabela16192021[Produto],Tabela12[[#This Row],[Produto]],Tabela16192021[Quantidade])</f>
        <v>0</v>
      </c>
      <c r="H20">
        <f>Tabela12[[#This Row],[Quatidade inicial]]+Tabela12[[#This Row],[Quantidade comprada]]-Tabela12[[#This Row],[Quantidade vendida]]</f>
        <v>150</v>
      </c>
      <c r="I20" t="str">
        <f>IF(Tabela12[[#This Row],[Quantidade atual]]&lt;50,IF(Tabela12[[#This Row],[Quantidade atual]]&lt;21,"Comprar","Atenção"),"OK")</f>
        <v>OK</v>
      </c>
    </row>
    <row r="21" spans="3:9" x14ac:dyDescent="0.25">
      <c r="C21" t="s">
        <v>32</v>
      </c>
      <c r="D21" s="6">
        <f>IFERROR(INDEX(Tabela8[],MATCH(Tabela12[[#This Row],[Produto]],Tabela8[Mercadoria],0),1),)</f>
        <v>42187</v>
      </c>
      <c r="E21">
        <v>0</v>
      </c>
      <c r="F21">
        <f>SUMIF(Tabela8[Mercadoria],Tabela12[[#This Row],[Produto]],Tabela8[Quantidade])</f>
        <v>150</v>
      </c>
      <c r="G21">
        <f>SUMIF(Tabela1619[Produto],Tabela12[[#This Row],[Produto]],Tabela1619[Quantidade])+SUMIF(Tabela161914[Produto],Tabela12[[#This Row],[Produto]],Tabela161914[Quantidade])+SUMIF(Tabela161916[Produto],Tabela12[[#This Row],[Produto]],Tabela161916[Quantidade])+SUMIF(Tabela161920[Produto],Tabela12[[#This Row],[Produto]],Tabela161920[Quantidade])+SUMIF(Tabela16192021[Produto],Tabela12[[#This Row],[Produto]],Tabela16192021[Quantidade])</f>
        <v>0</v>
      </c>
      <c r="H21">
        <f>Tabela12[[#This Row],[Quatidade inicial]]+Tabela12[[#This Row],[Quantidade comprada]]-Tabela12[[#This Row],[Quantidade vendida]]</f>
        <v>150</v>
      </c>
      <c r="I21" t="str">
        <f>IF(Tabela12[[#This Row],[Quantidade atual]]&lt;50,IF(Tabela12[[#This Row],[Quantidade atual]]&lt;21,"Comprar","Atenção"),"OK")</f>
        <v>OK</v>
      </c>
    </row>
    <row r="22" spans="3:9" x14ac:dyDescent="0.25">
      <c r="C22" t="s">
        <v>72</v>
      </c>
      <c r="D22" s="6">
        <f>IFERROR(INDEX(Tabela8[],MATCH(Tabela12[[#This Row],[Produto]],Tabela8[Mercadoria],0),1),)</f>
        <v>42189</v>
      </c>
      <c r="E22">
        <v>0</v>
      </c>
      <c r="F22">
        <f>SUMIF(Tabela8[Mercadoria],Tabela12[[#This Row],[Produto]],Tabela8[Quantidade])</f>
        <v>150</v>
      </c>
      <c r="G22">
        <f>SUMIF(Tabela1619[Produto],Tabela12[[#This Row],[Produto]],Tabela1619[Quantidade])+SUMIF(Tabela161914[Produto],Tabela12[[#This Row],[Produto]],Tabela161914[Quantidade])+SUMIF(Tabela161916[Produto],Tabela12[[#This Row],[Produto]],Tabela161916[Quantidade])+SUMIF(Tabela161920[Produto],Tabela12[[#This Row],[Produto]],Tabela161920[Quantidade])+SUMIF(Tabela16192021[Produto],Tabela12[[#This Row],[Produto]],Tabela16192021[Quantidade])</f>
        <v>5</v>
      </c>
      <c r="H22">
        <f>Tabela12[[#This Row],[Quatidade inicial]]+Tabela12[[#This Row],[Quantidade comprada]]-Tabela12[[#This Row],[Quantidade vendida]]</f>
        <v>145</v>
      </c>
      <c r="I22" t="str">
        <f>IF(Tabela12[[#This Row],[Quantidade atual]]&lt;50,IF(Tabela12[[#This Row],[Quantidade atual]]&lt;21,"Comprar","Atenção"),"OK")</f>
        <v>OK</v>
      </c>
    </row>
    <row r="23" spans="3:9" x14ac:dyDescent="0.25">
      <c r="C23" t="s">
        <v>36</v>
      </c>
      <c r="D23" s="6">
        <f>IFERROR(INDEX(Tabela8[],MATCH(Tabela12[[#This Row],[Produto]],Tabela8[Mercadoria],0),1),)</f>
        <v>42189</v>
      </c>
      <c r="E23">
        <v>0</v>
      </c>
      <c r="F23">
        <f>SUMIF(Tabela8[Mercadoria],Tabela12[[#This Row],[Produto]],Tabela8[Quantidade])</f>
        <v>200</v>
      </c>
      <c r="G23">
        <f>SUMIF(Tabela1619[Produto],Tabela12[[#This Row],[Produto]],Tabela1619[Quantidade])+SUMIF(Tabela161914[Produto],Tabela12[[#This Row],[Produto]],Tabela161914[Quantidade])+SUMIF(Tabela161916[Produto],Tabela12[[#This Row],[Produto]],Tabela161916[Quantidade])+SUMIF(Tabela161920[Produto],Tabela12[[#This Row],[Produto]],Tabela161920[Quantidade])+SUMIF(Tabela16192021[Produto],Tabela12[[#This Row],[Produto]],Tabela16192021[Quantidade])</f>
        <v>0</v>
      </c>
      <c r="H23">
        <f>Tabela12[[#This Row],[Quatidade inicial]]+Tabela12[[#This Row],[Quantidade comprada]]-Tabela12[[#This Row],[Quantidade vendida]]</f>
        <v>200</v>
      </c>
      <c r="I23" t="str">
        <f>IF(Tabela12[[#This Row],[Quantidade atual]]&lt;50,IF(Tabela12[[#This Row],[Quantidade atual]]&lt;21,"Comprar","Atenção"),"OK")</f>
        <v>OK</v>
      </c>
    </row>
    <row r="24" spans="3:9" x14ac:dyDescent="0.25">
      <c r="C24" t="s">
        <v>30</v>
      </c>
      <c r="D24" s="6">
        <f>IFERROR(INDEX(Tabela8[],MATCH(Tabela12[[#This Row],[Produto]],Tabela8[Mercadoria],0),1),)</f>
        <v>42188</v>
      </c>
      <c r="E24">
        <v>0</v>
      </c>
      <c r="F24">
        <f>SUMIF(Tabela8[Mercadoria],Tabela12[[#This Row],[Produto]],Tabela8[Quantidade])</f>
        <v>300</v>
      </c>
      <c r="G24">
        <f>SUMIF(Tabela1619[Produto],Tabela12[[#This Row],[Produto]],Tabela1619[Quantidade])+SUMIF(Tabela161914[Produto],Tabela12[[#This Row],[Produto]],Tabela161914[Quantidade])+SUMIF(Tabela161916[Produto],Tabela12[[#This Row],[Produto]],Tabela161916[Quantidade])+SUMIF(Tabela161920[Produto],Tabela12[[#This Row],[Produto]],Tabela161920[Quantidade])+SUMIF(Tabela16192021[Produto],Tabela12[[#This Row],[Produto]],Tabela16192021[Quantidade])</f>
        <v>87</v>
      </c>
      <c r="H24">
        <f>Tabela12[[#This Row],[Quatidade inicial]]+Tabela12[[#This Row],[Quantidade comprada]]-Tabela12[[#This Row],[Quantidade vendida]]</f>
        <v>213</v>
      </c>
      <c r="I24" t="str">
        <f>IF(Tabela12[[#This Row],[Quantidade atual]]&lt;50,IF(Tabela12[[#This Row],[Quantidade atual]]&lt;21,"Comprar","Atenção"),"OK")</f>
        <v>OK</v>
      </c>
    </row>
    <row r="25" spans="3:9" x14ac:dyDescent="0.25">
      <c r="C25" t="s">
        <v>18</v>
      </c>
      <c r="D25" s="6">
        <f>IFERROR(INDEX(Tabela8[],MATCH(Tabela12[[#This Row],[Produto]],Tabela8[Mercadoria],0),1),)</f>
        <v>42188</v>
      </c>
      <c r="E25">
        <v>0</v>
      </c>
      <c r="F25">
        <f>SUMIF(Tabela8[Mercadoria],Tabela12[[#This Row],[Produto]],Tabela8[Quantidade])</f>
        <v>300</v>
      </c>
      <c r="G25">
        <f>SUMIF(Tabela1619[Produto],Tabela12[[#This Row],[Produto]],Tabela1619[Quantidade])+SUMIF(Tabela161914[Produto],Tabela12[[#This Row],[Produto]],Tabela161914[Quantidade])+SUMIF(Tabela161916[Produto],Tabela12[[#This Row],[Produto]],Tabela161916[Quantidade])+SUMIF(Tabela161920[Produto],Tabela12[[#This Row],[Produto]],Tabela161920[Quantidade])+SUMIF(Tabela16192021[Produto],Tabela12[[#This Row],[Produto]],Tabela16192021[Quantidade])</f>
        <v>10</v>
      </c>
      <c r="H25">
        <f>Tabela12[[#This Row],[Quatidade inicial]]+Tabela12[[#This Row],[Quantidade comprada]]-Tabela12[[#This Row],[Quantidade vendida]]</f>
        <v>290</v>
      </c>
      <c r="I25" t="str">
        <f>IF(Tabela12[[#This Row],[Quantidade atual]]&lt;50,IF(Tabela12[[#This Row],[Quantidade atual]]&lt;21,"Comprar","Atenção"),"OK")</f>
        <v>OK</v>
      </c>
    </row>
    <row r="26" spans="3:9" x14ac:dyDescent="0.25">
      <c r="C26" t="s">
        <v>23</v>
      </c>
      <c r="D26" s="6">
        <f>IFERROR(INDEX(Tabela8[],MATCH(Tabela12[[#This Row],[Produto]],Tabela8[Mercadoria],0),1),)</f>
        <v>42187</v>
      </c>
      <c r="E26">
        <v>0</v>
      </c>
      <c r="F26">
        <f>SUMIF(Tabela8[Mercadoria],Tabela12[[#This Row],[Produto]],Tabela8[Quantidade])</f>
        <v>300</v>
      </c>
      <c r="G26">
        <f>SUMIF(Tabela1619[Produto],Tabela12[[#This Row],[Produto]],Tabela1619[Quantidade])+SUMIF(Tabela161914[Produto],Tabela12[[#This Row],[Produto]],Tabela161914[Quantidade])+SUMIF(Tabela161916[Produto],Tabela12[[#This Row],[Produto]],Tabela161916[Quantidade])+SUMIF(Tabela161920[Produto],Tabela12[[#This Row],[Produto]],Tabela161920[Quantidade])+SUMIF(Tabela16192021[Produto],Tabela12[[#This Row],[Produto]],Tabela16192021[Quantidade])</f>
        <v>0</v>
      </c>
      <c r="H26">
        <f>Tabela12[[#This Row],[Quatidade inicial]]+Tabela12[[#This Row],[Quantidade comprada]]-Tabela12[[#This Row],[Quantidade vendida]]</f>
        <v>300</v>
      </c>
      <c r="I26" t="str">
        <f>IF(Tabela12[[#This Row],[Quantidade atual]]&lt;50,IF(Tabela12[[#This Row],[Quantidade atual]]&lt;21,"Comprar","Atenção"),"OK")</f>
        <v>OK</v>
      </c>
    </row>
  </sheetData>
  <conditionalFormatting sqref="I5:I26">
    <cfRule type="containsText" dxfId="4" priority="1" operator="containsText" text="Atenção">
      <formula>NOT(ISERROR(SEARCH("Atenção",I5)))</formula>
    </cfRule>
    <cfRule type="containsText" dxfId="3" priority="2" operator="containsText" text="OK">
      <formula>NOT(ISERROR(SEARCH("OK",I5)))</formula>
    </cfRule>
    <cfRule type="containsText" dxfId="2" priority="3" operator="containsText" text="Comprar">
      <formula>NOT(ISERROR(SEARCH("Comprar",I5)))</formula>
    </cfRule>
  </conditionalFormatting>
  <pageMargins left="0.511811024" right="0.511811024" top="0.78740157499999996" bottom="0.78740157499999996" header="0.31496062000000002" footer="0.31496062000000002"/>
  <drawing r:id="rId1"/>
  <picture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Planilha6"/>
  <dimension ref="A1:M55"/>
  <sheetViews>
    <sheetView showGridLines="0" topLeftCell="A36" zoomScaleNormal="100" workbookViewId="0"/>
  </sheetViews>
  <sheetFormatPr defaultRowHeight="15" x14ac:dyDescent="0.25"/>
  <cols>
    <col min="1" max="1" width="16.140625" customWidth="1"/>
    <col min="2" max="2" width="30.5703125" bestFit="1" customWidth="1"/>
    <col min="3" max="3" width="31.42578125" bestFit="1" customWidth="1"/>
    <col min="4" max="4" width="18.28515625" bestFit="1" customWidth="1"/>
    <col min="5" max="5" width="11" bestFit="1" customWidth="1"/>
    <col min="6" max="6" width="13.5703125" customWidth="1"/>
    <col min="7" max="7" width="15.5703125" customWidth="1"/>
    <col min="8" max="8" width="10.5703125" customWidth="1"/>
    <col min="9" max="9" width="11.42578125" customWidth="1"/>
    <col min="10" max="10" width="9.85546875" customWidth="1"/>
    <col min="11" max="11" width="17.85546875" customWidth="1"/>
    <col min="12" max="12" width="7.5703125" customWidth="1"/>
    <col min="13" max="13" width="20.28515625" customWidth="1"/>
  </cols>
  <sheetData>
    <row r="1" spans="1:13" ht="13.5" customHeight="1" x14ac:dyDescent="0.25">
      <c r="E1" s="25"/>
    </row>
    <row r="2" spans="1:13" s="3" customFormat="1" ht="41.25" customHeight="1" x14ac:dyDescent="0.25">
      <c r="B2" s="26" t="s">
        <v>117</v>
      </c>
    </row>
    <row r="4" spans="1:13" ht="21.75" thickBot="1" x14ac:dyDescent="0.3">
      <c r="M4" s="38" t="s">
        <v>132</v>
      </c>
    </row>
    <row r="5" spans="1:13" ht="15.75" thickTop="1" x14ac:dyDescent="0.25">
      <c r="C5" s="6"/>
    </row>
    <row r="6" spans="1:13" s="32" customFormat="1" ht="15.75" thickBot="1" x14ac:dyDescent="0.3">
      <c r="C6" s="43"/>
    </row>
    <row r="7" spans="1:13" s="32" customFormat="1" ht="15.75" thickTop="1" x14ac:dyDescent="0.25">
      <c r="A7" s="42"/>
      <c r="B7" s="39"/>
      <c r="C7" s="41"/>
      <c r="D7" s="40"/>
      <c r="E7" s="40"/>
      <c r="F7" s="40"/>
      <c r="G7" s="40"/>
      <c r="H7" s="40"/>
      <c r="I7" s="40"/>
      <c r="J7" s="40"/>
      <c r="K7" s="52"/>
    </row>
    <row r="8" spans="1:13" s="32" customFormat="1" x14ac:dyDescent="0.25">
      <c r="A8" s="42"/>
      <c r="B8" s="42"/>
      <c r="K8" s="53"/>
    </row>
    <row r="9" spans="1:13" s="32" customFormat="1" x14ac:dyDescent="0.25">
      <c r="A9" s="42"/>
      <c r="B9" s="42"/>
      <c r="K9" s="53"/>
    </row>
    <row r="10" spans="1:13" s="32" customFormat="1" x14ac:dyDescent="0.25">
      <c r="A10" s="42"/>
      <c r="B10" s="42"/>
      <c r="K10" s="53"/>
    </row>
    <row r="11" spans="1:13" s="32" customFormat="1" ht="15.75" thickBot="1" x14ac:dyDescent="0.3">
      <c r="A11" s="42"/>
      <c r="B11" s="42"/>
      <c r="C11" s="48" t="s">
        <v>127</v>
      </c>
      <c r="D11" s="49">
        <f>'Vendas semana 1'!M31</f>
        <v>655.91200000000026</v>
      </c>
      <c r="K11" s="53"/>
    </row>
    <row r="12" spans="1:13" s="32" customFormat="1" ht="16.5" thickTop="1" thickBot="1" x14ac:dyDescent="0.3">
      <c r="A12" s="42"/>
      <c r="B12" s="42"/>
      <c r="C12" s="50" t="s">
        <v>128</v>
      </c>
      <c r="D12" s="51">
        <f>'Vendas semana 2'!M31</f>
        <v>61.4</v>
      </c>
      <c r="K12" s="53"/>
    </row>
    <row r="13" spans="1:13" s="32" customFormat="1" ht="16.5" thickTop="1" thickBot="1" x14ac:dyDescent="0.3">
      <c r="A13" s="42"/>
      <c r="B13" s="42"/>
      <c r="C13" s="50" t="s">
        <v>129</v>
      </c>
      <c r="D13" s="51">
        <f>'Vendas semana 3'!M28</f>
        <v>0</v>
      </c>
      <c r="K13" s="53"/>
    </row>
    <row r="14" spans="1:13" s="32" customFormat="1" ht="16.5" thickTop="1" thickBot="1" x14ac:dyDescent="0.3">
      <c r="A14" s="42"/>
      <c r="B14" s="42"/>
      <c r="C14" s="50" t="s">
        <v>130</v>
      </c>
      <c r="D14" s="51">
        <f>'Vendas semana 4'!M28</f>
        <v>0</v>
      </c>
      <c r="K14" s="53"/>
    </row>
    <row r="15" spans="1:13" s="32" customFormat="1" ht="16.5" thickTop="1" thickBot="1" x14ac:dyDescent="0.3">
      <c r="A15" s="42"/>
      <c r="B15" s="42"/>
      <c r="C15" s="50" t="s">
        <v>131</v>
      </c>
      <c r="D15" s="51">
        <f>'Vendas semana 5'!M31</f>
        <v>0</v>
      </c>
      <c r="K15" s="53"/>
    </row>
    <row r="16" spans="1:13" s="32" customFormat="1" ht="15.75" thickTop="1" x14ac:dyDescent="0.25">
      <c r="A16" s="42"/>
      <c r="B16" s="42" t="str">
        <f>""</f>
        <v/>
      </c>
      <c r="K16" s="53"/>
    </row>
    <row r="17" spans="1:12" s="32" customFormat="1" x14ac:dyDescent="0.25">
      <c r="A17" s="42"/>
      <c r="B17" s="42"/>
      <c r="K17" s="53"/>
    </row>
    <row r="18" spans="1:12" s="32" customFormat="1" x14ac:dyDescent="0.25">
      <c r="A18" s="42"/>
      <c r="B18" s="42"/>
      <c r="K18" s="53"/>
    </row>
    <row r="19" spans="1:12" s="32" customFormat="1" x14ac:dyDescent="0.25">
      <c r="A19" s="42"/>
      <c r="B19" s="42"/>
      <c r="K19" s="53"/>
    </row>
    <row r="20" spans="1:12" s="32" customFormat="1" ht="15.75" thickBot="1" x14ac:dyDescent="0.3">
      <c r="A20" s="42"/>
      <c r="B20" s="42"/>
      <c r="C20" s="55" t="str">
        <f>"Total de Vendas de "&amp;M4</f>
        <v>Total de Vendas de julho</v>
      </c>
      <c r="D20" s="49">
        <f>SUM(D11:D15)</f>
        <v>717.31200000000024</v>
      </c>
      <c r="K20" s="53"/>
    </row>
    <row r="21" spans="1:12" s="32" customFormat="1" ht="15.75" thickTop="1" x14ac:dyDescent="0.25">
      <c r="A21" s="42"/>
      <c r="B21" s="42"/>
      <c r="K21" s="53"/>
    </row>
    <row r="22" spans="1:12" s="32" customFormat="1" x14ac:dyDescent="0.25">
      <c r="A22" s="42"/>
      <c r="B22" s="42"/>
      <c r="K22" s="53"/>
    </row>
    <row r="23" spans="1:12" s="32" customFormat="1" x14ac:dyDescent="0.25">
      <c r="B23" s="42"/>
      <c r="K23" s="53"/>
    </row>
    <row r="24" spans="1:12" ht="15.75" thickBot="1" x14ac:dyDescent="0.3">
      <c r="B24" s="44"/>
      <c r="C24" s="47"/>
      <c r="D24" s="45"/>
      <c r="E24" s="45"/>
      <c r="F24" s="45"/>
      <c r="G24" s="45"/>
      <c r="H24" s="45"/>
      <c r="I24" s="45"/>
      <c r="J24" s="45"/>
      <c r="K24" s="54"/>
    </row>
    <row r="25" spans="1:12" ht="16.5" thickTop="1" thickBot="1" x14ac:dyDescent="0.3"/>
    <row r="26" spans="1:12" ht="15.75" thickTop="1" x14ac:dyDescent="0.25">
      <c r="B26" s="39"/>
      <c r="C26" s="40"/>
      <c r="D26" s="40"/>
      <c r="E26" s="40"/>
      <c r="F26" s="40"/>
      <c r="G26" s="40"/>
      <c r="H26" s="40"/>
      <c r="I26" s="40"/>
      <c r="J26" s="40"/>
      <c r="K26" s="40"/>
      <c r="L26" s="52"/>
    </row>
    <row r="27" spans="1:12" x14ac:dyDescent="0.25">
      <c r="B27" s="42"/>
      <c r="C27" s="32"/>
      <c r="D27" s="32"/>
      <c r="E27" s="32"/>
      <c r="F27" s="32"/>
      <c r="G27" s="32"/>
      <c r="H27" s="32"/>
      <c r="I27" s="32"/>
      <c r="J27" s="32"/>
      <c r="K27" s="32"/>
      <c r="L27" s="53"/>
    </row>
    <row r="28" spans="1:12" ht="15.75" thickBot="1" x14ac:dyDescent="0.3">
      <c r="B28" s="42"/>
      <c r="C28" s="48" t="s">
        <v>134</v>
      </c>
      <c r="D28" s="56">
        <f>SUM(COUNTIF(Tabela1619[Valor De Entrega],"&gt;0"),COUNTIF(Tabela161914[Valor De Entrega],"&gt;0"),COUNTIF(Tabela161916[Valor De Entrega],"&gt;0"),COUNTIF(Tabela161920[Valor De Entrega],"&gt;0"),COUNTIF(Tabela16192021[Valor De Entrega],"&gt;0"))/SUM('Vendas semana 1'!M33,'Vendas semana 2'!M33,'Vendas semana 3'!M30,'Vendas semana 4'!M30,'Vendas semana 5'!M33,'Vendas semana 5'!M33)</f>
        <v>0.5</v>
      </c>
      <c r="E28" s="32"/>
      <c r="F28" s="32"/>
      <c r="G28" s="32"/>
      <c r="H28" s="32"/>
      <c r="I28" s="32"/>
      <c r="J28" s="32"/>
      <c r="K28" s="32"/>
      <c r="L28" s="53"/>
    </row>
    <row r="29" spans="1:12" ht="16.5" thickTop="1" thickBot="1" x14ac:dyDescent="0.3">
      <c r="B29" s="42"/>
      <c r="C29" s="50" t="s">
        <v>136</v>
      </c>
      <c r="D29" s="57">
        <f>SUMIF(Tabela1619[Valor De Entrega],"&gt;0",Tabela1619[Total Para o Cliente])+SUMIF(Tabela161914[Valor De Entrega],"&gt;0",Tabela161914[Total Para o Cliente])+SUMIF(Tabela161916[Valor De Entrega],"&gt;0",Tabela161916[Total Para o Cliente])+SUMIF(Tabela161920[Valor De Entrega],"&gt;0",Tabela161920[Total Para o Cliente])+SUMIF(Tabela16192021[Valor De Entrega],"&gt;0",Tabela16192021[Total Para o Cliente])</f>
        <v>393.11200000000002</v>
      </c>
      <c r="E29" s="32"/>
      <c r="F29" s="32"/>
      <c r="G29" s="32"/>
      <c r="H29" s="32"/>
      <c r="I29" s="32"/>
      <c r="J29" s="32"/>
      <c r="K29" s="32"/>
      <c r="L29" s="53"/>
    </row>
    <row r="30" spans="1:12" ht="16.5" thickTop="1" thickBot="1" x14ac:dyDescent="0.3">
      <c r="B30" s="42"/>
      <c r="C30" s="50" t="s">
        <v>135</v>
      </c>
      <c r="D30" s="58">
        <f>SUM('Vendas semana 1'!M32,'Vendas semana 2'!M32,'Vendas semana 3'!M29,'Vendas semana 4'!M29,'Vendas semana 5'!M32)</f>
        <v>47</v>
      </c>
      <c r="E30" s="32"/>
      <c r="F30" s="32"/>
      <c r="G30" s="32"/>
      <c r="H30" s="32"/>
      <c r="I30" s="32"/>
      <c r="J30" s="32"/>
      <c r="K30" s="32"/>
      <c r="L30" s="53"/>
    </row>
    <row r="31" spans="1:12" ht="15.75" thickTop="1" x14ac:dyDescent="0.25">
      <c r="B31" s="42"/>
      <c r="C31" s="32"/>
      <c r="D31" s="32"/>
      <c r="E31" s="32"/>
      <c r="F31" s="32"/>
      <c r="G31" s="32"/>
      <c r="H31" s="32"/>
      <c r="I31" s="32"/>
      <c r="J31" s="32"/>
      <c r="K31" s="32"/>
      <c r="L31" s="53"/>
    </row>
    <row r="32" spans="1:12" x14ac:dyDescent="0.25">
      <c r="B32" s="42"/>
      <c r="C32" s="32"/>
      <c r="D32" s="32"/>
      <c r="E32" s="32"/>
      <c r="F32" s="32"/>
      <c r="G32" s="32"/>
      <c r="H32" s="32"/>
      <c r="I32" s="32"/>
      <c r="J32" s="32"/>
      <c r="K32" s="32"/>
      <c r="L32" s="53"/>
    </row>
    <row r="33" spans="2:12" x14ac:dyDescent="0.25">
      <c r="B33" s="42"/>
      <c r="C33" s="32"/>
      <c r="D33" s="32"/>
      <c r="E33" s="32"/>
      <c r="F33" s="32"/>
      <c r="G33" s="32"/>
      <c r="H33" s="32"/>
      <c r="I33" s="32"/>
      <c r="J33" s="32"/>
      <c r="K33" s="32"/>
      <c r="L33" s="53"/>
    </row>
    <row r="34" spans="2:12" x14ac:dyDescent="0.25">
      <c r="B34" s="42"/>
      <c r="C34" s="32"/>
      <c r="D34" s="32"/>
      <c r="E34" s="32"/>
      <c r="F34" s="32"/>
      <c r="G34" s="32"/>
      <c r="H34" s="32"/>
      <c r="I34" s="32"/>
      <c r="J34" s="32"/>
      <c r="K34" s="32"/>
      <c r="L34" s="53"/>
    </row>
    <row r="35" spans="2:12" x14ac:dyDescent="0.25">
      <c r="B35" s="42"/>
      <c r="C35" s="32"/>
      <c r="D35" s="32"/>
      <c r="E35" s="32"/>
      <c r="F35" s="32"/>
      <c r="G35" s="32"/>
      <c r="H35" s="32"/>
      <c r="I35" s="32"/>
      <c r="J35" s="32"/>
      <c r="K35" s="32"/>
      <c r="L35" s="53"/>
    </row>
    <row r="36" spans="2:12" ht="15.75" thickBot="1" x14ac:dyDescent="0.3">
      <c r="B36" s="42"/>
      <c r="C36" s="55" t="s">
        <v>124</v>
      </c>
      <c r="D36" s="49">
        <f>SUM('Vendas semana 1'!M31,'Vendas semana 2'!M31,'Vendas semana 3'!M28,'Vendas semana 4'!M28,'Vendas semana 5'!M31,)/SUM('Vendas semana 1'!M33,'Vendas semana 2'!M33,'Vendas semana 3'!M30,'Vendas semana 4'!M30,'Vendas semana 5'!M33)</f>
        <v>51.236571428571445</v>
      </c>
      <c r="E36" s="32"/>
      <c r="F36" s="32"/>
      <c r="G36" s="32"/>
      <c r="H36" s="32"/>
      <c r="I36" s="32"/>
      <c r="J36" s="32"/>
      <c r="K36" s="32"/>
      <c r="L36" s="53"/>
    </row>
    <row r="37" spans="2:12" ht="15.75" thickTop="1" x14ac:dyDescent="0.25">
      <c r="B37" s="42"/>
      <c r="C37" s="32"/>
      <c r="D37" s="32"/>
      <c r="E37" s="32"/>
      <c r="F37" s="32"/>
      <c r="G37" s="32"/>
      <c r="H37" s="32"/>
      <c r="I37" s="32"/>
      <c r="J37" s="32"/>
      <c r="K37" s="32"/>
      <c r="L37" s="53"/>
    </row>
    <row r="38" spans="2:12" x14ac:dyDescent="0.25">
      <c r="B38" s="42"/>
      <c r="C38" s="32"/>
      <c r="D38" s="32"/>
      <c r="E38" s="32"/>
      <c r="F38" s="32"/>
      <c r="G38" s="32"/>
      <c r="H38" s="32"/>
      <c r="I38" s="32"/>
      <c r="J38" s="32"/>
      <c r="K38" s="32"/>
      <c r="L38" s="53"/>
    </row>
    <row r="39" spans="2:12" ht="15.75" thickBot="1" x14ac:dyDescent="0.3">
      <c r="B39" s="44"/>
      <c r="C39" s="45"/>
      <c r="D39" s="45"/>
      <c r="E39" s="45"/>
      <c r="F39" s="45"/>
      <c r="G39" s="45"/>
      <c r="H39" s="45"/>
      <c r="I39" s="45"/>
      <c r="J39" s="45"/>
      <c r="K39" s="45"/>
      <c r="L39" s="54"/>
    </row>
    <row r="40" spans="2:12" ht="16.5" thickTop="1" thickBot="1" x14ac:dyDescent="0.3"/>
    <row r="41" spans="2:12" ht="15.75" thickTop="1" x14ac:dyDescent="0.25">
      <c r="B41" s="39"/>
      <c r="C41" s="40"/>
      <c r="D41" s="40"/>
      <c r="E41" s="40"/>
      <c r="F41" s="40"/>
      <c r="G41" s="40"/>
      <c r="H41" s="40"/>
      <c r="I41" s="40"/>
      <c r="J41" s="40"/>
      <c r="K41" s="40"/>
      <c r="L41" s="52"/>
    </row>
    <row r="42" spans="2:12" x14ac:dyDescent="0.25">
      <c r="B42" s="42"/>
      <c r="C42" s="61" t="s">
        <v>126</v>
      </c>
      <c r="D42" s="32"/>
      <c r="E42" s="32"/>
      <c r="F42" s="32"/>
      <c r="G42" s="32"/>
      <c r="H42" s="32"/>
      <c r="I42" s="32"/>
      <c r="J42" s="32"/>
      <c r="K42" s="32"/>
      <c r="L42" s="53"/>
    </row>
    <row r="43" spans="2:12" x14ac:dyDescent="0.25">
      <c r="B43" s="42"/>
      <c r="C43" s="32"/>
      <c r="D43" s="32"/>
      <c r="E43" s="32"/>
      <c r="F43" s="32"/>
      <c r="G43" s="32"/>
      <c r="H43" s="32"/>
      <c r="I43" s="32"/>
      <c r="J43" s="32"/>
      <c r="K43" s="32"/>
      <c r="L43" s="53"/>
    </row>
    <row r="44" spans="2:12" ht="15.75" thickBot="1" x14ac:dyDescent="0.3">
      <c r="B44" s="42"/>
      <c r="C44" s="32"/>
      <c r="D44" s="61" t="s">
        <v>138</v>
      </c>
      <c r="E44" s="32"/>
      <c r="F44" s="32"/>
      <c r="G44" s="32"/>
      <c r="H44" s="32"/>
      <c r="I44" s="32"/>
      <c r="J44" s="32"/>
      <c r="K44" s="32"/>
      <c r="L44" s="53"/>
    </row>
    <row r="45" spans="2:12" ht="16.5" thickTop="1" thickBot="1" x14ac:dyDescent="0.3">
      <c r="B45" s="42"/>
      <c r="C45" s="48" t="s">
        <v>113</v>
      </c>
      <c r="D45" s="62">
        <f>COUNTIFS(Tabela1619[Entrega],Vendas!C45,Tabela1619[Total Para o Cliente],"&gt;0")+COUNTIFS(Tabela161914[Entrega],Vendas!C45,Tabela161914[Total Para o Cliente],"&gt;0")</f>
        <v>7</v>
      </c>
      <c r="E45" s="32"/>
      <c r="F45" s="32"/>
      <c r="G45" s="32"/>
      <c r="H45" s="32"/>
      <c r="I45" s="32"/>
      <c r="J45" s="32"/>
      <c r="K45" s="32"/>
      <c r="L45" s="53"/>
    </row>
    <row r="46" spans="2:12" ht="16.5" thickTop="1" thickBot="1" x14ac:dyDescent="0.3">
      <c r="B46" s="42"/>
      <c r="C46" s="48" t="s">
        <v>112</v>
      </c>
      <c r="D46" s="62">
        <f>COUNTIFS(Tabela1619[Entrega],Vendas!C46,Tabela1619[Total Para o Cliente],"&gt;0")+COUNTIFS(Tabela161914[Entrega],Vendas!C46,Tabela161914[Total Para o Cliente],"&gt;0")</f>
        <v>0</v>
      </c>
      <c r="E46" s="32"/>
      <c r="F46" s="32"/>
      <c r="G46" s="32"/>
      <c r="H46" s="32"/>
      <c r="I46" s="32"/>
      <c r="J46" s="32"/>
      <c r="K46" s="32"/>
      <c r="L46" s="53"/>
    </row>
    <row r="47" spans="2:12" ht="16.5" thickTop="1" thickBot="1" x14ac:dyDescent="0.3">
      <c r="B47" s="42"/>
      <c r="C47" s="50" t="s">
        <v>114</v>
      </c>
      <c r="D47" s="62">
        <f>COUNTIFS(Tabela1619[Entrega],Vendas!C47,Tabela1619[Total Para o Cliente],"&gt;0")+COUNTIFS(Tabela161914[Entrega],Vendas!C47,Tabela161914[Total Para o Cliente],"&gt;0")</f>
        <v>2</v>
      </c>
      <c r="E47" s="32"/>
      <c r="F47" s="32"/>
      <c r="G47" s="32"/>
      <c r="H47" s="32"/>
      <c r="I47" s="32"/>
      <c r="J47" s="32"/>
      <c r="K47" s="32"/>
      <c r="L47" s="53"/>
    </row>
    <row r="48" spans="2:12" ht="16.5" thickTop="1" thickBot="1" x14ac:dyDescent="0.3">
      <c r="B48" s="42"/>
      <c r="C48" s="48" t="s">
        <v>115</v>
      </c>
      <c r="D48" s="62">
        <f>COUNTIFS(Tabela1619[Entrega],Vendas!C48,Tabela1619[Total Para o Cliente],"&gt;0")+COUNTIFS(Tabela161914[Entrega],Vendas!C48,Tabela161914[Total Para o Cliente],"&gt;0")</f>
        <v>1</v>
      </c>
      <c r="E48" s="32"/>
      <c r="F48" s="32"/>
      <c r="G48" s="32"/>
      <c r="H48" s="32"/>
      <c r="I48" s="32"/>
      <c r="J48" s="32"/>
      <c r="K48" s="32"/>
      <c r="L48" s="53"/>
    </row>
    <row r="49" spans="2:12" ht="16.5" thickTop="1" thickBot="1" x14ac:dyDescent="0.3">
      <c r="B49" s="42"/>
      <c r="C49" s="50" t="s">
        <v>116</v>
      </c>
      <c r="D49" s="62">
        <f>COUNTIFS(Tabela1619[Entrega],Vendas!C49,Tabela1619[Total Para o Cliente],"&gt;0")+COUNTIFS(Tabela161914[Entrega],Vendas!C49,Tabela161914[Total Para o Cliente],"&gt;0")</f>
        <v>4</v>
      </c>
      <c r="E49" s="32"/>
      <c r="F49" s="32"/>
      <c r="G49" s="32"/>
      <c r="H49" s="32"/>
      <c r="I49" s="32"/>
      <c r="J49" s="32"/>
      <c r="K49" s="32"/>
      <c r="L49" s="53"/>
    </row>
    <row r="50" spans="2:12" ht="15.75" thickTop="1" x14ac:dyDescent="0.25">
      <c r="B50" s="42"/>
      <c r="C50" s="32"/>
      <c r="D50" s="32"/>
      <c r="E50" s="32"/>
      <c r="F50" s="32"/>
      <c r="G50" s="32"/>
      <c r="H50" s="32"/>
      <c r="I50" s="32"/>
      <c r="J50" s="32"/>
      <c r="K50" s="32"/>
      <c r="L50" s="53"/>
    </row>
    <row r="51" spans="2:12" x14ac:dyDescent="0.25">
      <c r="B51" s="42"/>
      <c r="C51" s="32"/>
      <c r="D51" s="32"/>
      <c r="E51" s="32"/>
      <c r="F51" s="32"/>
      <c r="G51" s="32"/>
      <c r="H51" s="32"/>
      <c r="I51" s="32"/>
      <c r="J51" s="32"/>
      <c r="K51" s="32"/>
      <c r="L51" s="53"/>
    </row>
    <row r="52" spans="2:12" x14ac:dyDescent="0.25">
      <c r="B52" s="42"/>
      <c r="C52" s="32"/>
      <c r="D52" s="32"/>
      <c r="E52" s="32"/>
      <c r="F52" s="32"/>
      <c r="G52" s="32"/>
      <c r="H52" s="32"/>
      <c r="I52" s="32"/>
      <c r="J52" s="32"/>
      <c r="K52" s="32"/>
      <c r="L52" s="53"/>
    </row>
    <row r="53" spans="2:12" x14ac:dyDescent="0.25">
      <c r="B53" s="42"/>
      <c r="C53" s="32"/>
      <c r="D53" s="32"/>
      <c r="E53" s="32"/>
      <c r="F53" s="32"/>
      <c r="G53" s="32"/>
      <c r="H53" s="32"/>
      <c r="I53" s="32"/>
      <c r="J53" s="32"/>
      <c r="K53" s="32"/>
      <c r="L53" s="53"/>
    </row>
    <row r="54" spans="2:12" ht="15.75" thickBot="1" x14ac:dyDescent="0.3">
      <c r="B54" s="44"/>
      <c r="C54" s="45"/>
      <c r="D54" s="45"/>
      <c r="E54" s="45"/>
      <c r="F54" s="45"/>
      <c r="G54" s="45"/>
      <c r="H54" s="45"/>
      <c r="I54" s="45"/>
      <c r="J54" s="45"/>
      <c r="K54" s="45"/>
      <c r="L54" s="54"/>
    </row>
    <row r="55" spans="2:12" ht="15.75" thickTop="1" x14ac:dyDescent="0.25"/>
  </sheetData>
  <phoneticPr fontId="9" type="noConversion"/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C3338E8-0CB2-4EF3-A8A2-E836BC90E416}">
          <x14:formula1>
            <xm:f>cálculos!$K$4:$K$25</xm:f>
          </x14:formula1>
          <xm:sqref>D5 D24:D27 C28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40E5E-C3EC-44F2-BFB3-F78E95EB2798}">
  <sheetPr codeName="Planilha7"/>
  <dimension ref="B1:M33"/>
  <sheetViews>
    <sheetView showGridLines="0" workbookViewId="0">
      <selection activeCell="L13" sqref="L13"/>
    </sheetView>
  </sheetViews>
  <sheetFormatPr defaultRowHeight="15" x14ac:dyDescent="0.25"/>
  <cols>
    <col min="1" max="1" width="20.5703125" customWidth="1"/>
    <col min="2" max="2" width="17.7109375" customWidth="1"/>
    <col min="3" max="3" width="10.7109375" bestFit="1" customWidth="1"/>
    <col min="4" max="4" width="15.7109375" bestFit="1" customWidth="1"/>
    <col min="5" max="5" width="10.140625" bestFit="1" customWidth="1"/>
    <col min="6" max="6" width="13.7109375" bestFit="1" customWidth="1"/>
    <col min="7" max="7" width="15.85546875" bestFit="1" customWidth="1"/>
    <col min="8" max="8" width="10.7109375" bestFit="1" customWidth="1"/>
    <col min="9" max="9" width="11.5703125" bestFit="1" customWidth="1"/>
    <col min="10" max="10" width="10" bestFit="1" customWidth="1"/>
    <col min="11" max="11" width="18.140625" bestFit="1" customWidth="1"/>
    <col min="12" max="12" width="10.5703125" bestFit="1" customWidth="1"/>
    <col min="13" max="13" width="20.7109375" bestFit="1" customWidth="1"/>
  </cols>
  <sheetData>
    <row r="1" spans="2:13" ht="16.5" customHeight="1" x14ac:dyDescent="0.25">
      <c r="E1" s="25"/>
    </row>
    <row r="2" spans="2:13" s="3" customFormat="1" ht="23.25" x14ac:dyDescent="0.25">
      <c r="B2" s="26" t="s">
        <v>109</v>
      </c>
    </row>
    <row r="4" spans="2:13" x14ac:dyDescent="0.25">
      <c r="B4" t="s">
        <v>103</v>
      </c>
      <c r="C4" t="s">
        <v>42</v>
      </c>
      <c r="D4" t="s">
        <v>98</v>
      </c>
      <c r="E4" t="s">
        <v>56</v>
      </c>
      <c r="F4" t="s">
        <v>57</v>
      </c>
      <c r="G4" t="s">
        <v>104</v>
      </c>
      <c r="H4" t="s">
        <v>105</v>
      </c>
      <c r="I4" t="s">
        <v>59</v>
      </c>
      <c r="J4" t="s">
        <v>106</v>
      </c>
      <c r="K4" t="s">
        <v>107</v>
      </c>
      <c r="L4" t="s">
        <v>85</v>
      </c>
      <c r="M4" t="s">
        <v>108</v>
      </c>
    </row>
    <row r="5" spans="2:13" x14ac:dyDescent="0.25">
      <c r="B5">
        <v>13</v>
      </c>
      <c r="C5" s="34">
        <v>42190</v>
      </c>
      <c r="D5" t="s">
        <v>29</v>
      </c>
      <c r="E5" s="35" t="str">
        <f>IFERROR(VLOOKUP(Tabela1619[[#This Row],[Produto]],cálculos!$K$4:$N$32,4,FALSE),"")</f>
        <v>Pacote</v>
      </c>
      <c r="F5">
        <v>10</v>
      </c>
      <c r="G5" s="36">
        <f>IFERROR(VLOOKUP(Tabela1619[[#This Row],[Produto]],cálculos!$K$4:$N$32,3,FALSE),0)</f>
        <v>1.1499999999999999</v>
      </c>
      <c r="H5" s="36">
        <f>Tabela1619[[#This Row],[Quantidade]]*Tabela1619[[#This Row],[Preço unitario]]</f>
        <v>11.5</v>
      </c>
      <c r="I5" s="8"/>
      <c r="J5" t="s">
        <v>116</v>
      </c>
      <c r="K5" s="36">
        <f>IFERROR(IF(Tabela1619[[#This Row],[ID da venda]]=B6,0,VLOOKUP(Tabela1619[[#This Row],[Entrega]],cálculos!$A$4:$B$9,2,FALSE)),0)</f>
        <v>0</v>
      </c>
      <c r="L5" s="36">
        <f>Tabela1619[[#This Row],[Subtotal]]*(1-Tabela1619[[#This Row],[Desconto]])+Tabela1619[[#This Row],[Valor De Entrega]]</f>
        <v>11.5</v>
      </c>
      <c r="M5" s="36" t="str">
        <f>IF(Tabela1619[[#This Row],[ID da venda]]=B6,"",SUMIF(Tabela1619[ID da venda],Tabela1619[[#This Row],[ID da venda]],Tabela1619[Total] ))</f>
        <v/>
      </c>
    </row>
    <row r="6" spans="2:13" x14ac:dyDescent="0.25">
      <c r="B6">
        <v>13</v>
      </c>
      <c r="C6" s="34">
        <v>42190</v>
      </c>
      <c r="D6" t="s">
        <v>33</v>
      </c>
      <c r="E6" t="str">
        <f>IFERROR(VLOOKUP(Tabela1619[[#This Row],[Produto]],cálculos!$K$4:$N$32,4,FALSE),"")</f>
        <v>Pacote</v>
      </c>
      <c r="F6">
        <v>1</v>
      </c>
      <c r="G6" s="2">
        <f>IFERROR(VLOOKUP(Tabela1619[[#This Row],[Produto]],cálculos!$K$4:$N$32,3,FALSE),0)</f>
        <v>0.79</v>
      </c>
      <c r="H6" s="2">
        <f>Tabela1619[[#This Row],[Quantidade]]*Tabela1619[[#This Row],[Preço unitario]]</f>
        <v>0.79</v>
      </c>
      <c r="I6" s="8"/>
      <c r="J6" t="s">
        <v>116</v>
      </c>
      <c r="K6" s="2">
        <f>IFERROR(IF(Tabela1619[[#This Row],[ID da venda]]=B7,0,VLOOKUP(Tabela1619[[#This Row],[Entrega]],cálculos!$A$4:$B$9,2,FALSE)),0)</f>
        <v>0</v>
      </c>
      <c r="L6" s="2">
        <f>Tabela1619[[#This Row],[Subtotal]]*(1-Tabela1619[[#This Row],[Desconto]])+Tabela1619[[#This Row],[Valor De Entrega]]</f>
        <v>0.79</v>
      </c>
      <c r="M6" s="2" t="str">
        <f>IF(Tabela1619[[#This Row],[ID da venda]]=B7,"",SUMIF(Tabela1619[ID da venda],Tabela1619[[#This Row],[ID da venda]],Tabela1619[Total] ))</f>
        <v/>
      </c>
    </row>
    <row r="7" spans="2:13" x14ac:dyDescent="0.25">
      <c r="B7">
        <v>13</v>
      </c>
      <c r="C7" s="34">
        <v>42190</v>
      </c>
      <c r="D7" t="s">
        <v>21</v>
      </c>
      <c r="E7" t="str">
        <f>IFERROR(VLOOKUP(Tabela1619[[#This Row],[Produto]],cálculos!$K$4:$N$32,4,FALSE),"")</f>
        <v>Kg</v>
      </c>
      <c r="F7">
        <v>10</v>
      </c>
      <c r="G7" s="2">
        <f>IFERROR(VLOOKUP(Tabela1619[[#This Row],[Produto]],cálculos!$K$4:$N$32,3,FALSE),0)</f>
        <v>15.9</v>
      </c>
      <c r="H7" s="2">
        <f>Tabela1619[[#This Row],[Quantidade]]*Tabela1619[[#This Row],[Preço unitario]]</f>
        <v>159</v>
      </c>
      <c r="I7" s="8">
        <v>0.05</v>
      </c>
      <c r="J7" t="s">
        <v>116</v>
      </c>
      <c r="K7" s="2">
        <f>IFERROR(IF(Tabela1619[[#This Row],[ID da venda]]=B8,0,VLOOKUP(Tabela1619[[#This Row],[Entrega]],cálculos!$A$4:$B$9,2,FALSE)),0)</f>
        <v>0</v>
      </c>
      <c r="L7" s="2">
        <f>Tabela1619[[#This Row],[Subtotal]]*(1-Tabela1619[[#This Row],[Desconto]])+Tabela1619[[#This Row],[Valor De Entrega]]</f>
        <v>151.04999999999998</v>
      </c>
      <c r="M7" s="2" t="str">
        <f>IF(Tabela1619[[#This Row],[ID da venda]]=B8,"",SUMIF(Tabela1619[ID da venda],Tabela1619[[#This Row],[ID da venda]],Tabela1619[Total] ))</f>
        <v/>
      </c>
    </row>
    <row r="8" spans="2:13" x14ac:dyDescent="0.25">
      <c r="B8">
        <v>13</v>
      </c>
      <c r="C8" s="34">
        <v>42190</v>
      </c>
      <c r="D8" t="s">
        <v>30</v>
      </c>
      <c r="E8" t="str">
        <f>IFERROR(VLOOKUP(Tabela1619[[#This Row],[Produto]],cálculos!$K$4:$N$32,4,FALSE),"")</f>
        <v>Lata</v>
      </c>
      <c r="F8">
        <v>24</v>
      </c>
      <c r="G8" s="2">
        <f>IFERROR(VLOOKUP(Tabela1619[[#This Row],[Produto]],cálculos!$K$4:$N$32,3,FALSE),0)</f>
        <v>2.19</v>
      </c>
      <c r="H8" s="2">
        <f>Tabela1619[[#This Row],[Quantidade]]*Tabela1619[[#This Row],[Preço unitario]]</f>
        <v>52.56</v>
      </c>
      <c r="I8" s="8">
        <v>0.05</v>
      </c>
      <c r="J8" t="s">
        <v>116</v>
      </c>
      <c r="K8" s="2">
        <f>IFERROR(IF(Tabela1619[[#This Row],[ID da venda]]=B9,0,VLOOKUP(Tabela1619[[#This Row],[Entrega]],cálculos!$A$4:$B$9,2,FALSE)),0)</f>
        <v>6.5</v>
      </c>
      <c r="L8" s="2">
        <f>Tabela1619[[#This Row],[Subtotal]]*(1-Tabela1619[[#This Row],[Desconto]])+Tabela1619[[#This Row],[Valor De Entrega]]</f>
        <v>56.432000000000002</v>
      </c>
      <c r="M8" s="2">
        <f>IF(Tabela1619[[#This Row],[ID da venda]]=B9,"",SUMIF(Tabela1619[ID da venda],Tabela1619[[#This Row],[ID da venda]],Tabela1619[Total] ))</f>
        <v>219.77199999999999</v>
      </c>
    </row>
    <row r="9" spans="2:13" x14ac:dyDescent="0.25">
      <c r="B9">
        <v>12</v>
      </c>
      <c r="C9" s="34">
        <v>42189</v>
      </c>
      <c r="D9" t="s">
        <v>30</v>
      </c>
      <c r="E9" t="str">
        <f>IFERROR(VLOOKUP(Tabela1619[[#This Row],[Produto]],cálculos!$K$4:$N$32,4,FALSE),"")</f>
        <v>Lata</v>
      </c>
      <c r="F9">
        <v>1</v>
      </c>
      <c r="G9" s="2">
        <f>IFERROR(VLOOKUP(Tabela1619[[#This Row],[Produto]],cálculos!$K$4:$N$32,3,FALSE),0)</f>
        <v>2.19</v>
      </c>
      <c r="H9" s="2">
        <f>Tabela1619[[#This Row],[Quantidade]]*Tabela1619[[#This Row],[Preço unitario]]</f>
        <v>2.19</v>
      </c>
      <c r="I9" s="8"/>
      <c r="J9" t="s">
        <v>113</v>
      </c>
      <c r="K9" s="2">
        <f>IFERROR(IF(Tabela1619[[#This Row],[ID da venda]]=B10,0,VLOOKUP(Tabela1619[[#This Row],[Entrega]],cálculos!$A$4:$B$9,2,FALSE)),0)</f>
        <v>0</v>
      </c>
      <c r="L9" s="2">
        <f>Tabela1619[[#This Row],[Subtotal]]*(1-Tabela1619[[#This Row],[Desconto]])+Tabela1619[[#This Row],[Valor De Entrega]]</f>
        <v>2.19</v>
      </c>
      <c r="M9" s="2">
        <f>IF(Tabela1619[[#This Row],[ID da venda]]=B10,"",SUMIF(Tabela1619[ID da venda],Tabela1619[[#This Row],[ID da venda]],Tabela1619[Total] ))</f>
        <v>2.19</v>
      </c>
    </row>
    <row r="10" spans="2:13" x14ac:dyDescent="0.25">
      <c r="B10">
        <v>11</v>
      </c>
      <c r="C10" s="34">
        <v>42189</v>
      </c>
      <c r="D10" t="s">
        <v>30</v>
      </c>
      <c r="E10" t="str">
        <f>IFERROR(VLOOKUP(Tabela1619[[#This Row],[Produto]],cálculos!$K$4:$N$32,4,FALSE),"")</f>
        <v>Lata</v>
      </c>
      <c r="F10">
        <v>10</v>
      </c>
      <c r="G10" s="2">
        <f>IFERROR(VLOOKUP(Tabela1619[[#This Row],[Produto]],cálculos!$K$4:$N$32,3,FALSE),0)</f>
        <v>2.19</v>
      </c>
      <c r="H10" s="2">
        <f>Tabela1619[[#This Row],[Quantidade]]*Tabela1619[[#This Row],[Preço unitario]]</f>
        <v>21.9</v>
      </c>
      <c r="I10" s="8"/>
      <c r="J10" t="s">
        <v>113</v>
      </c>
      <c r="K10" s="2">
        <f>IFERROR(IF(Tabela1619[[#This Row],[ID da venda]]=B11,0,VLOOKUP(Tabela1619[[#This Row],[Entrega]],cálculos!$A$4:$B$9,2,FALSE)),0)</f>
        <v>0</v>
      </c>
      <c r="L10" s="2">
        <f>Tabela1619[[#This Row],[Subtotal]]*(1-Tabela1619[[#This Row],[Desconto]])+Tabela1619[[#This Row],[Valor De Entrega]]</f>
        <v>21.9</v>
      </c>
      <c r="M10" s="2">
        <f>IF(Tabela1619[[#This Row],[ID da venda]]=B11,"",SUMIF(Tabela1619[ID da venda],Tabela1619[[#This Row],[ID da venda]],Tabela1619[Total] ))</f>
        <v>21.9</v>
      </c>
    </row>
    <row r="11" spans="2:13" x14ac:dyDescent="0.25">
      <c r="B11">
        <v>10</v>
      </c>
      <c r="C11" s="34">
        <v>42189</v>
      </c>
      <c r="D11" t="s">
        <v>18</v>
      </c>
      <c r="E11" t="str">
        <f>IFERROR(VLOOKUP(Tabela1619[[#This Row],[Produto]],cálculos!$K$4:$N$32,4,FALSE),"")</f>
        <v>Kg</v>
      </c>
      <c r="F11">
        <v>6</v>
      </c>
      <c r="G11" s="2">
        <f>IFERROR(VLOOKUP(Tabela1619[[#This Row],[Produto]],cálculos!$K$4:$N$32,3,FALSE),0)</f>
        <v>4.28</v>
      </c>
      <c r="H11" s="2">
        <f>Tabela1619[[#This Row],[Quantidade]]*Tabela1619[[#This Row],[Preço unitario]]</f>
        <v>25.68</v>
      </c>
      <c r="I11" s="8"/>
      <c r="J11" t="s">
        <v>113</v>
      </c>
      <c r="K11" s="2">
        <f>IFERROR(IF(Tabela1619[[#This Row],[ID da venda]]=B12,0,VLOOKUP(Tabela1619[[#This Row],[Entrega]],cálculos!$A$4:$B$9,2,FALSE)),0)</f>
        <v>0</v>
      </c>
      <c r="L11" s="2">
        <f>Tabela1619[[#This Row],[Subtotal]]*(1-Tabela1619[[#This Row],[Desconto]])+Tabela1619[[#This Row],[Valor De Entrega]]</f>
        <v>25.68</v>
      </c>
      <c r="M11" s="2" t="str">
        <f>IF(Tabela1619[[#This Row],[ID da venda]]=B12,"",SUMIF(Tabela1619[ID da venda],Tabela1619[[#This Row],[ID da venda]],Tabela1619[Total] ))</f>
        <v/>
      </c>
    </row>
    <row r="12" spans="2:13" x14ac:dyDescent="0.25">
      <c r="B12">
        <v>10</v>
      </c>
      <c r="C12" s="34">
        <v>42189</v>
      </c>
      <c r="D12" t="s">
        <v>73</v>
      </c>
      <c r="E12" t="str">
        <f>IFERROR(VLOOKUP(Tabela1619[[#This Row],[Produto]],cálculos!$K$4:$N$32,4,FALSE),"")</f>
        <v>Litro</v>
      </c>
      <c r="F12">
        <v>4</v>
      </c>
      <c r="G12" s="2">
        <f>IFERROR(VLOOKUP(Tabela1619[[#This Row],[Produto]],cálculos!$K$4:$N$32,3,FALSE),0)</f>
        <v>2.39</v>
      </c>
      <c r="H12" s="2">
        <f>Tabela1619[[#This Row],[Quantidade]]*Tabela1619[[#This Row],[Preço unitario]]</f>
        <v>9.56</v>
      </c>
      <c r="I12" s="8"/>
      <c r="J12" t="s">
        <v>113</v>
      </c>
      <c r="K12" s="2">
        <f>IFERROR(IF(Tabela1619[[#This Row],[ID da venda]]=B13,0,VLOOKUP(Tabela1619[[#This Row],[Entrega]],cálculos!$A$4:$B$9,2,FALSE)),0)</f>
        <v>0</v>
      </c>
      <c r="L12" s="2">
        <f>Tabela1619[[#This Row],[Subtotal]]*(1-Tabela1619[[#This Row],[Desconto]])+Tabela1619[[#This Row],[Valor De Entrega]]</f>
        <v>9.56</v>
      </c>
      <c r="M12" s="2">
        <f>IF(Tabela1619[[#This Row],[ID da venda]]=B13,"",SUMIF(Tabela1619[ID da venda],Tabela1619[[#This Row],[ID da venda]],Tabela1619[Total] ))</f>
        <v>35.24</v>
      </c>
    </row>
    <row r="13" spans="2:13" x14ac:dyDescent="0.25">
      <c r="B13">
        <v>9</v>
      </c>
      <c r="C13" s="34">
        <v>42188</v>
      </c>
      <c r="D13" t="s">
        <v>72</v>
      </c>
      <c r="E13" t="str">
        <f>IFERROR(VLOOKUP(Tabela1619[[#This Row],[Produto]],cálculos!$K$4:$N$32,4,FALSE),"")</f>
        <v>Unidade</v>
      </c>
      <c r="F13">
        <v>5</v>
      </c>
      <c r="G13" s="2">
        <f>IFERROR(VLOOKUP(Tabela1619[[#This Row],[Produto]],cálculos!$K$4:$N$32,3,FALSE),0)</f>
        <v>2.89</v>
      </c>
      <c r="H13" s="2">
        <f>Tabela1619[[#This Row],[Quantidade]]*Tabela1619[[#This Row],[Preço unitario]]</f>
        <v>14.450000000000001</v>
      </c>
      <c r="I13" s="8"/>
      <c r="J13" t="s">
        <v>113</v>
      </c>
      <c r="K13" s="2">
        <f>IFERROR(IF(Tabela1619[[#This Row],[ID da venda]]=B14,0,VLOOKUP(Tabela1619[[#This Row],[Entrega]],cálculos!$A$4:$B$9,2,FALSE)),0)</f>
        <v>0</v>
      </c>
      <c r="L13" s="2">
        <f>Tabela1619[[#This Row],[Subtotal]]*(1-Tabela1619[[#This Row],[Desconto]])+Tabela1619[[#This Row],[Valor De Entrega]]</f>
        <v>14.450000000000001</v>
      </c>
      <c r="M13" s="2" t="str">
        <f>IF(Tabela1619[[#This Row],[ID da venda]]=B14,"",SUMIF(Tabela1619[ID da venda],Tabela1619[[#This Row],[ID da venda]],Tabela1619[Total] ))</f>
        <v/>
      </c>
    </row>
    <row r="14" spans="2:13" x14ac:dyDescent="0.25">
      <c r="B14">
        <v>9</v>
      </c>
      <c r="C14" s="34">
        <v>42188</v>
      </c>
      <c r="D14" t="s">
        <v>28</v>
      </c>
      <c r="E14" t="str">
        <f>IFERROR(VLOOKUP(Tabela1619[[#This Row],[Produto]],cálculos!$K$4:$N$32,4,FALSE),"")</f>
        <v>Kg</v>
      </c>
      <c r="F14">
        <v>2</v>
      </c>
      <c r="G14" s="2">
        <f>IFERROR(VLOOKUP(Tabela1619[[#This Row],[Produto]],cálculos!$K$4:$N$32,3,FALSE),0)</f>
        <v>9.58</v>
      </c>
      <c r="H14" s="2">
        <f>Tabela1619[[#This Row],[Quantidade]]*Tabela1619[[#This Row],[Preço unitario]]</f>
        <v>19.16</v>
      </c>
      <c r="I14" s="8"/>
      <c r="J14" t="s">
        <v>113</v>
      </c>
      <c r="K14" s="2">
        <f>IFERROR(IF(Tabela1619[[#This Row],[ID da venda]]=B15,0,VLOOKUP(Tabela1619[[#This Row],[Entrega]],cálculos!$A$4:$B$9,2,FALSE)),0)</f>
        <v>0</v>
      </c>
      <c r="L14" s="2">
        <f>Tabela1619[[#This Row],[Subtotal]]*(1-Tabela1619[[#This Row],[Desconto]])+Tabela1619[[#This Row],[Valor De Entrega]]</f>
        <v>19.16</v>
      </c>
      <c r="M14" s="2" t="str">
        <f>IF(Tabela1619[[#This Row],[ID da venda]]=B15,"",SUMIF(Tabela1619[ID da venda],Tabela1619[[#This Row],[ID da venda]],Tabela1619[Total] ))</f>
        <v/>
      </c>
    </row>
    <row r="15" spans="2:13" x14ac:dyDescent="0.25">
      <c r="B15">
        <v>9</v>
      </c>
      <c r="C15" s="34">
        <v>42188</v>
      </c>
      <c r="D15" t="s">
        <v>24</v>
      </c>
      <c r="E15" t="str">
        <f>IFERROR(VLOOKUP(Tabela1619[[#This Row],[Produto]],cálculos!$K$4:$N$32,4,FALSE),"")</f>
        <v>Kg</v>
      </c>
      <c r="F15">
        <v>1.5</v>
      </c>
      <c r="G15" s="2">
        <f>IFERROR(VLOOKUP(Tabela1619[[#This Row],[Produto]],cálculos!$K$4:$N$32,3,FALSE),0)</f>
        <v>25.9</v>
      </c>
      <c r="H15" s="2">
        <f>Tabela1619[[#This Row],[Quantidade]]*Tabela1619[[#This Row],[Preço unitario]]</f>
        <v>38.849999999999994</v>
      </c>
      <c r="I15" s="8"/>
      <c r="J15" t="s">
        <v>113</v>
      </c>
      <c r="K15" s="2">
        <f>IFERROR(IF(Tabela1619[[#This Row],[ID da venda]]=B16,0,VLOOKUP(Tabela1619[[#This Row],[Entrega]],cálculos!$A$4:$B$9,2,FALSE)),0)</f>
        <v>0</v>
      </c>
      <c r="L15" s="2">
        <f>Tabela1619[[#This Row],[Subtotal]]*(1-Tabela1619[[#This Row],[Desconto]])+Tabela1619[[#This Row],[Valor De Entrega]]</f>
        <v>38.849999999999994</v>
      </c>
      <c r="M15" s="2" t="str">
        <f>IF(Tabela1619[[#This Row],[ID da venda]]=B16,"",SUMIF(Tabela1619[ID da venda],Tabela1619[[#This Row],[ID da venda]],Tabela1619[Total] ))</f>
        <v/>
      </c>
    </row>
    <row r="16" spans="2:13" x14ac:dyDescent="0.25">
      <c r="B16">
        <v>9</v>
      </c>
      <c r="C16" s="34">
        <v>42188</v>
      </c>
      <c r="D16" t="s">
        <v>18</v>
      </c>
      <c r="E16" t="str">
        <f>IFERROR(VLOOKUP(Tabela1619[[#This Row],[Produto]],cálculos!$K$4:$N$32,4,FALSE),"")</f>
        <v>Kg</v>
      </c>
      <c r="F16">
        <v>4</v>
      </c>
      <c r="G16" s="2">
        <f>IFERROR(VLOOKUP(Tabela1619[[#This Row],[Produto]],cálculos!$K$4:$N$32,3,FALSE),0)</f>
        <v>4.28</v>
      </c>
      <c r="H16" s="2">
        <f>Tabela1619[[#This Row],[Quantidade]]*Tabela1619[[#This Row],[Preço unitario]]</f>
        <v>17.12</v>
      </c>
      <c r="I16" s="8"/>
      <c r="J16" t="s">
        <v>113</v>
      </c>
      <c r="K16" s="2">
        <f>IFERROR(IF(Tabela1619[[#This Row],[ID da venda]]=B17,0,VLOOKUP(Tabela1619[[#This Row],[Entrega]],cálculos!$A$4:$B$9,2,FALSE)),0)</f>
        <v>0</v>
      </c>
      <c r="L16" s="2">
        <f>Tabela1619[[#This Row],[Subtotal]]*(1-Tabela1619[[#This Row],[Desconto]])+Tabela1619[[#This Row],[Valor De Entrega]]</f>
        <v>17.12</v>
      </c>
      <c r="M16" s="2">
        <f>IF(Tabela1619[[#This Row],[ID da venda]]=B17,"",SUMIF(Tabela1619[ID da venda],Tabela1619[[#This Row],[ID da venda]],Tabela1619[Total] ))</f>
        <v>89.58</v>
      </c>
    </row>
    <row r="17" spans="2:13" x14ac:dyDescent="0.25">
      <c r="B17">
        <v>8</v>
      </c>
      <c r="C17" s="34">
        <v>42188</v>
      </c>
      <c r="D17" t="s">
        <v>30</v>
      </c>
      <c r="E17" t="str">
        <f>IFERROR(VLOOKUP(Tabela1619[[#This Row],[Produto]],cálculos!$K$4:$N$32,4,FALSE),"")</f>
        <v>Lata</v>
      </c>
      <c r="F17">
        <v>20</v>
      </c>
      <c r="G17" s="2">
        <f>IFERROR(VLOOKUP(Tabela1619[[#This Row],[Produto]],cálculos!$K$4:$N$32,3,FALSE),0)</f>
        <v>2.19</v>
      </c>
      <c r="H17" s="2">
        <f>Tabela1619[[#This Row],[Quantidade]]*Tabela1619[[#This Row],[Preço unitario]]</f>
        <v>43.8</v>
      </c>
      <c r="I17" s="8">
        <v>0.05</v>
      </c>
      <c r="J17" t="s">
        <v>116</v>
      </c>
      <c r="K17" s="2">
        <f>IFERROR(IF(Tabela1619[[#This Row],[ID da venda]]=B18,0,VLOOKUP(Tabela1619[[#This Row],[Entrega]],cálculos!$A$4:$B$9,2,FALSE)),0)</f>
        <v>6.5</v>
      </c>
      <c r="L17" s="2">
        <f>Tabela1619[[#This Row],[Subtotal]]*(1-Tabela1619[[#This Row],[Desconto]])+Tabela1619[[#This Row],[Valor De Entrega]]</f>
        <v>48.109999999999992</v>
      </c>
      <c r="M17" s="2">
        <f>IF(Tabela1619[[#This Row],[ID da venda]]=B18,"",SUMIF(Tabela1619[ID da venda],Tabela1619[[#This Row],[ID da venda]],Tabela1619[Total] ))</f>
        <v>48.109999999999992</v>
      </c>
    </row>
    <row r="18" spans="2:13" x14ac:dyDescent="0.25">
      <c r="B18">
        <v>7</v>
      </c>
      <c r="C18" s="34">
        <v>42188</v>
      </c>
      <c r="D18" t="s">
        <v>30</v>
      </c>
      <c r="E18" t="str">
        <f>IFERROR(VLOOKUP(Tabela1619[[#This Row],[Produto]],cálculos!$K$4:$N$32,4,FALSE),"")</f>
        <v>Lata</v>
      </c>
      <c r="F18">
        <v>20</v>
      </c>
      <c r="G18" s="2">
        <f>IFERROR(VLOOKUP(Tabela1619[[#This Row],[Produto]],cálculos!$K$4:$N$32,3,FALSE),0)</f>
        <v>2.19</v>
      </c>
      <c r="H18" s="2">
        <f>Tabela1619[[#This Row],[Quantidade]]*Tabela1619[[#This Row],[Preço unitario]]</f>
        <v>43.8</v>
      </c>
      <c r="I18" s="8">
        <v>0.05</v>
      </c>
      <c r="J18" t="s">
        <v>113</v>
      </c>
      <c r="K18" s="2">
        <f>IFERROR(IF(Tabela1619[[#This Row],[ID da venda]]=B19,0,VLOOKUP(Tabela1619[[#This Row],[Entrega]],cálculos!$A$4:$B$9,2,FALSE)),0)</f>
        <v>0</v>
      </c>
      <c r="L18" s="2">
        <f>Tabela1619[[#This Row],[Subtotal]]*(1-Tabela1619[[#This Row],[Desconto]])+Tabela1619[[#This Row],[Valor De Entrega]]</f>
        <v>41.609999999999992</v>
      </c>
      <c r="M18" s="2">
        <f>IF(Tabela1619[[#This Row],[ID da venda]]=B19,"",SUMIF(Tabela1619[ID da venda],Tabela1619[[#This Row],[ID da venda]],Tabela1619[Total] ))</f>
        <v>41.609999999999992</v>
      </c>
    </row>
    <row r="19" spans="2:13" x14ac:dyDescent="0.25">
      <c r="B19">
        <v>6</v>
      </c>
      <c r="C19" s="34">
        <v>42188</v>
      </c>
      <c r="D19" t="s">
        <v>33</v>
      </c>
      <c r="E19" t="str">
        <f>IFERROR(VLOOKUP(Tabela1619[[#This Row],[Produto]],cálculos!$K$4:$N$32,4,FALSE),"")</f>
        <v>Pacote</v>
      </c>
      <c r="F19">
        <v>2</v>
      </c>
      <c r="G19" s="2">
        <f>IFERROR(VLOOKUP(Tabela1619[[#This Row],[Produto]],cálculos!$K$4:$N$32,3,FALSE),0)</f>
        <v>0.79</v>
      </c>
      <c r="H19" s="2">
        <f>Tabela1619[[#This Row],[Quantidade]]*Tabela1619[[#This Row],[Preço unitario]]</f>
        <v>1.58</v>
      </c>
      <c r="I19" s="8"/>
      <c r="J19" t="s">
        <v>113</v>
      </c>
      <c r="K19" s="2">
        <f>IFERROR(IF(Tabela1619[[#This Row],[ID da venda]]=B20,0,VLOOKUP(Tabela1619[[#This Row],[Entrega]],cálculos!$A$4:$B$9,2,FALSE)),0)</f>
        <v>0</v>
      </c>
      <c r="L19" s="2">
        <f>Tabela1619[[#This Row],[Subtotal]]*(1-Tabela1619[[#This Row],[Desconto]])+Tabela1619[[#This Row],[Valor De Entrega]]</f>
        <v>1.58</v>
      </c>
      <c r="M19" s="2" t="str">
        <f>IF(Tabela1619[[#This Row],[ID da venda]]=B20,"",SUMIF(Tabela1619[ID da venda],Tabela1619[[#This Row],[ID da venda]],Tabela1619[Total] ))</f>
        <v/>
      </c>
    </row>
    <row r="20" spans="2:13" x14ac:dyDescent="0.25">
      <c r="B20">
        <v>6</v>
      </c>
      <c r="C20" s="34">
        <v>42188</v>
      </c>
      <c r="D20" t="s">
        <v>21</v>
      </c>
      <c r="E20" t="str">
        <f>IFERROR(VLOOKUP(Tabela1619[[#This Row],[Produto]],cálculos!$K$4:$N$32,4,FALSE),"")</f>
        <v>Kg</v>
      </c>
      <c r="F20">
        <v>6</v>
      </c>
      <c r="G20" s="2">
        <f>IFERROR(VLOOKUP(Tabela1619[[#This Row],[Produto]],cálculos!$K$4:$N$32,3,FALSE),0)</f>
        <v>15.9</v>
      </c>
      <c r="H20" s="2">
        <f>Tabela1619[[#This Row],[Quantidade]]*Tabela1619[[#This Row],[Preço unitario]]</f>
        <v>95.4</v>
      </c>
      <c r="I20" s="8"/>
      <c r="J20" t="s">
        <v>113</v>
      </c>
      <c r="K20" s="2">
        <f>IFERROR(IF(Tabela1619[[#This Row],[ID da venda]]=B21,0,VLOOKUP(Tabela1619[[#This Row],[Entrega]],cálculos!$A$4:$B$9,2,FALSE)),0)</f>
        <v>0</v>
      </c>
      <c r="L20" s="2">
        <f>Tabela1619[[#This Row],[Subtotal]]*(1-Tabela1619[[#This Row],[Desconto]])+Tabela1619[[#This Row],[Valor De Entrega]]</f>
        <v>95.4</v>
      </c>
      <c r="M20" s="2" t="str">
        <f>IF(Tabela1619[[#This Row],[ID da venda]]=B21,"",SUMIF(Tabela1619[ID da venda],Tabela1619[[#This Row],[ID da venda]],Tabela1619[Total] ))</f>
        <v/>
      </c>
    </row>
    <row r="21" spans="2:13" x14ac:dyDescent="0.25">
      <c r="B21">
        <v>6</v>
      </c>
      <c r="C21" s="34">
        <v>42188</v>
      </c>
      <c r="D21" t="s">
        <v>30</v>
      </c>
      <c r="E21" t="str">
        <f>IFERROR(VLOOKUP(Tabela1619[[#This Row],[Produto]],cálculos!$K$4:$N$32,4,FALSE),"")</f>
        <v>Lata</v>
      </c>
      <c r="F21">
        <v>12</v>
      </c>
      <c r="G21" s="2">
        <f>IFERROR(VLOOKUP(Tabela1619[[#This Row],[Produto]],cálculos!$K$4:$N$32,3,FALSE),0)</f>
        <v>2.19</v>
      </c>
      <c r="H21" s="2">
        <f>Tabela1619[[#This Row],[Quantidade]]*Tabela1619[[#This Row],[Preço unitario]]</f>
        <v>26.28</v>
      </c>
      <c r="I21" s="8"/>
      <c r="J21" t="s">
        <v>113</v>
      </c>
      <c r="K21" s="2">
        <f>IFERROR(IF(Tabela1619[[#This Row],[ID da venda]]=B22,0,VLOOKUP(Tabela1619[[#This Row],[Entrega]],cálculos!$A$4:$B$9,2,FALSE)),0)</f>
        <v>0</v>
      </c>
      <c r="L21" s="2">
        <f>Tabela1619[[#This Row],[Subtotal]]*(1-Tabela1619[[#This Row],[Desconto]])+Tabela1619[[#This Row],[Valor De Entrega]]</f>
        <v>26.28</v>
      </c>
      <c r="M21" s="2">
        <f>IF(Tabela1619[[#This Row],[ID da venda]]=B22,"",SUMIF(Tabela1619[ID da venda],Tabela1619[[#This Row],[ID da venda]],Tabela1619[Total] ))</f>
        <v>123.26</v>
      </c>
    </row>
    <row r="22" spans="2:13" x14ac:dyDescent="0.25">
      <c r="B22">
        <v>5</v>
      </c>
      <c r="C22" s="34">
        <v>42187</v>
      </c>
      <c r="D22" t="s">
        <v>20</v>
      </c>
      <c r="E22" t="str">
        <f>IFERROR(VLOOKUP(Tabela1619[[#This Row],[Produto]],cálculos!$K$4:$N$32,4,FALSE),"")</f>
        <v>Unidade</v>
      </c>
      <c r="F22">
        <v>3</v>
      </c>
      <c r="G22" s="2">
        <f>IFERROR(VLOOKUP(Tabela1619[[#This Row],[Produto]],cálculos!$K$4:$N$32,3,FALSE),0)</f>
        <v>2.99</v>
      </c>
      <c r="H22" s="2">
        <f>Tabela1619[[#This Row],[Quantidade]]*Tabela1619[[#This Row],[Preço unitario]]</f>
        <v>8.9700000000000006</v>
      </c>
      <c r="I22" s="8"/>
      <c r="J22" t="s">
        <v>116</v>
      </c>
      <c r="K22" s="2">
        <f>IFERROR(IF(Tabela1619[[#This Row],[ID da venda]]=B23,0,VLOOKUP(Tabela1619[[#This Row],[Entrega]],cálculos!$A$4:$B$9,2,FALSE)),0)</f>
        <v>6.5</v>
      </c>
      <c r="L22" s="2">
        <f>Tabela1619[[#This Row],[Subtotal]]*(1-Tabela1619[[#This Row],[Desconto]])+Tabela1619[[#This Row],[Valor De Entrega]]</f>
        <v>15.47</v>
      </c>
      <c r="M22" s="2">
        <f>IF(Tabela1619[[#This Row],[ID da venda]]=B23,"",SUMIF(Tabela1619[ID da venda],Tabela1619[[#This Row],[ID da venda]],Tabela1619[Total] ))</f>
        <v>15.47</v>
      </c>
    </row>
    <row r="23" spans="2:13" x14ac:dyDescent="0.25">
      <c r="B23">
        <v>4</v>
      </c>
      <c r="C23" s="34">
        <v>42187</v>
      </c>
      <c r="D23" t="s">
        <v>34</v>
      </c>
      <c r="E23" t="str">
        <f>IFERROR(VLOOKUP(Tabela1619[[#This Row],[Produto]],cálculos!$K$4:$N$32,4,FALSE),"")</f>
        <v>Pacote</v>
      </c>
      <c r="F23">
        <v>2</v>
      </c>
      <c r="G23" s="2">
        <f>IFERROR(VLOOKUP(Tabela1619[[#This Row],[Produto]],cálculos!$K$4:$N$32,3,FALSE),0)</f>
        <v>1.99</v>
      </c>
      <c r="H23" s="2">
        <f>Tabela1619[[#This Row],[Quantidade]]*Tabela1619[[#This Row],[Preço unitario]]</f>
        <v>3.98</v>
      </c>
      <c r="I23" s="8"/>
      <c r="J23" t="s">
        <v>114</v>
      </c>
      <c r="K23" s="2">
        <f>IFERROR(IF(Tabela1619[[#This Row],[ID da venda]]=B24,0,VLOOKUP(Tabela1619[[#This Row],[Entrega]],cálculos!$A$4:$B$9,2,FALSE)),0)</f>
        <v>0</v>
      </c>
      <c r="L23" s="2">
        <f>Tabela1619[[#This Row],[Subtotal]]*(1-Tabela1619[[#This Row],[Desconto]])+Tabela1619[[#This Row],[Valor De Entrega]]</f>
        <v>3.98</v>
      </c>
      <c r="M23" s="2" t="str">
        <f>IF(Tabela1619[[#This Row],[ID da venda]]=B24,"",SUMIF(Tabela1619[ID da venda],Tabela1619[[#This Row],[ID da venda]],Tabela1619[Total] ))</f>
        <v/>
      </c>
    </row>
    <row r="24" spans="2:13" x14ac:dyDescent="0.25">
      <c r="B24">
        <v>4</v>
      </c>
      <c r="C24" s="34">
        <v>42187</v>
      </c>
      <c r="D24" t="s">
        <v>17</v>
      </c>
      <c r="E24" t="str">
        <f>IFERROR(VLOOKUP(Tabela1619[[#This Row],[Produto]],cálculos!$K$4:$N$32,4,FALSE),"")</f>
        <v>Kg</v>
      </c>
      <c r="F24">
        <v>5</v>
      </c>
      <c r="G24" s="2">
        <f>IFERROR(VLOOKUP(Tabela1619[[#This Row],[Produto]],cálculos!$K$4:$N$32,3,FALSE),0)</f>
        <v>2.4900000000000002</v>
      </c>
      <c r="H24" s="2">
        <f>Tabela1619[[#This Row],[Quantidade]]*Tabela1619[[#This Row],[Preço unitario]]</f>
        <v>12.450000000000001</v>
      </c>
      <c r="I24" s="8"/>
      <c r="J24" t="s">
        <v>114</v>
      </c>
      <c r="K24" s="2">
        <f>IFERROR(IF(Tabela1619[[#This Row],[ID da venda]]=B25,0,VLOOKUP(Tabela1619[[#This Row],[Entrega]],cálculos!$A$4:$B$9,2,FALSE)),0)</f>
        <v>6.5</v>
      </c>
      <c r="L24" s="2">
        <f>Tabela1619[[#This Row],[Subtotal]]*(1-Tabela1619[[#This Row],[Desconto]])+Tabela1619[[#This Row],[Valor De Entrega]]</f>
        <v>18.950000000000003</v>
      </c>
      <c r="M24" s="2">
        <f>IF(Tabela1619[[#This Row],[ID da venda]]=B25,"",SUMIF(Tabela1619[ID da venda],Tabela1619[[#This Row],[ID da venda]],Tabela1619[Total] ))</f>
        <v>22.930000000000003</v>
      </c>
    </row>
    <row r="25" spans="2:13" x14ac:dyDescent="0.25">
      <c r="B25">
        <v>3</v>
      </c>
      <c r="C25" s="34">
        <v>42187</v>
      </c>
      <c r="D25" t="s">
        <v>67</v>
      </c>
      <c r="E25" t="str">
        <f>IFERROR(VLOOKUP(Tabela1619[[#This Row],[Produto]],cálculos!$K$4:$N$32,4,FALSE),"")</f>
        <v>Litro</v>
      </c>
      <c r="F25">
        <v>6</v>
      </c>
      <c r="G25" s="2">
        <f>IFERROR(VLOOKUP(Tabela1619[[#This Row],[Produto]],cálculos!$K$4:$N$32,3,FALSE),0)</f>
        <v>1.49</v>
      </c>
      <c r="H25" s="2">
        <f>Tabela1619[[#This Row],[Quantidade]]*Tabela1619[[#This Row],[Preço unitario]]</f>
        <v>8.94</v>
      </c>
      <c r="I25" s="8"/>
      <c r="J25" t="s">
        <v>115</v>
      </c>
      <c r="K25" s="2">
        <f>IFERROR(IF(Tabela1619[[#This Row],[ID da venda]]=B26,0,VLOOKUP(Tabela1619[[#This Row],[Entrega]],cálculos!$A$4:$B$9,2,FALSE)),0)</f>
        <v>8</v>
      </c>
      <c r="L25" s="2">
        <f>Tabela1619[[#This Row],[Subtotal]]*(1-Tabela1619[[#This Row],[Desconto]])+Tabela1619[[#This Row],[Valor De Entrega]]</f>
        <v>16.939999999999998</v>
      </c>
      <c r="M25" s="2">
        <f>IF(Tabela1619[[#This Row],[ID da venda]]=B26,"",SUMIF(Tabela1619[ID da venda],Tabela1619[[#This Row],[ID da venda]],Tabela1619[Total] ))</f>
        <v>16.939999999999998</v>
      </c>
    </row>
    <row r="26" spans="2:13" x14ac:dyDescent="0.25">
      <c r="B26">
        <v>2</v>
      </c>
      <c r="C26" s="34">
        <v>42187</v>
      </c>
      <c r="D26" t="s">
        <v>34</v>
      </c>
      <c r="E26" t="str">
        <f>IFERROR(VLOOKUP(Tabela1619[[#This Row],[Produto]],cálculos!$K$4:$N$32,4,FALSE),"")</f>
        <v>Pacote</v>
      </c>
      <c r="F26">
        <v>1</v>
      </c>
      <c r="G26" s="2">
        <f>IFERROR(VLOOKUP(Tabela1619[[#This Row],[Produto]],cálculos!$K$4:$N$32,3,FALSE),0)</f>
        <v>1.99</v>
      </c>
      <c r="H26" s="2">
        <f>Tabela1619[[#This Row],[Quantidade]]*Tabela1619[[#This Row],[Preço unitario]]</f>
        <v>1.99</v>
      </c>
      <c r="I26" s="8"/>
      <c r="J26" t="s">
        <v>114</v>
      </c>
      <c r="K26" s="2">
        <f>IFERROR(IF(Tabela1619[[#This Row],[ID da venda]]=B27,0,VLOOKUP(Tabela1619[[#This Row],[Entrega]],cálculos!$A$4:$B$9,2,FALSE)),0)</f>
        <v>6.5</v>
      </c>
      <c r="L26" s="2">
        <f>Tabela1619[[#This Row],[Subtotal]]*(1-Tabela1619[[#This Row],[Desconto]])+Tabela1619[[#This Row],[Valor De Entrega]]</f>
        <v>8.49</v>
      </c>
      <c r="M26" s="2">
        <f>IF(Tabela1619[[#This Row],[ID da venda]]=B30,"",SUMIF(Tabela1619[ID da venda],Tabela1619[[#This Row],[ID da venda]],Tabela1619[Total] ))</f>
        <v>8.49</v>
      </c>
    </row>
    <row r="27" spans="2:13" x14ac:dyDescent="0.25">
      <c r="B27">
        <v>1</v>
      </c>
      <c r="C27" s="34">
        <v>42187</v>
      </c>
      <c r="D27" t="s">
        <v>17</v>
      </c>
      <c r="E27" s="35" t="str">
        <f>IFERROR(VLOOKUP(Tabela1619[[#This Row],[Produto]],cálculos!$K$4:$N$32,4,FALSE),"")</f>
        <v>Kg</v>
      </c>
      <c r="F27">
        <v>2</v>
      </c>
      <c r="G27" s="36">
        <f>IFERROR(VLOOKUP(Tabela1619[[#This Row],[Produto]],cálculos!$K$4:$N$32,3,FALSE),0)</f>
        <v>2.4900000000000002</v>
      </c>
      <c r="H27" s="36">
        <f>Tabela1619[[#This Row],[Quantidade]]*Tabela1619[[#This Row],[Preço unitario]]</f>
        <v>4.9800000000000004</v>
      </c>
      <c r="I27" s="8"/>
      <c r="J27" t="s">
        <v>113</v>
      </c>
      <c r="K27" s="36">
        <f>IFERROR(IF(Tabela1619[[#This Row],[ID da venda]]=B28,0,VLOOKUP(Tabela1619[[#This Row],[Entrega]],cálculos!$A$4:$B$9,2,FALSE)),0)</f>
        <v>0</v>
      </c>
      <c r="L27" s="36">
        <f>Tabela1619[[#This Row],[Subtotal]]*(1-Tabela1619[[#This Row],[Desconto]])+Tabela1619[[#This Row],[Valor De Entrega]]</f>
        <v>4.9800000000000004</v>
      </c>
      <c r="M27" s="36" t="str">
        <f>IF(Tabela1619[[#This Row],[ID da venda]]=B28,"",SUMIF(Tabela1619[ID da venda],Tabela1619[[#This Row],[ID da venda]],Tabela1619[Total] ))</f>
        <v/>
      </c>
    </row>
    <row r="28" spans="2:13" x14ac:dyDescent="0.25">
      <c r="B28">
        <v>1</v>
      </c>
      <c r="C28" s="34">
        <v>42187</v>
      </c>
      <c r="D28" t="s">
        <v>29</v>
      </c>
      <c r="E28" s="35" t="str">
        <f>IFERROR(VLOOKUP(Tabela1619[[#This Row],[Produto]],cálculos!$K$4:$N$32,4,FALSE),"")</f>
        <v>Pacote</v>
      </c>
      <c r="F28">
        <v>3</v>
      </c>
      <c r="G28" s="36">
        <f>IFERROR(VLOOKUP(Tabela1619[[#This Row],[Produto]],cálculos!$K$4:$N$32,3,FALSE),0)</f>
        <v>1.1499999999999999</v>
      </c>
      <c r="H28" s="36">
        <f>Tabela1619[[#This Row],[Quantidade]]*Tabela1619[[#This Row],[Preço unitario]]</f>
        <v>3.4499999999999997</v>
      </c>
      <c r="I28" s="8"/>
      <c r="J28" t="s">
        <v>113</v>
      </c>
      <c r="K28" s="36">
        <f>IFERROR(IF(Tabela1619[[#This Row],[ID da venda]]=B29,0,VLOOKUP(Tabela1619[[#This Row],[Entrega]],cálculos!$A$4:$B$9,2,FALSE)),0)</f>
        <v>0</v>
      </c>
      <c r="L28" s="36">
        <f>Tabela1619[[#This Row],[Subtotal]]*(1-Tabela1619[[#This Row],[Desconto]])+Tabela1619[[#This Row],[Valor De Entrega]]</f>
        <v>3.4499999999999997</v>
      </c>
      <c r="M28" s="36" t="str">
        <f>IF(Tabela1619[[#This Row],[ID da venda]]=B29,"",SUMIF(Tabela1619[ID da venda],Tabela1619[[#This Row],[ID da venda]],Tabela1619[Total] ))</f>
        <v/>
      </c>
    </row>
    <row r="29" spans="2:13" x14ac:dyDescent="0.25">
      <c r="B29">
        <v>1</v>
      </c>
      <c r="C29" s="34">
        <v>42187</v>
      </c>
      <c r="D29" t="s">
        <v>34</v>
      </c>
      <c r="E29" s="35" t="str">
        <f>IFERROR(VLOOKUP(Tabela1619[[#This Row],[Produto]],cálculos!$K$4:$N$32,4,FALSE),"")</f>
        <v>Pacote</v>
      </c>
      <c r="F29">
        <v>1</v>
      </c>
      <c r="G29" s="36">
        <f>IFERROR(VLOOKUP(Tabela1619[[#This Row],[Produto]],cálculos!$K$4:$N$32,3,FALSE),0)</f>
        <v>1.99</v>
      </c>
      <c r="H29" s="36">
        <f>Tabela1619[[#This Row],[Quantidade]]*Tabela1619[[#This Row],[Preço unitario]]</f>
        <v>1.99</v>
      </c>
      <c r="I29" s="8"/>
      <c r="J29" t="s">
        <v>113</v>
      </c>
      <c r="K29" s="36">
        <f>IFERROR(IF(Tabela1619[[#This Row],[ID da venda]]=B30,0,VLOOKUP(Tabela1619[[#This Row],[Entrega]],cálculos!$A$4:$B$9,2,FALSE)),0)</f>
        <v>0</v>
      </c>
      <c r="L29" s="36">
        <f>Tabela1619[[#This Row],[Subtotal]]*(1-Tabela1619[[#This Row],[Desconto]])+Tabela1619[[#This Row],[Valor De Entrega]]</f>
        <v>1.99</v>
      </c>
      <c r="M29" s="36">
        <f>IF(Tabela1619[[#This Row],[ID da venda]]=B30,"",SUMIF(Tabela1619[ID da venda],Tabela1619[[#This Row],[ID da venda]],Tabela1619[Total] ))</f>
        <v>10.42</v>
      </c>
    </row>
    <row r="31" spans="2:13" ht="19.5" thickBot="1" x14ac:dyDescent="0.3">
      <c r="B31" s="20" t="s">
        <v>118</v>
      </c>
      <c r="C31" s="20"/>
      <c r="D31" s="20"/>
      <c r="E31" s="21"/>
      <c r="F31" s="20"/>
      <c r="G31" s="20"/>
      <c r="H31" s="20"/>
      <c r="I31" s="21"/>
      <c r="J31" s="20"/>
      <c r="K31" s="20"/>
      <c r="L31" s="20"/>
      <c r="M31" s="21">
        <f>SUM(Tabela1619[Total])</f>
        <v>655.91200000000026</v>
      </c>
    </row>
    <row r="32" spans="2:13" ht="19.5" thickBot="1" x14ac:dyDescent="0.3">
      <c r="B32" s="31" t="s">
        <v>119</v>
      </c>
      <c r="C32" s="31"/>
      <c r="D32" s="31"/>
      <c r="E32" s="33"/>
      <c r="F32" s="31"/>
      <c r="G32" s="31"/>
      <c r="H32" s="31"/>
      <c r="I32" s="33"/>
      <c r="J32" s="31"/>
      <c r="K32" s="31"/>
      <c r="L32" s="31"/>
      <c r="M32" s="59">
        <f>SUM(Tabela1619[Valor De Entrega])</f>
        <v>40.5</v>
      </c>
    </row>
    <row r="33" spans="2:13" ht="19.5" thickTop="1" x14ac:dyDescent="0.3">
      <c r="B33" s="31" t="s">
        <v>119</v>
      </c>
      <c r="C33" s="31"/>
      <c r="D33" s="31"/>
      <c r="E33" s="33"/>
      <c r="F33" s="31"/>
      <c r="G33" s="31"/>
      <c r="H33" s="31"/>
      <c r="I33" s="33"/>
      <c r="J33" s="31"/>
      <c r="K33" s="31"/>
      <c r="L33" s="31"/>
      <c r="M33" s="60" cm="1">
        <f t="array" ref="M33">SUM(IF(FREQUENCY(Tabela1619[ID da venda],Tabela1619[ID da venda])&gt;0,1,0))</f>
        <v>13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6708FA8-D69F-4A9A-A906-CDD16544C401}">
          <x14:formula1>
            <xm:f>cálculos!$A$3:$A$7</xm:f>
          </x14:formula1>
          <xm:sqref>J4:J5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A292F-6FAF-48F3-84CB-A9D2316C84E9}">
  <sheetPr codeName="Planilha8"/>
  <dimension ref="B1:M33"/>
  <sheetViews>
    <sheetView showGridLines="0" tabSelected="1" workbookViewId="0">
      <selection activeCell="S22" sqref="S22"/>
    </sheetView>
  </sheetViews>
  <sheetFormatPr defaultRowHeight="15" x14ac:dyDescent="0.25"/>
  <cols>
    <col min="1" max="1" width="19.5703125" customWidth="1"/>
    <col min="2" max="2" width="30.5703125" bestFit="1" customWidth="1"/>
    <col min="3" max="3" width="10.7109375" bestFit="1" customWidth="1"/>
    <col min="4" max="4" width="14.5703125" bestFit="1" customWidth="1"/>
    <col min="5" max="5" width="9.85546875" customWidth="1"/>
    <col min="6" max="6" width="13.5703125" customWidth="1"/>
    <col min="7" max="7" width="15.5703125" customWidth="1"/>
    <col min="8" max="8" width="10.5703125" customWidth="1"/>
    <col min="9" max="9" width="11.42578125" customWidth="1"/>
    <col min="10" max="10" width="9.85546875" customWidth="1"/>
    <col min="11" max="11" width="17.85546875" customWidth="1"/>
    <col min="12" max="12" width="10.5703125" bestFit="1" customWidth="1"/>
    <col min="13" max="13" width="20.28515625" customWidth="1"/>
  </cols>
  <sheetData>
    <row r="1" spans="2:13" ht="16.5" customHeight="1" x14ac:dyDescent="0.25">
      <c r="E1" s="25"/>
    </row>
    <row r="2" spans="2:13" s="3" customFormat="1" ht="23.25" x14ac:dyDescent="0.25">
      <c r="B2" s="26" t="s">
        <v>121</v>
      </c>
    </row>
    <row r="4" spans="2:13" x14ac:dyDescent="0.25">
      <c r="B4" t="s">
        <v>103</v>
      </c>
      <c r="C4" t="s">
        <v>42</v>
      </c>
      <c r="D4" t="s">
        <v>98</v>
      </c>
      <c r="E4" t="s">
        <v>56</v>
      </c>
      <c r="F4" t="s">
        <v>57</v>
      </c>
      <c r="G4" t="s">
        <v>104</v>
      </c>
      <c r="H4" t="s">
        <v>105</v>
      </c>
      <c r="I4" t="s">
        <v>59</v>
      </c>
      <c r="J4" t="s">
        <v>106</v>
      </c>
      <c r="K4" t="s">
        <v>107</v>
      </c>
      <c r="L4" t="s">
        <v>85</v>
      </c>
      <c r="M4" t="s">
        <v>108</v>
      </c>
    </row>
    <row r="5" spans="2:13" x14ac:dyDescent="0.25">
      <c r="B5">
        <v>2</v>
      </c>
      <c r="C5" s="34">
        <f t="shared" ref="C5" ca="1" si="0">TODAY()</f>
        <v>44824</v>
      </c>
      <c r="D5" t="s">
        <v>31</v>
      </c>
      <c r="E5" t="str">
        <f>IFERROR(VLOOKUP(Tabela161914[[#This Row],[Produto]],cálculos!$K$4:$N$32,4,FALSE),"")</f>
        <v>Garrafa</v>
      </c>
      <c r="F5">
        <v>1</v>
      </c>
      <c r="G5" s="2">
        <f>IFERROR(VLOOKUP(Tabela161914[[#This Row],[Produto]],cálculos!$K$4:$N$32,3,FALSE),0)</f>
        <v>54.9</v>
      </c>
      <c r="H5" s="2">
        <f>Tabela161914[[#This Row],[Quantidade]]*Tabela161914[[#This Row],[Preço unitario]]</f>
        <v>54.9</v>
      </c>
      <c r="I5" s="8"/>
      <c r="J5" t="s">
        <v>133</v>
      </c>
      <c r="K5" s="2">
        <f>IFERROR(IF(Tabela161914[[#This Row],[ID da venda]]=B6,0,VLOOKUP(Tabela161914[[#This Row],[Entrega]],cálculos!$A$4:$B$9,2,FALSE)),0)</f>
        <v>6.5</v>
      </c>
      <c r="L5" s="2">
        <f>Tabela161914[[#This Row],[Subtotal]]*(1-Tabela161914[[#This Row],[Desconto]])+Tabela161914[[#This Row],[Valor De Entrega]]</f>
        <v>61.4</v>
      </c>
      <c r="M5" s="2">
        <f>IF(Tabela161914[[#This Row],[ID da venda]]=B8,"",SUMIF(Tabela161914[ID da venda],Tabela161914[[#This Row],[ID da venda]],Tabela161914[Total] ))</f>
        <v>61.4</v>
      </c>
    </row>
    <row r="6" spans="2:13" x14ac:dyDescent="0.25">
      <c r="C6" s="34"/>
      <c r="E6" t="str">
        <f>IFERROR(VLOOKUP(Tabela161914[[#This Row],[Produto]],cálculos!$K$4:$N$32,4,FALSE),"")</f>
        <v/>
      </c>
      <c r="G6" s="2">
        <f>IFERROR(VLOOKUP(Tabela161914[[#This Row],[Produto]],cálculos!$K$4:$N$32,3,FALSE),0)</f>
        <v>0</v>
      </c>
      <c r="H6" s="2">
        <f>Tabela161914[[#This Row],[Quantidade]]*Tabela161914[[#This Row],[Preço unitario]]</f>
        <v>0</v>
      </c>
      <c r="I6" s="8"/>
      <c r="K6" s="2">
        <f>IFERROR(IF(Tabela161914[[#This Row],[ID da venda]]=B7,0,VLOOKUP(Tabela161914[[#This Row],[Entrega]],cálculos!$A$4:$B$9,2,FALSE)),0)</f>
        <v>0</v>
      </c>
      <c r="L6" s="2">
        <f>Tabela161914[[#This Row],[Subtotal]]*(1-Tabela161914[[#This Row],[Desconto]])+Tabela161914[[#This Row],[Valor De Entrega]]</f>
        <v>0</v>
      </c>
      <c r="M6" s="2" t="str">
        <f>IF(Tabela161914[[#This Row],[ID da venda]]=B9,"",SUMIF(Tabela161914[ID da venda],Tabela161914[[#This Row],[ID da venda]],Tabela161914[Total] ))</f>
        <v/>
      </c>
    </row>
    <row r="7" spans="2:13" x14ac:dyDescent="0.25">
      <c r="C7" s="34"/>
      <c r="E7" t="str">
        <f>IFERROR(VLOOKUP(Tabela161914[[#This Row],[Produto]],cálculos!$K$4:$N$32,4,FALSE),"")</f>
        <v/>
      </c>
      <c r="G7" s="2">
        <f>IFERROR(VLOOKUP(Tabela161914[[#This Row],[Produto]],cálculos!$K$4:$N$32,3,FALSE),0)</f>
        <v>0</v>
      </c>
      <c r="H7" s="2">
        <f>Tabela161914[[#This Row],[Quantidade]]*Tabela161914[[#This Row],[Preço unitario]]</f>
        <v>0</v>
      </c>
      <c r="I7" s="8"/>
      <c r="K7" s="2">
        <f>IFERROR(IF(Tabela161914[[#This Row],[ID da venda]]=B8,0,VLOOKUP(Tabela161914[[#This Row],[Entrega]],cálculos!$A$4:$B$9,2,FALSE)),0)</f>
        <v>0</v>
      </c>
      <c r="L7" s="2">
        <f>Tabela161914[[#This Row],[Subtotal]]*(1-Tabela161914[[#This Row],[Desconto]])+Tabela161914[[#This Row],[Valor De Entrega]]</f>
        <v>0</v>
      </c>
      <c r="M7" s="2" t="str">
        <f>IF(Tabela161914[[#This Row],[ID da venda]]=B10,"",SUMIF(Tabela161914[ID da venda],Tabela161914[[#This Row],[ID da venda]],Tabela161914[Total] ))</f>
        <v/>
      </c>
    </row>
    <row r="8" spans="2:13" x14ac:dyDescent="0.25">
      <c r="C8" s="34"/>
      <c r="E8" t="str">
        <f>IFERROR(VLOOKUP(Tabela161914[[#This Row],[Produto]],cálculos!$K$4:$N$32,4,FALSE),"")</f>
        <v/>
      </c>
      <c r="G8" s="2">
        <f>IFERROR(VLOOKUP(Tabela161914[[#This Row],[Produto]],cálculos!$K$4:$N$32,3,FALSE),0)</f>
        <v>0</v>
      </c>
      <c r="H8" s="2">
        <f>Tabela161914[[#This Row],[Quantidade]]*Tabela161914[[#This Row],[Preço unitario]]</f>
        <v>0</v>
      </c>
      <c r="I8" s="8"/>
      <c r="K8" s="2">
        <f>IFERROR(IF(Tabela161914[[#This Row],[ID da venda]]=B9,0,VLOOKUP(Tabela161914[[#This Row],[Entrega]],cálculos!$A$4:$B$9,2,FALSE)),0)</f>
        <v>0</v>
      </c>
      <c r="L8" s="2">
        <f>Tabela161914[[#This Row],[Subtotal]]*(1-Tabela161914[[#This Row],[Desconto]])+Tabela161914[[#This Row],[Valor De Entrega]]</f>
        <v>0</v>
      </c>
      <c r="M8" s="2" t="str">
        <f>IF(Tabela161914[[#This Row],[ID da venda]]=B11,"",SUMIF(Tabela161914[ID da venda],Tabela161914[[#This Row],[ID da venda]],Tabela161914[Total] ))</f>
        <v/>
      </c>
    </row>
    <row r="9" spans="2:13" x14ac:dyDescent="0.25">
      <c r="C9" s="34"/>
      <c r="E9" t="str">
        <f>IFERROR(VLOOKUP(Tabela161914[[#This Row],[Produto]],cálculos!$K$4:$N$32,4,FALSE),"")</f>
        <v/>
      </c>
      <c r="G9" s="2">
        <f>IFERROR(VLOOKUP(Tabela161914[[#This Row],[Produto]],cálculos!$K$4:$N$32,3,FALSE),0)</f>
        <v>0</v>
      </c>
      <c r="H9" s="2">
        <f>Tabela161914[[#This Row],[Quantidade]]*Tabela161914[[#This Row],[Preço unitario]]</f>
        <v>0</v>
      </c>
      <c r="I9" s="8"/>
      <c r="K9" s="2">
        <f>IFERROR(IF(Tabela161914[[#This Row],[ID da venda]]=B10,0,VLOOKUP(Tabela161914[[#This Row],[Entrega]],cálculos!$A$4:$B$9,2,FALSE)),0)</f>
        <v>0</v>
      </c>
      <c r="L9" s="2">
        <f>Tabela161914[[#This Row],[Subtotal]]*(1-Tabela161914[[#This Row],[Desconto]])+Tabela161914[[#This Row],[Valor De Entrega]]</f>
        <v>0</v>
      </c>
      <c r="M9" s="2" t="str">
        <f>IF(Tabela161914[[#This Row],[ID da venda]]=B12,"",SUMIF(Tabela161914[ID da venda],Tabela161914[[#This Row],[ID da venda]],Tabela161914[Total] ))</f>
        <v/>
      </c>
    </row>
    <row r="10" spans="2:13" x14ac:dyDescent="0.25">
      <c r="C10" s="34"/>
      <c r="E10" t="str">
        <f>IFERROR(VLOOKUP(Tabela161914[[#This Row],[Produto]],cálculos!$K$4:$N$32,4,FALSE),"")</f>
        <v/>
      </c>
      <c r="G10" s="2">
        <f>IFERROR(VLOOKUP(Tabela161914[[#This Row],[Produto]],cálculos!$K$4:$N$32,3,FALSE),0)</f>
        <v>0</v>
      </c>
      <c r="H10" s="2">
        <f>Tabela161914[[#This Row],[Quantidade]]*Tabela161914[[#This Row],[Preço unitario]]</f>
        <v>0</v>
      </c>
      <c r="I10" s="8"/>
      <c r="K10" s="2">
        <f>IFERROR(IF(Tabela161914[[#This Row],[ID da venda]]=B11,0,VLOOKUP(Tabela161914[[#This Row],[Entrega]],cálculos!$A$4:$B$9,2,FALSE)),0)</f>
        <v>0</v>
      </c>
      <c r="L10" s="2">
        <f>Tabela161914[[#This Row],[Subtotal]]*(1-Tabela161914[[#This Row],[Desconto]])+Tabela161914[[#This Row],[Valor De Entrega]]</f>
        <v>0</v>
      </c>
      <c r="M10" s="2" t="str">
        <f>IF(Tabela161914[[#This Row],[ID da venda]]=B13,"",SUMIF(Tabela161914[ID da venda],Tabela161914[[#This Row],[ID da venda]],Tabela161914[Total] ))</f>
        <v/>
      </c>
    </row>
    <row r="11" spans="2:13" x14ac:dyDescent="0.25">
      <c r="C11" s="34"/>
      <c r="E11" t="str">
        <f>IFERROR(VLOOKUP(Tabela161914[[#This Row],[Produto]],cálculos!$K$4:$N$32,4,FALSE),"")</f>
        <v/>
      </c>
      <c r="G11" s="2">
        <f>IFERROR(VLOOKUP(Tabela161914[[#This Row],[Produto]],cálculos!$K$4:$N$32,3,FALSE),0)</f>
        <v>0</v>
      </c>
      <c r="H11" s="2">
        <f>Tabela161914[[#This Row],[Quantidade]]*Tabela161914[[#This Row],[Preço unitario]]</f>
        <v>0</v>
      </c>
      <c r="I11" s="8"/>
      <c r="K11" s="2">
        <f>IFERROR(IF(Tabela161914[[#This Row],[ID da venda]]=B12,0,VLOOKUP(Tabela161914[[#This Row],[Entrega]],cálculos!$A$4:$B$9,2,FALSE)),0)</f>
        <v>0</v>
      </c>
      <c r="L11" s="2">
        <f>Tabela161914[[#This Row],[Subtotal]]*(1-Tabela161914[[#This Row],[Desconto]])+Tabela161914[[#This Row],[Valor De Entrega]]</f>
        <v>0</v>
      </c>
      <c r="M11" s="2" t="str">
        <f>IF(Tabela161914[[#This Row],[ID da venda]]=B14,"",SUMIF(Tabela161914[ID da venda],Tabela161914[[#This Row],[ID da venda]],Tabela161914[Total] ))</f>
        <v/>
      </c>
    </row>
    <row r="12" spans="2:13" x14ac:dyDescent="0.25">
      <c r="C12" s="34"/>
      <c r="E12" t="str">
        <f>IFERROR(VLOOKUP(Tabela161914[[#This Row],[Produto]],cálculos!$K$4:$N$32,4,FALSE),"")</f>
        <v/>
      </c>
      <c r="G12" s="2">
        <f>IFERROR(VLOOKUP(Tabela161914[[#This Row],[Produto]],cálculos!$K$4:$N$32,3,FALSE),0)</f>
        <v>0</v>
      </c>
      <c r="H12" s="2">
        <f>Tabela161914[[#This Row],[Quantidade]]*Tabela161914[[#This Row],[Preço unitario]]</f>
        <v>0</v>
      </c>
      <c r="I12" s="8"/>
      <c r="K12" s="2">
        <f>IFERROR(IF(Tabela161914[[#This Row],[ID da venda]]=B13,0,VLOOKUP(Tabela161914[[#This Row],[Entrega]],cálculos!$A$4:$B$9,2,FALSE)),0)</f>
        <v>0</v>
      </c>
      <c r="L12" s="2">
        <f>Tabela161914[[#This Row],[Subtotal]]*(1-Tabela161914[[#This Row],[Desconto]])+Tabela161914[[#This Row],[Valor De Entrega]]</f>
        <v>0</v>
      </c>
      <c r="M12" s="2" t="str">
        <f>IF(Tabela161914[[#This Row],[ID da venda]]=B15,"",SUMIF(Tabela161914[ID da venda],Tabela161914[[#This Row],[ID da venda]],Tabela161914[Total] ))</f>
        <v/>
      </c>
    </row>
    <row r="13" spans="2:13" x14ac:dyDescent="0.25">
      <c r="C13" s="34"/>
      <c r="E13" t="str">
        <f>IFERROR(VLOOKUP(Tabela161914[[#This Row],[Produto]],cálculos!$K$4:$N$32,4,FALSE),"")</f>
        <v/>
      </c>
      <c r="G13" s="2">
        <f>IFERROR(VLOOKUP(Tabela161914[[#This Row],[Produto]],cálculos!$K$4:$N$32,3,FALSE),0)</f>
        <v>0</v>
      </c>
      <c r="H13" s="2">
        <f>Tabela161914[[#This Row],[Quantidade]]*Tabela161914[[#This Row],[Preço unitario]]</f>
        <v>0</v>
      </c>
      <c r="I13" s="8"/>
      <c r="K13" s="2">
        <f>IFERROR(IF(Tabela161914[[#This Row],[ID da venda]]=B14,0,VLOOKUP(Tabela161914[[#This Row],[Entrega]],cálculos!$A$4:$B$9,2,FALSE)),0)</f>
        <v>0</v>
      </c>
      <c r="L13" s="2">
        <f>Tabela161914[[#This Row],[Subtotal]]*(1-Tabela161914[[#This Row],[Desconto]])+Tabela161914[[#This Row],[Valor De Entrega]]</f>
        <v>0</v>
      </c>
      <c r="M13" s="2" t="str">
        <f>IF(Tabela161914[[#This Row],[ID da venda]]=B16,"",SUMIF(Tabela161914[ID da venda],Tabela161914[[#This Row],[ID da venda]],Tabela161914[Total] ))</f>
        <v/>
      </c>
    </row>
    <row r="14" spans="2:13" x14ac:dyDescent="0.25">
      <c r="C14" s="34"/>
      <c r="E14" t="str">
        <f>IFERROR(VLOOKUP(Tabela161914[[#This Row],[Produto]],cálculos!$K$4:$N$32,4,FALSE),"")</f>
        <v/>
      </c>
      <c r="G14" s="2">
        <f>IFERROR(VLOOKUP(Tabela161914[[#This Row],[Produto]],cálculos!$K$4:$N$32,3,FALSE),0)</f>
        <v>0</v>
      </c>
      <c r="H14" s="2">
        <f>Tabela161914[[#This Row],[Quantidade]]*Tabela161914[[#This Row],[Preço unitario]]</f>
        <v>0</v>
      </c>
      <c r="I14" s="8"/>
      <c r="K14" s="2">
        <f>IFERROR(IF(Tabela161914[[#This Row],[ID da venda]]=B15,0,VLOOKUP(Tabela161914[[#This Row],[Entrega]],cálculos!$A$4:$B$9,2,FALSE)),0)</f>
        <v>0</v>
      </c>
      <c r="L14" s="2">
        <f>Tabela161914[[#This Row],[Subtotal]]*(1-Tabela161914[[#This Row],[Desconto]])+Tabela161914[[#This Row],[Valor De Entrega]]</f>
        <v>0</v>
      </c>
      <c r="M14" s="2" t="str">
        <f>IF(Tabela161914[[#This Row],[ID da venda]]=B17,"",SUMIF(Tabela161914[ID da venda],Tabela161914[[#This Row],[ID da venda]],Tabela161914[Total] ))</f>
        <v/>
      </c>
    </row>
    <row r="15" spans="2:13" x14ac:dyDescent="0.25">
      <c r="C15" s="34"/>
      <c r="E15" t="str">
        <f>IFERROR(VLOOKUP(Tabela161914[[#This Row],[Produto]],cálculos!$K$4:$N$32,4,FALSE),"")</f>
        <v/>
      </c>
      <c r="G15" s="2">
        <f>IFERROR(VLOOKUP(Tabela161914[[#This Row],[Produto]],cálculos!$K$4:$N$32,3,FALSE),0)</f>
        <v>0</v>
      </c>
      <c r="H15" s="2">
        <f>Tabela161914[[#This Row],[Quantidade]]*Tabela161914[[#This Row],[Preço unitario]]</f>
        <v>0</v>
      </c>
      <c r="I15" s="8"/>
      <c r="K15" s="2">
        <f>IFERROR(IF(Tabela161914[[#This Row],[ID da venda]]=B16,0,VLOOKUP(Tabela161914[[#This Row],[Entrega]],cálculos!$A$4:$B$9,2,FALSE)),0)</f>
        <v>0</v>
      </c>
      <c r="L15" s="2">
        <f>Tabela161914[[#This Row],[Subtotal]]*(1-Tabela161914[[#This Row],[Desconto]])+Tabela161914[[#This Row],[Valor De Entrega]]</f>
        <v>0</v>
      </c>
      <c r="M15" s="2" t="str">
        <f>IF(Tabela161914[[#This Row],[ID da venda]]=B18,"",SUMIF(Tabela161914[ID da venda],Tabela161914[[#This Row],[ID da venda]],Tabela161914[Total] ))</f>
        <v/>
      </c>
    </row>
    <row r="16" spans="2:13" x14ac:dyDescent="0.25">
      <c r="C16" s="34"/>
      <c r="E16" t="str">
        <f>IFERROR(VLOOKUP(Tabela161914[[#This Row],[Produto]],cálculos!$K$4:$N$32,4,FALSE),"")</f>
        <v/>
      </c>
      <c r="G16" s="2">
        <f>IFERROR(VLOOKUP(Tabela161914[[#This Row],[Produto]],cálculos!$K$4:$N$32,3,FALSE),0)</f>
        <v>0</v>
      </c>
      <c r="H16" s="2">
        <f>Tabela161914[[#This Row],[Quantidade]]*Tabela161914[[#This Row],[Preço unitario]]</f>
        <v>0</v>
      </c>
      <c r="I16" s="8"/>
      <c r="K16" s="2">
        <f>IFERROR(IF(Tabela161914[[#This Row],[ID da venda]]=B17,0,VLOOKUP(Tabela161914[[#This Row],[Entrega]],cálculos!$A$4:$B$9,2,FALSE)),0)</f>
        <v>0</v>
      </c>
      <c r="L16" s="2">
        <f>Tabela161914[[#This Row],[Subtotal]]*(1-Tabela161914[[#This Row],[Desconto]])+Tabela161914[[#This Row],[Valor De Entrega]]</f>
        <v>0</v>
      </c>
      <c r="M16" s="2" t="str">
        <f>IF(Tabela161914[[#This Row],[ID da venda]]=B19,"",SUMIF(Tabela161914[ID da venda],Tabela161914[[#This Row],[ID da venda]],Tabela161914[Total] ))</f>
        <v/>
      </c>
    </row>
    <row r="17" spans="2:13" x14ac:dyDescent="0.25">
      <c r="C17" s="34"/>
      <c r="E17" t="str">
        <f>IFERROR(VLOOKUP(Tabela161914[[#This Row],[Produto]],cálculos!$K$4:$N$32,4,FALSE),"")</f>
        <v/>
      </c>
      <c r="G17" s="2">
        <f>IFERROR(VLOOKUP(Tabela161914[[#This Row],[Produto]],cálculos!$K$4:$N$32,3,FALSE),0)</f>
        <v>0</v>
      </c>
      <c r="H17" s="2">
        <f>Tabela161914[[#This Row],[Quantidade]]*Tabela161914[[#This Row],[Preço unitario]]</f>
        <v>0</v>
      </c>
      <c r="I17" s="8"/>
      <c r="K17" s="2">
        <f>IFERROR(IF(Tabela161914[[#This Row],[ID da venda]]=B18,0,VLOOKUP(Tabela161914[[#This Row],[Entrega]],cálculos!$A$4:$B$9,2,FALSE)),0)</f>
        <v>0</v>
      </c>
      <c r="L17" s="2">
        <f>Tabela161914[[#This Row],[Subtotal]]*(1-Tabela161914[[#This Row],[Desconto]])+Tabela161914[[#This Row],[Valor De Entrega]]</f>
        <v>0</v>
      </c>
      <c r="M17" s="2" t="str">
        <f>IF(Tabela161914[[#This Row],[ID da venda]]=B20,"",SUMIF(Tabela161914[ID da venda],Tabela161914[[#This Row],[ID da venda]],Tabela161914[Total] ))</f>
        <v/>
      </c>
    </row>
    <row r="18" spans="2:13" x14ac:dyDescent="0.25">
      <c r="C18" s="34"/>
      <c r="E18" t="str">
        <f>IFERROR(VLOOKUP(Tabela161914[[#This Row],[Produto]],cálculos!$K$4:$N$32,4,FALSE),"")</f>
        <v/>
      </c>
      <c r="G18" s="2">
        <f>IFERROR(VLOOKUP(Tabela161914[[#This Row],[Produto]],cálculos!$K$4:$N$32,3,FALSE),0)</f>
        <v>0</v>
      </c>
      <c r="H18" s="2">
        <f>Tabela161914[[#This Row],[Quantidade]]*Tabela161914[[#This Row],[Preço unitario]]</f>
        <v>0</v>
      </c>
      <c r="I18" s="8"/>
      <c r="K18" s="2">
        <f>IFERROR(IF(Tabela161914[[#This Row],[ID da venda]]=B19,0,VLOOKUP(Tabela161914[[#This Row],[Entrega]],cálculos!$A$4:$B$9,2,FALSE)),0)</f>
        <v>0</v>
      </c>
      <c r="L18" s="2">
        <f>Tabela161914[[#This Row],[Subtotal]]*(1-Tabela161914[[#This Row],[Desconto]])+Tabela161914[[#This Row],[Valor De Entrega]]</f>
        <v>0</v>
      </c>
      <c r="M18" s="2" t="str">
        <f>IF(Tabela161914[[#This Row],[ID da venda]]=B21,"",SUMIF(Tabela161914[ID da venda],Tabela161914[[#This Row],[ID da venda]],Tabela161914[Total] ))</f>
        <v/>
      </c>
    </row>
    <row r="19" spans="2:13" x14ac:dyDescent="0.25">
      <c r="C19" s="34"/>
      <c r="E19" t="str">
        <f>IFERROR(VLOOKUP(Tabela161914[[#This Row],[Produto]],cálculos!$K$4:$N$32,4,FALSE),"")</f>
        <v/>
      </c>
      <c r="G19" s="2">
        <f>IFERROR(VLOOKUP(Tabela161914[[#This Row],[Produto]],cálculos!$K$4:$N$32,3,FALSE),0)</f>
        <v>0</v>
      </c>
      <c r="H19" s="2">
        <f>Tabela161914[[#This Row],[Quantidade]]*Tabela161914[[#This Row],[Preço unitario]]</f>
        <v>0</v>
      </c>
      <c r="I19" s="8"/>
      <c r="K19" s="2">
        <f>IFERROR(IF(Tabela161914[[#This Row],[ID da venda]]=B20,0,VLOOKUP(Tabela161914[[#This Row],[Entrega]],cálculos!$A$4:$B$9,2,FALSE)),0)</f>
        <v>0</v>
      </c>
      <c r="L19" s="2">
        <f>Tabela161914[[#This Row],[Subtotal]]*(1-Tabela161914[[#This Row],[Desconto]])+Tabela161914[[#This Row],[Valor De Entrega]]</f>
        <v>0</v>
      </c>
      <c r="M19" s="2" t="str">
        <f>IF(Tabela161914[[#This Row],[ID da venda]]=B22,"",SUMIF(Tabela161914[ID da venda],Tabela161914[[#This Row],[ID da venda]],Tabela161914[Total] ))</f>
        <v/>
      </c>
    </row>
    <row r="20" spans="2:13" x14ac:dyDescent="0.25">
      <c r="C20" s="34"/>
      <c r="E20" t="str">
        <f>IFERROR(VLOOKUP(Tabela161914[[#This Row],[Produto]],cálculos!$K$4:$N$32,4,FALSE),"")</f>
        <v/>
      </c>
      <c r="G20" s="2">
        <f>IFERROR(VLOOKUP(Tabela161914[[#This Row],[Produto]],cálculos!$K$4:$N$32,3,FALSE),0)</f>
        <v>0</v>
      </c>
      <c r="H20" s="2">
        <f>Tabela161914[[#This Row],[Quantidade]]*Tabela161914[[#This Row],[Preço unitario]]</f>
        <v>0</v>
      </c>
      <c r="I20" s="8"/>
      <c r="K20" s="2">
        <f>IFERROR(IF(Tabela161914[[#This Row],[ID da venda]]=B21,0,VLOOKUP(Tabela161914[[#This Row],[Entrega]],cálculos!$A$4:$B$9,2,FALSE)),0)</f>
        <v>0</v>
      </c>
      <c r="L20" s="2">
        <f>Tabela161914[[#This Row],[Subtotal]]*(1-Tabela161914[[#This Row],[Desconto]])+Tabela161914[[#This Row],[Valor De Entrega]]</f>
        <v>0</v>
      </c>
      <c r="M20" s="2" t="str">
        <f>IF(Tabela161914[[#This Row],[ID da venda]]=B23,"",SUMIF(Tabela161914[ID da venda],Tabela161914[[#This Row],[ID da venda]],Tabela161914[Total] ))</f>
        <v/>
      </c>
    </row>
    <row r="21" spans="2:13" x14ac:dyDescent="0.25">
      <c r="C21" s="34"/>
      <c r="E21" t="str">
        <f>IFERROR(VLOOKUP(Tabela161914[[#This Row],[Produto]],cálculos!$K$4:$N$32,4,FALSE),"")</f>
        <v/>
      </c>
      <c r="G21" s="2">
        <f>IFERROR(VLOOKUP(Tabela161914[[#This Row],[Produto]],cálculos!$K$4:$N$32,3,FALSE),0)</f>
        <v>0</v>
      </c>
      <c r="H21" s="2">
        <f>Tabela161914[[#This Row],[Quantidade]]*Tabela161914[[#This Row],[Preço unitario]]</f>
        <v>0</v>
      </c>
      <c r="I21" s="8"/>
      <c r="K21" s="2">
        <f>IFERROR(IF(Tabela161914[[#This Row],[ID da venda]]=B22,0,VLOOKUP(Tabela161914[[#This Row],[Entrega]],cálculos!$A$4:$B$9,2,FALSE)),0)</f>
        <v>0</v>
      </c>
      <c r="L21" s="2">
        <f>Tabela161914[[#This Row],[Subtotal]]*(1-Tabela161914[[#This Row],[Desconto]])+Tabela161914[[#This Row],[Valor De Entrega]]</f>
        <v>0</v>
      </c>
      <c r="M21" s="2" t="str">
        <f>IF(Tabela161914[[#This Row],[ID da venda]]=B24,"",SUMIF(Tabela161914[ID da venda],Tabela161914[[#This Row],[ID da venda]],Tabela161914[Total] ))</f>
        <v/>
      </c>
    </row>
    <row r="22" spans="2:13" x14ac:dyDescent="0.25">
      <c r="C22" s="34"/>
      <c r="E22" t="str">
        <f>IFERROR(VLOOKUP(Tabela161914[[#This Row],[Produto]],cálculos!$K$4:$N$32,4,FALSE),"")</f>
        <v/>
      </c>
      <c r="G22" s="2">
        <f>IFERROR(VLOOKUP(Tabela161914[[#This Row],[Produto]],cálculos!$K$4:$N$32,3,FALSE),0)</f>
        <v>0</v>
      </c>
      <c r="H22" s="2">
        <f>Tabela161914[[#This Row],[Quantidade]]*Tabela161914[[#This Row],[Preço unitario]]</f>
        <v>0</v>
      </c>
      <c r="I22" s="8"/>
      <c r="K22" s="2">
        <f>IFERROR(IF(Tabela161914[[#This Row],[ID da venda]]=B23,0,VLOOKUP(Tabela161914[[#This Row],[Entrega]],cálculos!$A$4:$B$9,2,FALSE)),0)</f>
        <v>0</v>
      </c>
      <c r="L22" s="2">
        <f>Tabela161914[[#This Row],[Subtotal]]*(1-Tabela161914[[#This Row],[Desconto]])+Tabela161914[[#This Row],[Valor De Entrega]]</f>
        <v>0</v>
      </c>
      <c r="M22" s="2" t="str">
        <f>IF(Tabela161914[[#This Row],[ID da venda]]=B25,"",SUMIF(Tabela161914[ID da venda],Tabela161914[[#This Row],[ID da venda]],Tabela161914[Total] ))</f>
        <v/>
      </c>
    </row>
    <row r="23" spans="2:13" x14ac:dyDescent="0.25">
      <c r="C23" s="34"/>
      <c r="E23" t="str">
        <f>IFERROR(VLOOKUP(Tabela161914[[#This Row],[Produto]],cálculos!$K$4:$N$32,4,FALSE),"")</f>
        <v/>
      </c>
      <c r="G23" s="2">
        <f>IFERROR(VLOOKUP(Tabela161914[[#This Row],[Produto]],cálculos!$K$4:$N$32,3,FALSE),0)</f>
        <v>0</v>
      </c>
      <c r="H23" s="2">
        <f>Tabela161914[[#This Row],[Quantidade]]*Tabela161914[[#This Row],[Preço unitario]]</f>
        <v>0</v>
      </c>
      <c r="I23" s="8"/>
      <c r="K23" s="2">
        <f>IFERROR(IF(Tabela161914[[#This Row],[ID da venda]]=B24,0,VLOOKUP(Tabela161914[[#This Row],[Entrega]],cálculos!$A$4:$B$9,2,FALSE)),0)</f>
        <v>0</v>
      </c>
      <c r="L23" s="2">
        <f>Tabela161914[[#This Row],[Subtotal]]*(1-Tabela161914[[#This Row],[Desconto]])+Tabela161914[[#This Row],[Valor De Entrega]]</f>
        <v>0</v>
      </c>
      <c r="M23" s="2" t="str">
        <f>IF(Tabela161914[[#This Row],[ID da venda]]=B26,"",SUMIF(Tabela161914[ID da venda],Tabela161914[[#This Row],[ID da venda]],Tabela161914[Total] ))</f>
        <v/>
      </c>
    </row>
    <row r="24" spans="2:13" x14ac:dyDescent="0.25">
      <c r="C24" s="34"/>
      <c r="E24" t="str">
        <f>IFERROR(VLOOKUP(Tabela161914[[#This Row],[Produto]],cálculos!$K$4:$N$32,4,FALSE),"")</f>
        <v/>
      </c>
      <c r="G24" s="2">
        <f>IFERROR(VLOOKUP(Tabela161914[[#This Row],[Produto]],cálculos!$K$4:$N$32,3,FALSE),0)</f>
        <v>0</v>
      </c>
      <c r="H24" s="2">
        <f>Tabela161914[[#This Row],[Quantidade]]*Tabela161914[[#This Row],[Preço unitario]]</f>
        <v>0</v>
      </c>
      <c r="I24" s="8"/>
      <c r="K24" s="2">
        <f>IFERROR(IF(Tabela161914[[#This Row],[ID da venda]]=B25,0,VLOOKUP(Tabela161914[[#This Row],[Entrega]],cálculos!$A$4:$B$9,2,FALSE)),0)</f>
        <v>0</v>
      </c>
      <c r="L24" s="2">
        <f>Tabela161914[[#This Row],[Subtotal]]*(1-Tabela161914[[#This Row],[Desconto]])+Tabela161914[[#This Row],[Valor De Entrega]]</f>
        <v>0</v>
      </c>
      <c r="M24" s="2" t="str">
        <f>IF(Tabela161914[[#This Row],[ID da venda]]=B27,"",SUMIF(Tabela161914[ID da venda],Tabela161914[[#This Row],[ID da venda]],Tabela161914[Total] ))</f>
        <v/>
      </c>
    </row>
    <row r="25" spans="2:13" x14ac:dyDescent="0.25">
      <c r="C25" s="34"/>
      <c r="E25" t="str">
        <f>IFERROR(VLOOKUP(Tabela161914[[#This Row],[Produto]],cálculos!$K$4:$N$32,4,FALSE),"")</f>
        <v/>
      </c>
      <c r="G25" s="2">
        <f>IFERROR(VLOOKUP(Tabela161914[[#This Row],[Produto]],cálculos!$K$4:$N$32,3,FALSE),0)</f>
        <v>0</v>
      </c>
      <c r="H25" s="2">
        <f>Tabela161914[[#This Row],[Quantidade]]*Tabela161914[[#This Row],[Preço unitario]]</f>
        <v>0</v>
      </c>
      <c r="I25" s="8"/>
      <c r="K25" s="2">
        <f>IFERROR(IF(Tabela161914[[#This Row],[ID da venda]]=B26,0,VLOOKUP(Tabela161914[[#This Row],[Entrega]],cálculos!$A$4:$B$9,2,FALSE)),0)</f>
        <v>0</v>
      </c>
      <c r="L25" s="2">
        <f>Tabela161914[[#This Row],[Subtotal]]*(1-Tabela161914[[#This Row],[Desconto]])+Tabela161914[[#This Row],[Valor De Entrega]]</f>
        <v>0</v>
      </c>
      <c r="M25" s="2" t="str">
        <f>IF(Tabela161914[[#This Row],[ID da venda]]=B28,"",SUMIF(Tabela161914[ID da venda],Tabela161914[[#This Row],[ID da venda]],Tabela161914[Total] ))</f>
        <v/>
      </c>
    </row>
    <row r="26" spans="2:13" x14ac:dyDescent="0.25">
      <c r="C26" s="34"/>
      <c r="E26" t="str">
        <f>IFERROR(VLOOKUP(Tabela161914[[#This Row],[Produto]],cálculos!$K$4:$N$32,4,FALSE),"")</f>
        <v/>
      </c>
      <c r="G26" s="2">
        <f>IFERROR(VLOOKUP(Tabela161914[[#This Row],[Produto]],cálculos!$K$4:$N$32,3,FALSE),0)</f>
        <v>0</v>
      </c>
      <c r="H26" s="2">
        <f>Tabela161914[[#This Row],[Quantidade]]*Tabela161914[[#This Row],[Preço unitario]]</f>
        <v>0</v>
      </c>
      <c r="I26" s="8"/>
      <c r="K26" s="2">
        <f>IFERROR(IF(Tabela161914[[#This Row],[ID da venda]]=B27,0,VLOOKUP(Tabela161914[[#This Row],[Entrega]],cálculos!$A$4:$B$9,2,FALSE)),0)</f>
        <v>0</v>
      </c>
      <c r="L26" s="2">
        <f>Tabela161914[[#This Row],[Subtotal]]*(1-Tabela161914[[#This Row],[Desconto]])+Tabela161914[[#This Row],[Valor De Entrega]]</f>
        <v>0</v>
      </c>
      <c r="M26" s="2" t="str">
        <f>IF(Tabela161914[[#This Row],[ID da venda]]=B29,"",SUMIF(Tabela161914[ID da venda],Tabela161914[[#This Row],[ID da venda]],Tabela161914[Total] ))</f>
        <v/>
      </c>
    </row>
    <row r="27" spans="2:13" x14ac:dyDescent="0.25">
      <c r="C27" s="34"/>
      <c r="E27" s="35" t="str">
        <f>IFERROR(VLOOKUP(Tabela161914[[#This Row],[Produto]],cálculos!$K$4:$N$32,4,FALSE),"")</f>
        <v/>
      </c>
      <c r="G27" s="36">
        <f>IFERROR(VLOOKUP(Tabela161914[[#This Row],[Produto]],cálculos!$K$4:$N$32,3,FALSE),0)</f>
        <v>0</v>
      </c>
      <c r="H27" s="36">
        <f>Tabela161914[[#This Row],[Quantidade]]*Tabela161914[[#This Row],[Preço unitario]]</f>
        <v>0</v>
      </c>
      <c r="I27" s="8"/>
      <c r="K27" s="36">
        <f>IFERROR(IF(Tabela161914[[#This Row],[ID da venda]]=B28,0,VLOOKUP(Tabela161914[[#This Row],[Entrega]],cálculos!$A$4:$B$9,2,FALSE)),0)</f>
        <v>0</v>
      </c>
      <c r="L27" s="36">
        <f>Tabela161914[[#This Row],[Subtotal]]*(1-Tabela161914[[#This Row],[Desconto]])+Tabela161914[[#This Row],[Valor De Entrega]]</f>
        <v>0</v>
      </c>
      <c r="M27" s="36" t="str">
        <f>IF(Tabela161914[[#This Row],[ID da venda]]=B30,"",SUMIF(Tabela161914[ID da venda],Tabela161914[[#This Row],[ID da venda]],Tabela161914[Total] ))</f>
        <v/>
      </c>
    </row>
    <row r="28" spans="2:13" x14ac:dyDescent="0.25">
      <c r="C28" s="34"/>
      <c r="E28" s="35" t="str">
        <f>IFERROR(VLOOKUP(Tabela161914[[#This Row],[Produto]],cálculos!$K$4:$N$32,4,FALSE),"")</f>
        <v/>
      </c>
      <c r="G28" s="36">
        <f>IFERROR(VLOOKUP(Tabela161914[[#This Row],[Produto]],cálculos!$K$4:$N$32,3,FALSE),0)</f>
        <v>0</v>
      </c>
      <c r="H28" s="36">
        <f>Tabela161914[[#This Row],[Quantidade]]*Tabela161914[[#This Row],[Preço unitario]]</f>
        <v>0</v>
      </c>
      <c r="I28" s="8"/>
      <c r="K28" s="36">
        <f>IFERROR(IF(Tabela161914[[#This Row],[ID da venda]]=B29,0,VLOOKUP(Tabela161914[[#This Row],[Entrega]],cálculos!$A$4:$B$9,2,FALSE)),0)</f>
        <v>0</v>
      </c>
      <c r="L28" s="36">
        <f>Tabela161914[[#This Row],[Subtotal]]*(1-Tabela161914[[#This Row],[Desconto]])+Tabela161914[[#This Row],[Valor De Entrega]]</f>
        <v>0</v>
      </c>
      <c r="M28" s="36">
        <f>IF(Tabela161914[[#This Row],[ID da venda]]=B31,"",SUMIF(Tabela161914[ID da venda],Tabela161914[[#This Row],[ID da venda]],Tabela161914[Total] ))</f>
        <v>0</v>
      </c>
    </row>
    <row r="29" spans="2:13" x14ac:dyDescent="0.25">
      <c r="C29" s="34"/>
      <c r="E29" s="35" t="str">
        <f>IFERROR(VLOOKUP(Tabela161914[[#This Row],[Produto]],cálculos!$K$4:$N$32,4,FALSE),"")</f>
        <v/>
      </c>
      <c r="G29" s="36">
        <f>IFERROR(VLOOKUP(Tabela161914[[#This Row],[Produto]],cálculos!$K$4:$N$32,3,FALSE),0)</f>
        <v>0</v>
      </c>
      <c r="H29" s="36">
        <f>Tabela161914[[#This Row],[Quantidade]]*Tabela161914[[#This Row],[Preço unitario]]</f>
        <v>0</v>
      </c>
      <c r="I29" s="8"/>
      <c r="K29" s="36">
        <f>IFERROR(IF(Tabela161914[[#This Row],[ID da venda]]=B30,0,VLOOKUP(Tabela161914[[#This Row],[Entrega]],cálculos!$A$4:$B$9,2,FALSE)),0)</f>
        <v>0</v>
      </c>
      <c r="L29" s="36">
        <f>Tabela161914[[#This Row],[Subtotal]]*(1-Tabela161914[[#This Row],[Desconto]])+Tabela161914[[#This Row],[Valor De Entrega]]</f>
        <v>0</v>
      </c>
      <c r="M29" s="36">
        <f>IF(Tabela161914[[#This Row],[ID da venda]]=B32,"",SUMIF(Tabela161914[ID da venda],Tabela161914[[#This Row],[ID da venda]],Tabela161914[Total] ))</f>
        <v>0</v>
      </c>
    </row>
    <row r="31" spans="2:13" ht="19.5" thickBot="1" x14ac:dyDescent="0.3">
      <c r="B31" s="20" t="s">
        <v>118</v>
      </c>
      <c r="C31" s="20"/>
      <c r="D31" s="20"/>
      <c r="E31" s="21"/>
      <c r="F31" s="20"/>
      <c r="G31" s="20"/>
      <c r="H31" s="20"/>
      <c r="I31" s="21"/>
      <c r="J31" s="20"/>
      <c r="K31" s="20"/>
      <c r="L31" s="20"/>
      <c r="M31" s="21">
        <f>SUM(Tabela161914[Total])</f>
        <v>61.4</v>
      </c>
    </row>
    <row r="32" spans="2:13" ht="19.5" thickBot="1" x14ac:dyDescent="0.3">
      <c r="B32" s="31" t="s">
        <v>119</v>
      </c>
      <c r="C32" s="31"/>
      <c r="D32" s="31"/>
      <c r="E32" s="33"/>
      <c r="F32" s="31"/>
      <c r="G32" s="31"/>
      <c r="H32" s="31"/>
      <c r="I32" s="33"/>
      <c r="J32" s="31"/>
      <c r="K32" s="31"/>
      <c r="L32" s="31"/>
      <c r="M32" s="21">
        <f>SUM(Tabela161914[Valor De Entrega])</f>
        <v>6.5</v>
      </c>
    </row>
    <row r="33" spans="2:13" ht="19.5" thickTop="1" x14ac:dyDescent="0.3">
      <c r="B33" s="31" t="s">
        <v>119</v>
      </c>
      <c r="C33" s="31"/>
      <c r="D33" s="31"/>
      <c r="E33" s="33"/>
      <c r="F33" s="31"/>
      <c r="G33" s="31"/>
      <c r="H33" s="31"/>
      <c r="I33" s="33"/>
      <c r="J33" s="31"/>
      <c r="K33" s="31"/>
      <c r="L33" s="31"/>
      <c r="M33" s="60" cm="1">
        <f t="array" ref="M33">SUM(IF(FREQUENCY(Tabela161914[ID da venda],Tabela161914[ID da venda])&gt;0,1,0))</f>
        <v>1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A145D00-84D2-4CAC-93A5-CD2A37603AA5}">
          <x14:formula1>
            <xm:f>cálculos!$A$3:$A$7</xm:f>
          </x14:formula1>
          <xm:sqref>J4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7010C-F4BE-49AD-90E1-F9B2066ABBB2}">
  <dimension ref="A3:I28"/>
  <sheetViews>
    <sheetView showGridLines="0" workbookViewId="0">
      <selection activeCell="E8" sqref="E8"/>
    </sheetView>
  </sheetViews>
  <sheetFormatPr defaultRowHeight="15" x14ac:dyDescent="0.25"/>
  <cols>
    <col min="1" max="1" width="19.42578125" bestFit="1" customWidth="1"/>
    <col min="2" max="2" width="19.7109375" bestFit="1" customWidth="1"/>
    <col min="3" max="3" width="13.5703125" bestFit="1" customWidth="1"/>
    <col min="6" max="6" width="19.42578125" bestFit="1" customWidth="1"/>
    <col min="7" max="7" width="19.7109375" bestFit="1" customWidth="1"/>
    <col min="8" max="8" width="24.140625" bestFit="1" customWidth="1"/>
    <col min="9" max="9" width="13.5703125" bestFit="1" customWidth="1"/>
  </cols>
  <sheetData>
    <row r="3" spans="1:9" x14ac:dyDescent="0.25">
      <c r="A3" s="77" t="s">
        <v>153</v>
      </c>
      <c r="B3" t="s">
        <v>157</v>
      </c>
      <c r="C3" t="s">
        <v>155</v>
      </c>
    </row>
    <row r="4" spans="1:9" x14ac:dyDescent="0.25">
      <c r="A4" s="78">
        <v>42187</v>
      </c>
      <c r="B4" s="35">
        <v>23</v>
      </c>
      <c r="C4" s="46">
        <v>74.25</v>
      </c>
      <c r="F4" s="77" t="s">
        <v>153</v>
      </c>
      <c r="G4" t="s">
        <v>157</v>
      </c>
      <c r="H4" t="s">
        <v>156</v>
      </c>
      <c r="I4" t="s">
        <v>155</v>
      </c>
    </row>
    <row r="5" spans="1:9" x14ac:dyDescent="0.25">
      <c r="A5" s="79" t="s">
        <v>20</v>
      </c>
      <c r="B5" s="35">
        <v>3</v>
      </c>
      <c r="C5" s="46">
        <v>15.47</v>
      </c>
      <c r="F5" s="80" t="s">
        <v>113</v>
      </c>
      <c r="G5" s="35">
        <v>79.5</v>
      </c>
      <c r="H5" s="46">
        <v>0</v>
      </c>
      <c r="I5" s="46">
        <v>324.20000000000005</v>
      </c>
    </row>
    <row r="6" spans="1:9" x14ac:dyDescent="0.25">
      <c r="A6" s="79" t="s">
        <v>29</v>
      </c>
      <c r="B6" s="35">
        <v>3</v>
      </c>
      <c r="C6" s="46">
        <v>3.4499999999999997</v>
      </c>
      <c r="F6" s="79" t="s">
        <v>29</v>
      </c>
      <c r="G6" s="35">
        <v>3</v>
      </c>
      <c r="H6" s="46">
        <v>0</v>
      </c>
      <c r="I6" s="46">
        <v>3.4499999999999997</v>
      </c>
    </row>
    <row r="7" spans="1:9" x14ac:dyDescent="0.25">
      <c r="A7" s="79" t="s">
        <v>17</v>
      </c>
      <c r="B7" s="35">
        <v>7</v>
      </c>
      <c r="C7" s="46">
        <v>23.930000000000003</v>
      </c>
      <c r="F7" s="79" t="s">
        <v>17</v>
      </c>
      <c r="G7" s="35">
        <v>2</v>
      </c>
      <c r="H7" s="46">
        <v>0</v>
      </c>
      <c r="I7" s="46">
        <v>4.9800000000000004</v>
      </c>
    </row>
    <row r="8" spans="1:9" x14ac:dyDescent="0.25">
      <c r="A8" s="79" t="s">
        <v>34</v>
      </c>
      <c r="B8" s="35">
        <v>4</v>
      </c>
      <c r="C8" s="46">
        <v>14.46</v>
      </c>
      <c r="F8" s="79" t="s">
        <v>34</v>
      </c>
      <c r="G8" s="35">
        <v>1</v>
      </c>
      <c r="H8" s="46">
        <v>0</v>
      </c>
      <c r="I8" s="46">
        <v>1.99</v>
      </c>
    </row>
    <row r="9" spans="1:9" x14ac:dyDescent="0.25">
      <c r="A9" s="79" t="s">
        <v>67</v>
      </c>
      <c r="B9" s="35">
        <v>6</v>
      </c>
      <c r="C9" s="46">
        <v>16.939999999999998</v>
      </c>
      <c r="F9" s="79" t="s">
        <v>33</v>
      </c>
      <c r="G9" s="35">
        <v>2</v>
      </c>
      <c r="H9" s="46">
        <v>0</v>
      </c>
      <c r="I9" s="46">
        <v>1.58</v>
      </c>
    </row>
    <row r="10" spans="1:9" x14ac:dyDescent="0.25">
      <c r="A10" s="78">
        <v>42188</v>
      </c>
      <c r="B10" s="35">
        <v>72.5</v>
      </c>
      <c r="C10" s="46">
        <v>302.56</v>
      </c>
      <c r="F10" s="79" t="s">
        <v>21</v>
      </c>
      <c r="G10" s="35">
        <v>6</v>
      </c>
      <c r="H10" s="46">
        <v>0</v>
      </c>
      <c r="I10" s="46">
        <v>95.4</v>
      </c>
    </row>
    <row r="11" spans="1:9" x14ac:dyDescent="0.25">
      <c r="A11" s="79" t="s">
        <v>33</v>
      </c>
      <c r="B11" s="35">
        <v>2</v>
      </c>
      <c r="C11" s="46">
        <v>1.58</v>
      </c>
      <c r="F11" s="79" t="s">
        <v>30</v>
      </c>
      <c r="G11" s="35">
        <v>43</v>
      </c>
      <c r="H11" s="46">
        <v>0</v>
      </c>
      <c r="I11" s="46">
        <v>91.97999999999999</v>
      </c>
    </row>
    <row r="12" spans="1:9" x14ac:dyDescent="0.25">
      <c r="A12" s="79" t="s">
        <v>21</v>
      </c>
      <c r="B12" s="35">
        <v>6</v>
      </c>
      <c r="C12" s="46">
        <v>95.4</v>
      </c>
      <c r="F12" s="79" t="s">
        <v>18</v>
      </c>
      <c r="G12" s="35">
        <v>10</v>
      </c>
      <c r="H12" s="46">
        <v>0</v>
      </c>
      <c r="I12" s="46">
        <v>42.8</v>
      </c>
    </row>
    <row r="13" spans="1:9" x14ac:dyDescent="0.25">
      <c r="A13" s="79" t="s">
        <v>30</v>
      </c>
      <c r="B13" s="35">
        <v>52</v>
      </c>
      <c r="C13" s="46">
        <v>115.99999999999999</v>
      </c>
      <c r="F13" s="79" t="s">
        <v>72</v>
      </c>
      <c r="G13" s="35">
        <v>5</v>
      </c>
      <c r="H13" s="46">
        <v>0</v>
      </c>
      <c r="I13" s="46">
        <v>14.450000000000001</v>
      </c>
    </row>
    <row r="14" spans="1:9" x14ac:dyDescent="0.25">
      <c r="A14" s="79" t="s">
        <v>18</v>
      </c>
      <c r="B14" s="35">
        <v>4</v>
      </c>
      <c r="C14" s="46">
        <v>17.12</v>
      </c>
      <c r="F14" s="79" t="s">
        <v>24</v>
      </c>
      <c r="G14" s="35">
        <v>1.5</v>
      </c>
      <c r="H14" s="46">
        <v>0</v>
      </c>
      <c r="I14" s="46">
        <v>38.849999999999994</v>
      </c>
    </row>
    <row r="15" spans="1:9" x14ac:dyDescent="0.25">
      <c r="A15" s="79" t="s">
        <v>72</v>
      </c>
      <c r="B15" s="35">
        <v>5</v>
      </c>
      <c r="C15" s="46">
        <v>14.450000000000001</v>
      </c>
      <c r="F15" s="79" t="s">
        <v>73</v>
      </c>
      <c r="G15" s="35">
        <v>4</v>
      </c>
      <c r="H15" s="46">
        <v>0</v>
      </c>
      <c r="I15" s="46">
        <v>9.56</v>
      </c>
    </row>
    <row r="16" spans="1:9" x14ac:dyDescent="0.25">
      <c r="A16" s="79" t="s">
        <v>24</v>
      </c>
      <c r="B16" s="35">
        <v>1.5</v>
      </c>
      <c r="C16" s="46">
        <v>38.849999999999994</v>
      </c>
      <c r="F16" s="79" t="s">
        <v>28</v>
      </c>
      <c r="G16" s="35">
        <v>2</v>
      </c>
      <c r="H16" s="46">
        <v>0</v>
      </c>
      <c r="I16" s="46">
        <v>19.16</v>
      </c>
    </row>
    <row r="17" spans="1:9" x14ac:dyDescent="0.25">
      <c r="A17" s="79" t="s">
        <v>28</v>
      </c>
      <c r="B17" s="35">
        <v>2</v>
      </c>
      <c r="C17" s="46">
        <v>19.16</v>
      </c>
      <c r="F17" s="80" t="s">
        <v>114</v>
      </c>
      <c r="G17" s="35">
        <v>8</v>
      </c>
      <c r="H17" s="46">
        <v>13</v>
      </c>
      <c r="I17" s="46">
        <v>31.42</v>
      </c>
    </row>
    <row r="18" spans="1:9" x14ac:dyDescent="0.25">
      <c r="A18" s="78">
        <v>42189</v>
      </c>
      <c r="B18" s="35">
        <v>21</v>
      </c>
      <c r="C18" s="46">
        <v>59.33</v>
      </c>
      <c r="F18" s="79" t="s">
        <v>17</v>
      </c>
      <c r="G18" s="35">
        <v>5</v>
      </c>
      <c r="H18" s="46">
        <v>6.5</v>
      </c>
      <c r="I18" s="46">
        <v>18.950000000000003</v>
      </c>
    </row>
    <row r="19" spans="1:9" x14ac:dyDescent="0.25">
      <c r="A19" s="79" t="s">
        <v>30</v>
      </c>
      <c r="B19" s="35">
        <v>11</v>
      </c>
      <c r="C19" s="46">
        <v>24.09</v>
      </c>
      <c r="F19" s="79" t="s">
        <v>34</v>
      </c>
      <c r="G19" s="35">
        <v>3</v>
      </c>
      <c r="H19" s="46">
        <v>6.5</v>
      </c>
      <c r="I19" s="46">
        <v>12.47</v>
      </c>
    </row>
    <row r="20" spans="1:9" x14ac:dyDescent="0.25">
      <c r="A20" s="79" t="s">
        <v>18</v>
      </c>
      <c r="B20" s="35">
        <v>6</v>
      </c>
      <c r="C20" s="46">
        <v>25.68</v>
      </c>
      <c r="F20" s="80" t="s">
        <v>115</v>
      </c>
      <c r="G20" s="35">
        <v>6</v>
      </c>
      <c r="H20" s="46">
        <v>8</v>
      </c>
      <c r="I20" s="46">
        <v>16.939999999999998</v>
      </c>
    </row>
    <row r="21" spans="1:9" x14ac:dyDescent="0.25">
      <c r="A21" s="79" t="s">
        <v>73</v>
      </c>
      <c r="B21" s="35">
        <v>4</v>
      </c>
      <c r="C21" s="46">
        <v>9.56</v>
      </c>
      <c r="F21" s="79" t="s">
        <v>67</v>
      </c>
      <c r="G21" s="35">
        <v>6</v>
      </c>
      <c r="H21" s="46">
        <v>8</v>
      </c>
      <c r="I21" s="46">
        <v>16.939999999999998</v>
      </c>
    </row>
    <row r="22" spans="1:9" x14ac:dyDescent="0.25">
      <c r="A22" s="78">
        <v>42190</v>
      </c>
      <c r="B22" s="35">
        <v>45</v>
      </c>
      <c r="C22" s="46">
        <v>219.77199999999999</v>
      </c>
      <c r="F22" s="80" t="s">
        <v>116</v>
      </c>
      <c r="G22" s="35">
        <v>68</v>
      </c>
      <c r="H22" s="46">
        <v>19.5</v>
      </c>
      <c r="I22" s="46">
        <v>283.35199999999998</v>
      </c>
    </row>
    <row r="23" spans="1:9" x14ac:dyDescent="0.25">
      <c r="A23" s="79" t="s">
        <v>29</v>
      </c>
      <c r="B23" s="35">
        <v>10</v>
      </c>
      <c r="C23" s="46">
        <v>11.5</v>
      </c>
      <c r="F23" s="79" t="s">
        <v>20</v>
      </c>
      <c r="G23" s="35">
        <v>3</v>
      </c>
      <c r="H23" s="46">
        <v>6.5</v>
      </c>
      <c r="I23" s="46">
        <v>15.47</v>
      </c>
    </row>
    <row r="24" spans="1:9" x14ac:dyDescent="0.25">
      <c r="A24" s="79" t="s">
        <v>33</v>
      </c>
      <c r="B24" s="35">
        <v>1</v>
      </c>
      <c r="C24" s="46">
        <v>0.79</v>
      </c>
      <c r="F24" s="79" t="s">
        <v>29</v>
      </c>
      <c r="G24" s="35">
        <v>10</v>
      </c>
      <c r="H24" s="46">
        <v>0</v>
      </c>
      <c r="I24" s="46">
        <v>11.5</v>
      </c>
    </row>
    <row r="25" spans="1:9" x14ac:dyDescent="0.25">
      <c r="A25" s="79" t="s">
        <v>21</v>
      </c>
      <c r="B25" s="35">
        <v>10</v>
      </c>
      <c r="C25" s="46">
        <v>151.04999999999998</v>
      </c>
      <c r="F25" s="79" t="s">
        <v>33</v>
      </c>
      <c r="G25" s="35">
        <v>1</v>
      </c>
      <c r="H25" s="46">
        <v>0</v>
      </c>
      <c r="I25" s="46">
        <v>0.79</v>
      </c>
    </row>
    <row r="26" spans="1:9" x14ac:dyDescent="0.25">
      <c r="A26" s="79" t="s">
        <v>30</v>
      </c>
      <c r="B26" s="35">
        <v>24</v>
      </c>
      <c r="C26" s="46">
        <v>56.432000000000002</v>
      </c>
      <c r="F26" s="79" t="s">
        <v>21</v>
      </c>
      <c r="G26" s="35">
        <v>10</v>
      </c>
      <c r="H26" s="46">
        <v>0</v>
      </c>
      <c r="I26" s="46">
        <v>151.04999999999998</v>
      </c>
    </row>
    <row r="27" spans="1:9" x14ac:dyDescent="0.25">
      <c r="A27" s="78" t="s">
        <v>154</v>
      </c>
      <c r="B27" s="35">
        <v>161.5</v>
      </c>
      <c r="C27" s="46">
        <v>655.91200000000003</v>
      </c>
      <c r="F27" s="79" t="s">
        <v>30</v>
      </c>
      <c r="G27" s="35">
        <v>44</v>
      </c>
      <c r="H27" s="46">
        <v>13</v>
      </c>
      <c r="I27" s="46">
        <v>104.542</v>
      </c>
    </row>
    <row r="28" spans="1:9" x14ac:dyDescent="0.25">
      <c r="F28" s="80" t="s">
        <v>154</v>
      </c>
      <c r="G28" s="35">
        <v>161.5</v>
      </c>
      <c r="H28" s="46">
        <v>40.5</v>
      </c>
      <c r="I28" s="46">
        <v>655.91200000000015</v>
      </c>
    </row>
  </sheetData>
  <pageMargins left="0.511811024" right="0.511811024" top="0.78740157499999996" bottom="0.78740157499999996" header="0.31496062000000002" footer="0.3149606200000000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709AC-8839-4368-A548-9407D0DB0E2C}">
  <dimension ref="A2:I9"/>
  <sheetViews>
    <sheetView topLeftCell="A3" workbookViewId="0">
      <selection activeCell="H37" sqref="H37"/>
    </sheetView>
  </sheetViews>
  <sheetFormatPr defaultRowHeight="15" x14ac:dyDescent="0.25"/>
  <cols>
    <col min="1" max="1" width="18" bestFit="1" customWidth="1"/>
    <col min="2" max="2" width="19.7109375" bestFit="1" customWidth="1"/>
    <col min="3" max="3" width="13.5703125" bestFit="1" customWidth="1"/>
    <col min="6" max="6" width="18" bestFit="1" customWidth="1"/>
    <col min="7" max="7" width="19.7109375" bestFit="1" customWidth="1"/>
    <col min="8" max="8" width="24.140625" bestFit="1" customWidth="1"/>
    <col min="9" max="9" width="13.5703125" bestFit="1" customWidth="1"/>
  </cols>
  <sheetData>
    <row r="2" spans="1:9" x14ac:dyDescent="0.25">
      <c r="G2" s="37"/>
    </row>
    <row r="3" spans="1:9" x14ac:dyDescent="0.25">
      <c r="A3" s="77" t="s">
        <v>153</v>
      </c>
      <c r="B3" t="s">
        <v>157</v>
      </c>
      <c r="C3" t="s">
        <v>155</v>
      </c>
    </row>
    <row r="4" spans="1:9" x14ac:dyDescent="0.25">
      <c r="A4" s="78">
        <v>44822</v>
      </c>
      <c r="B4" s="35">
        <v>1</v>
      </c>
      <c r="C4" s="46">
        <v>61.4</v>
      </c>
      <c r="F4" s="77" t="s">
        <v>153</v>
      </c>
      <c r="G4" t="s">
        <v>157</v>
      </c>
      <c r="H4" t="s">
        <v>156</v>
      </c>
      <c r="I4" t="s">
        <v>155</v>
      </c>
    </row>
    <row r="5" spans="1:9" x14ac:dyDescent="0.25">
      <c r="A5" s="79" t="s">
        <v>158</v>
      </c>
      <c r="B5" s="35"/>
      <c r="C5" s="46">
        <v>0</v>
      </c>
      <c r="F5" s="80" t="s">
        <v>133</v>
      </c>
      <c r="G5" s="35">
        <v>1</v>
      </c>
      <c r="H5" s="46">
        <v>6.5</v>
      </c>
      <c r="I5" s="46">
        <v>61.4</v>
      </c>
    </row>
    <row r="6" spans="1:9" x14ac:dyDescent="0.25">
      <c r="A6" s="79" t="s">
        <v>31</v>
      </c>
      <c r="B6" s="35">
        <v>1</v>
      </c>
      <c r="C6" s="46">
        <v>61.4</v>
      </c>
      <c r="F6" s="79" t="s">
        <v>31</v>
      </c>
      <c r="G6" s="35">
        <v>1</v>
      </c>
      <c r="H6" s="46">
        <v>6.5</v>
      </c>
      <c r="I6" s="46">
        <v>61.4</v>
      </c>
    </row>
    <row r="7" spans="1:9" x14ac:dyDescent="0.25">
      <c r="A7" s="78" t="s">
        <v>158</v>
      </c>
      <c r="B7" s="35"/>
      <c r="C7" s="46">
        <v>0</v>
      </c>
      <c r="F7" s="80" t="s">
        <v>158</v>
      </c>
      <c r="G7" s="35"/>
      <c r="H7" s="46">
        <v>0</v>
      </c>
      <c r="I7" s="46">
        <v>0</v>
      </c>
    </row>
    <row r="8" spans="1:9" x14ac:dyDescent="0.25">
      <c r="A8" s="79" t="s">
        <v>158</v>
      </c>
      <c r="B8" s="35"/>
      <c r="C8" s="46">
        <v>0</v>
      </c>
      <c r="F8" s="79" t="s">
        <v>158</v>
      </c>
      <c r="G8" s="35"/>
      <c r="H8" s="46">
        <v>0</v>
      </c>
      <c r="I8" s="46">
        <v>0</v>
      </c>
    </row>
    <row r="9" spans="1:9" x14ac:dyDescent="0.25">
      <c r="A9" s="78" t="s">
        <v>154</v>
      </c>
      <c r="B9" s="35">
        <v>1</v>
      </c>
      <c r="C9" s="46">
        <v>61.4</v>
      </c>
      <c r="F9" s="80" t="s">
        <v>154</v>
      </c>
      <c r="G9" s="35">
        <v>1</v>
      </c>
      <c r="H9" s="46">
        <v>6.5</v>
      </c>
      <c r="I9" s="46">
        <v>61.4</v>
      </c>
    </row>
  </sheetData>
  <pageMargins left="0.511811024" right="0.511811024" top="0.78740157499999996" bottom="0.78740157499999996" header="0.31496062000000002" footer="0.3149606200000000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ilha9"/>
  <dimension ref="B1:M30"/>
  <sheetViews>
    <sheetView showGridLines="0" workbookViewId="0">
      <selection activeCell="K35" sqref="K35"/>
    </sheetView>
  </sheetViews>
  <sheetFormatPr defaultRowHeight="15" x14ac:dyDescent="0.25"/>
  <cols>
    <col min="1" max="1" width="15" customWidth="1"/>
    <col min="2" max="2" width="30.5703125" bestFit="1" customWidth="1"/>
    <col min="3" max="3" width="10.7109375" bestFit="1" customWidth="1"/>
    <col min="4" max="4" width="10.28515625" customWidth="1"/>
    <col min="5" max="5" width="9.85546875" customWidth="1"/>
    <col min="6" max="6" width="13.5703125" customWidth="1"/>
    <col min="7" max="7" width="15.5703125" customWidth="1"/>
    <col min="8" max="8" width="10.5703125" customWidth="1"/>
    <col min="9" max="9" width="11.42578125" customWidth="1"/>
    <col min="10" max="10" width="9.85546875" customWidth="1"/>
    <col min="11" max="11" width="17.85546875" customWidth="1"/>
    <col min="12" max="12" width="7.5703125" customWidth="1"/>
    <col min="13" max="13" width="20.28515625" customWidth="1"/>
  </cols>
  <sheetData>
    <row r="1" spans="2:13" ht="16.5" customHeight="1" x14ac:dyDescent="0.25">
      <c r="E1" s="25"/>
    </row>
    <row r="2" spans="2:13" s="3" customFormat="1" ht="23.25" x14ac:dyDescent="0.25">
      <c r="B2" s="26" t="s">
        <v>122</v>
      </c>
    </row>
    <row r="4" spans="2:13" x14ac:dyDescent="0.25">
      <c r="B4" t="s">
        <v>103</v>
      </c>
      <c r="C4" t="s">
        <v>42</v>
      </c>
      <c r="D4" t="s">
        <v>98</v>
      </c>
      <c r="E4" t="s">
        <v>56</v>
      </c>
      <c r="F4" t="s">
        <v>57</v>
      </c>
      <c r="G4" t="s">
        <v>104</v>
      </c>
      <c r="H4" t="s">
        <v>105</v>
      </c>
      <c r="I4" t="s">
        <v>59</v>
      </c>
      <c r="J4" t="s">
        <v>106</v>
      </c>
      <c r="K4" t="s">
        <v>107</v>
      </c>
      <c r="L4" t="s">
        <v>85</v>
      </c>
      <c r="M4" t="s">
        <v>108</v>
      </c>
    </row>
    <row r="5" spans="2:13" x14ac:dyDescent="0.25">
      <c r="C5" s="6"/>
      <c r="G5" s="2">
        <f>IFERROR(VLOOKUP(Tabela161916[[#This Row],[Produto]],cálculos!$K$4:$N$32,3,FALSE),0)</f>
        <v>0</v>
      </c>
      <c r="H5" s="2">
        <f>Tabela161916[[#This Row],[Quantidade]]*Tabela161916[[#This Row],[Preço unitario]]</f>
        <v>0</v>
      </c>
      <c r="I5" s="8"/>
      <c r="K5" s="2">
        <f>IFERROR(VLOOKUP(Tabela161916[[#This Row],[Entrega]],cálculos!$A$4:$B$9,2,FALSE),0)</f>
        <v>0</v>
      </c>
      <c r="L5" s="2">
        <f>Tabela161916[[#This Row],[Subtotal]]*(1-Tabela161916[[#This Row],[Desconto]])+Tabela161916[[#This Row],[Valor De Entrega]]</f>
        <v>0</v>
      </c>
      <c r="M5" s="2" t="str">
        <f>IF(Tabela161916[[#This Row],[ID da venda]]=B8,"",SUMIF(Tabela161916[ID da venda],Tabela161916[[#This Row],[ID da venda]],Tabela161916[Total] ))</f>
        <v/>
      </c>
    </row>
    <row r="6" spans="2:13" x14ac:dyDescent="0.25">
      <c r="C6" s="6"/>
      <c r="G6" s="2">
        <f>IFERROR(VLOOKUP(Tabela161916[[#This Row],[Produto]],cálculos!$K$4:$N$32,3,FALSE),0)</f>
        <v>0</v>
      </c>
      <c r="H6" s="2">
        <f>Tabela161916[[#This Row],[Quantidade]]*Tabela161916[[#This Row],[Preço unitario]]</f>
        <v>0</v>
      </c>
      <c r="I6" s="8"/>
      <c r="K6" s="2">
        <f>IFERROR(VLOOKUP(Tabela161916[[#This Row],[Entrega]],cálculos!$A$4:$B$9,2,FALSE),0)</f>
        <v>0</v>
      </c>
      <c r="L6" s="2">
        <f>Tabela161916[[#This Row],[Subtotal]]*(1-Tabela161916[[#This Row],[Desconto]])+Tabela161916[[#This Row],[Valor De Entrega]]</f>
        <v>0</v>
      </c>
      <c r="M6" s="2" t="str">
        <f>IF(Tabela161916[[#This Row],[ID da venda]]=B7,"",SUMIF(Tabela161916[ID da venda],Tabela161916[[#This Row],[ID da venda]],Tabela161916[Total] ))</f>
        <v/>
      </c>
    </row>
    <row r="7" spans="2:13" x14ac:dyDescent="0.25">
      <c r="C7" s="6"/>
      <c r="G7" s="2">
        <f>IFERROR(VLOOKUP(Tabela161916[[#This Row],[Produto]],cálculos!$K$4:$N$32,3,FALSE),0)</f>
        <v>0</v>
      </c>
      <c r="H7" s="2">
        <f>Tabela161916[[#This Row],[Quantidade]]*Tabela161916[[#This Row],[Preço unitario]]</f>
        <v>0</v>
      </c>
      <c r="I7" s="8"/>
      <c r="K7" s="2">
        <f>IFERROR(VLOOKUP(Tabela161916[[#This Row],[Entrega]],cálculos!$A$4:$B$9,2,FALSE),0)</f>
        <v>0</v>
      </c>
      <c r="L7" s="2">
        <f>Tabela161916[[#This Row],[Subtotal]]*(1-Tabela161916[[#This Row],[Desconto]])+Tabela161916[[#This Row],[Valor De Entrega]]</f>
        <v>0</v>
      </c>
      <c r="M7" s="2" t="str">
        <f>IF(Tabela161916[[#This Row],[ID da venda]]=B5,"",SUMIF(Tabela161916[ID da venda],Tabela161916[[#This Row],[ID da venda]],Tabela161916[Total] ))</f>
        <v/>
      </c>
    </row>
    <row r="8" spans="2:13" x14ac:dyDescent="0.25">
      <c r="C8" s="6"/>
      <c r="G8" s="2">
        <f>IFERROR(VLOOKUP(Tabela161916[[#This Row],[Produto]],cálculos!$K$4:$N$32,3,FALSE),0)</f>
        <v>0</v>
      </c>
      <c r="H8" s="2">
        <f>Tabela161916[[#This Row],[Quantidade]]*Tabela161916[[#This Row],[Preço unitario]]</f>
        <v>0</v>
      </c>
      <c r="I8" s="8"/>
      <c r="K8" s="2">
        <f>IFERROR(VLOOKUP(Tabela161916[[#This Row],[Entrega]],cálculos!$A$4:$B$9,2,FALSE),0)</f>
        <v>0</v>
      </c>
      <c r="L8" s="2">
        <f>Tabela161916[[#This Row],[Subtotal]]*(1-Tabela161916[[#This Row],[Desconto]])+Tabela161916[[#This Row],[Valor De Entrega]]</f>
        <v>0</v>
      </c>
      <c r="M8" s="2" t="str">
        <f>IF(Tabela161916[[#This Row],[ID da venda]]=B9,"",SUMIF(Tabela161916[ID da venda],Tabela161916[[#This Row],[ID da venda]],Tabela161916[Total] ))</f>
        <v/>
      </c>
    </row>
    <row r="9" spans="2:13" x14ac:dyDescent="0.25">
      <c r="C9" s="6"/>
      <c r="G9" s="2">
        <f>IFERROR(VLOOKUP(Tabela161916[[#This Row],[Produto]],cálculos!$K$4:$N$32,3,FALSE),0)</f>
        <v>0</v>
      </c>
      <c r="H9" s="2">
        <f>Tabela161916[[#This Row],[Quantidade]]*Tabela161916[[#This Row],[Preço unitario]]</f>
        <v>0</v>
      </c>
      <c r="I9" s="8"/>
      <c r="K9" s="2">
        <f>IFERROR(VLOOKUP(Tabela161916[[#This Row],[Entrega]],cálculos!$A$4:$B$9,2,FALSE),0)</f>
        <v>0</v>
      </c>
      <c r="L9" s="2">
        <f>Tabela161916[[#This Row],[Subtotal]]*(1-Tabela161916[[#This Row],[Desconto]])+Tabela161916[[#This Row],[Valor De Entrega]]</f>
        <v>0</v>
      </c>
      <c r="M9" s="2" t="str">
        <f>IF(Tabela161916[[#This Row],[ID da venda]]=B10,"",SUMIF(Tabela161916[ID da venda],Tabela161916[[#This Row],[ID da venda]],Tabela161916[Total] ))</f>
        <v/>
      </c>
    </row>
    <row r="10" spans="2:13" x14ac:dyDescent="0.25">
      <c r="C10" s="6"/>
      <c r="G10" s="2">
        <f>IFERROR(VLOOKUP(Tabela161916[[#This Row],[Produto]],cálculos!$K$4:$N$32,3,FALSE),0)</f>
        <v>0</v>
      </c>
      <c r="H10" s="2">
        <f>Tabela161916[[#This Row],[Quantidade]]*Tabela161916[[#This Row],[Preço unitario]]</f>
        <v>0</v>
      </c>
      <c r="I10" s="8"/>
      <c r="K10" s="2">
        <f>IFERROR(VLOOKUP(Tabela161916[[#This Row],[Entrega]],cálculos!$A$4:$B$9,2,FALSE),0)</f>
        <v>0</v>
      </c>
      <c r="L10" s="2">
        <f>Tabela161916[[#This Row],[Subtotal]]*(1-Tabela161916[[#This Row],[Desconto]])+Tabela161916[[#This Row],[Valor De Entrega]]</f>
        <v>0</v>
      </c>
      <c r="M10" s="2" t="str">
        <f>IF(Tabela161916[[#This Row],[ID da venda]]=B11,"",SUMIF(Tabela161916[ID da venda],Tabela161916[[#This Row],[ID da venda]],Tabela161916[Total] ))</f>
        <v/>
      </c>
    </row>
    <row r="11" spans="2:13" x14ac:dyDescent="0.25">
      <c r="C11" s="6"/>
      <c r="G11" s="2">
        <f>IFERROR(VLOOKUP(Tabela161916[[#This Row],[Produto]],cálculos!$K$4:$N$32,3,FALSE),0)</f>
        <v>0</v>
      </c>
      <c r="H11" s="2">
        <f>Tabela161916[[#This Row],[Quantidade]]*Tabela161916[[#This Row],[Preço unitario]]</f>
        <v>0</v>
      </c>
      <c r="I11" s="8"/>
      <c r="K11" s="2">
        <f>IFERROR(VLOOKUP(Tabela161916[[#This Row],[Entrega]],cálculos!$A$4:$B$9,2,FALSE),0)</f>
        <v>0</v>
      </c>
      <c r="L11" s="2">
        <f>Tabela161916[[#This Row],[Subtotal]]*(1-Tabela161916[[#This Row],[Desconto]])+Tabela161916[[#This Row],[Valor De Entrega]]</f>
        <v>0</v>
      </c>
      <c r="M11" s="2" t="str">
        <f>IF(Tabela161916[[#This Row],[ID da venda]]=B12,"",SUMIF(Tabela161916[ID da venda],Tabela161916[[#This Row],[ID da venda]],Tabela161916[Total] ))</f>
        <v/>
      </c>
    </row>
    <row r="12" spans="2:13" x14ac:dyDescent="0.25">
      <c r="C12" s="6"/>
      <c r="G12" s="2">
        <f>IFERROR(VLOOKUP(Tabela161916[[#This Row],[Produto]],cálculos!$K$4:$N$32,3,FALSE),0)</f>
        <v>0</v>
      </c>
      <c r="H12" s="2">
        <f>Tabela161916[[#This Row],[Quantidade]]*Tabela161916[[#This Row],[Preço unitario]]</f>
        <v>0</v>
      </c>
      <c r="I12" s="8"/>
      <c r="K12" s="2">
        <f>IFERROR(VLOOKUP(Tabela161916[[#This Row],[Entrega]],cálculos!$A$4:$B$9,2,FALSE),0)</f>
        <v>0</v>
      </c>
      <c r="L12" s="2">
        <f>Tabela161916[[#This Row],[Subtotal]]*(1-Tabela161916[[#This Row],[Desconto]])+Tabela161916[[#This Row],[Valor De Entrega]]</f>
        <v>0</v>
      </c>
      <c r="M12" s="2" t="str">
        <f>IF(Tabela161916[[#This Row],[ID da venda]]=B13,"",SUMIF(Tabela161916[ID da venda],Tabela161916[[#This Row],[ID da venda]],Tabela161916[Total] ))</f>
        <v/>
      </c>
    </row>
    <row r="13" spans="2:13" x14ac:dyDescent="0.25">
      <c r="C13" s="6"/>
      <c r="G13" s="2">
        <f>IFERROR(VLOOKUP(Tabela161916[[#This Row],[Produto]],cálculos!$K$4:$N$32,3,FALSE),0)</f>
        <v>0</v>
      </c>
      <c r="H13" s="2">
        <f>Tabela161916[[#This Row],[Quantidade]]*Tabela161916[[#This Row],[Preço unitario]]</f>
        <v>0</v>
      </c>
      <c r="I13" s="8"/>
      <c r="K13" s="2">
        <f>IFERROR(VLOOKUP(Tabela161916[[#This Row],[Entrega]],cálculos!$A$4:$B$9,2,FALSE),0)</f>
        <v>0</v>
      </c>
      <c r="L13" s="2">
        <f>Tabela161916[[#This Row],[Subtotal]]*(1-Tabela161916[[#This Row],[Desconto]])+Tabela161916[[#This Row],[Valor De Entrega]]</f>
        <v>0</v>
      </c>
      <c r="M13" s="2" t="str">
        <f>IF(Tabela161916[[#This Row],[ID da venda]]=B14,"",SUMIF(Tabela161916[ID da venda],Tabela161916[[#This Row],[ID da venda]],Tabela161916[Total] ))</f>
        <v/>
      </c>
    </row>
    <row r="14" spans="2:13" x14ac:dyDescent="0.25">
      <c r="C14" s="6"/>
      <c r="G14" s="2">
        <f>IFERROR(VLOOKUP(Tabela161916[[#This Row],[Produto]],cálculos!$K$4:$N$32,3,FALSE),0)</f>
        <v>0</v>
      </c>
      <c r="H14" s="2">
        <f>Tabela161916[[#This Row],[Quantidade]]*Tabela161916[[#This Row],[Preço unitario]]</f>
        <v>0</v>
      </c>
      <c r="I14" s="8"/>
      <c r="K14" s="2">
        <f>IFERROR(VLOOKUP(Tabela161916[[#This Row],[Entrega]],cálculos!$A$4:$B$9,2,FALSE),0)</f>
        <v>0</v>
      </c>
      <c r="L14" s="2">
        <f>Tabela161916[[#This Row],[Subtotal]]*(1-Tabela161916[[#This Row],[Desconto]])+Tabela161916[[#This Row],[Valor De Entrega]]</f>
        <v>0</v>
      </c>
      <c r="M14" s="2" t="str">
        <f>IF(Tabela161916[[#This Row],[ID da venda]]=B15,"",SUMIF(Tabela161916[ID da venda],Tabela161916[[#This Row],[ID da venda]],Tabela161916[Total] ))</f>
        <v/>
      </c>
    </row>
    <row r="15" spans="2:13" x14ac:dyDescent="0.25">
      <c r="C15" s="6"/>
      <c r="G15" s="2">
        <f>IFERROR(VLOOKUP(Tabela161916[[#This Row],[Produto]],cálculos!$K$4:$N$32,3,FALSE),0)</f>
        <v>0</v>
      </c>
      <c r="H15" s="2">
        <f>Tabela161916[[#This Row],[Quantidade]]*Tabela161916[[#This Row],[Preço unitario]]</f>
        <v>0</v>
      </c>
      <c r="I15" s="8"/>
      <c r="K15" s="2">
        <f>IFERROR(VLOOKUP(Tabela161916[[#This Row],[Entrega]],cálculos!$A$4:$B$9,2,FALSE),0)</f>
        <v>0</v>
      </c>
      <c r="L15" s="2">
        <f>Tabela161916[[#This Row],[Subtotal]]*(1-Tabela161916[[#This Row],[Desconto]])+Tabela161916[[#This Row],[Valor De Entrega]]</f>
        <v>0</v>
      </c>
      <c r="M15" s="2" t="str">
        <f>IF(Tabela161916[[#This Row],[ID da venda]]=B16,"",SUMIF(Tabela161916[ID da venda],Tabela161916[[#This Row],[ID da venda]],Tabela161916[Total] ))</f>
        <v/>
      </c>
    </row>
    <row r="16" spans="2:13" x14ac:dyDescent="0.25">
      <c r="C16" s="6"/>
      <c r="G16" s="2">
        <f>IFERROR(VLOOKUP(Tabela161916[[#This Row],[Produto]],cálculos!$K$4:$N$32,3,FALSE),0)</f>
        <v>0</v>
      </c>
      <c r="H16" s="2">
        <f>Tabela161916[[#This Row],[Quantidade]]*Tabela161916[[#This Row],[Preço unitario]]</f>
        <v>0</v>
      </c>
      <c r="I16" s="8"/>
      <c r="K16" s="2">
        <f>IFERROR(VLOOKUP(Tabela161916[[#This Row],[Entrega]],cálculos!$A$4:$B$9,2,FALSE),0)</f>
        <v>0</v>
      </c>
      <c r="L16" s="2">
        <f>Tabela161916[[#This Row],[Subtotal]]*(1-Tabela161916[[#This Row],[Desconto]])+Tabela161916[[#This Row],[Valor De Entrega]]</f>
        <v>0</v>
      </c>
      <c r="M16" s="2" t="str">
        <f>IF(Tabela161916[[#This Row],[ID da venda]]=B17,"",SUMIF(Tabela161916[ID da venda],Tabela161916[[#This Row],[ID da venda]],Tabela161916[Total] ))</f>
        <v/>
      </c>
    </row>
    <row r="17" spans="2:13" x14ac:dyDescent="0.25">
      <c r="C17" s="6"/>
      <c r="G17" s="2">
        <f>IFERROR(VLOOKUP(Tabela161916[[#This Row],[Produto]],cálculos!$K$4:$N$32,3,FALSE),0)</f>
        <v>0</v>
      </c>
      <c r="H17" s="2">
        <f>Tabela161916[[#This Row],[Quantidade]]*Tabela161916[[#This Row],[Preço unitario]]</f>
        <v>0</v>
      </c>
      <c r="I17" s="8"/>
      <c r="K17" s="2">
        <f>IFERROR(VLOOKUP(Tabela161916[[#This Row],[Entrega]],cálculos!$A$4:$B$9,2,FALSE),0)</f>
        <v>0</v>
      </c>
      <c r="L17" s="2">
        <f>Tabela161916[[#This Row],[Subtotal]]*(1-Tabela161916[[#This Row],[Desconto]])+Tabela161916[[#This Row],[Valor De Entrega]]</f>
        <v>0</v>
      </c>
      <c r="M17" s="2" t="str">
        <f>IF(Tabela161916[[#This Row],[ID da venda]]=B18,"",SUMIF(Tabela161916[ID da venda],Tabela161916[[#This Row],[ID da venda]],Tabela161916[Total] ))</f>
        <v/>
      </c>
    </row>
    <row r="18" spans="2:13" x14ac:dyDescent="0.25">
      <c r="C18" s="6"/>
      <c r="G18" s="2">
        <f>IFERROR(VLOOKUP(Tabela161916[[#This Row],[Produto]],cálculos!$K$4:$N$32,3,FALSE),0)</f>
        <v>0</v>
      </c>
      <c r="H18" s="2">
        <f>Tabela161916[[#This Row],[Quantidade]]*Tabela161916[[#This Row],[Preço unitario]]</f>
        <v>0</v>
      </c>
      <c r="I18" s="8"/>
      <c r="K18" s="2">
        <f>IFERROR(VLOOKUP(Tabela161916[[#This Row],[Entrega]],cálculos!$A$4:$B$9,2,FALSE),0)</f>
        <v>0</v>
      </c>
      <c r="L18" s="2">
        <f>Tabela161916[[#This Row],[Subtotal]]*(1-Tabela161916[[#This Row],[Desconto]])+Tabela161916[[#This Row],[Valor De Entrega]]</f>
        <v>0</v>
      </c>
      <c r="M18" s="2" t="str">
        <f>IF(Tabela161916[[#This Row],[ID da venda]]=B19,"",SUMIF(Tabela161916[ID da venda],Tabela161916[[#This Row],[ID da venda]],Tabela161916[Total] ))</f>
        <v/>
      </c>
    </row>
    <row r="19" spans="2:13" x14ac:dyDescent="0.25">
      <c r="C19" s="6"/>
      <c r="G19" s="2">
        <f>IFERROR(VLOOKUP(Tabela161916[[#This Row],[Produto]],cálculos!$K$4:$N$32,3,FALSE),0)</f>
        <v>0</v>
      </c>
      <c r="H19" s="2">
        <f>Tabela161916[[#This Row],[Quantidade]]*Tabela161916[[#This Row],[Preço unitario]]</f>
        <v>0</v>
      </c>
      <c r="I19" s="8"/>
      <c r="K19" s="2">
        <f>IFERROR(VLOOKUP(Tabela161916[[#This Row],[Entrega]],cálculos!$A$4:$B$9,2,FALSE),0)</f>
        <v>0</v>
      </c>
      <c r="L19" s="2">
        <f>Tabela161916[[#This Row],[Subtotal]]*(1-Tabela161916[[#This Row],[Desconto]])+Tabela161916[[#This Row],[Valor De Entrega]]</f>
        <v>0</v>
      </c>
      <c r="M19" s="2" t="str">
        <f>IF(Tabela161916[[#This Row],[ID da venda]]=B20,"",SUMIF(Tabela161916[ID da venda],Tabela161916[[#This Row],[ID da venda]],Tabela161916[Total] ))</f>
        <v/>
      </c>
    </row>
    <row r="20" spans="2:13" x14ac:dyDescent="0.25">
      <c r="C20" s="6"/>
      <c r="G20" s="2">
        <f>IFERROR(VLOOKUP(Tabela161916[[#This Row],[Produto]],cálculos!$K$4:$N$32,3,FALSE),0)</f>
        <v>0</v>
      </c>
      <c r="H20" s="2">
        <f>Tabela161916[[#This Row],[Quantidade]]*Tabela161916[[#This Row],[Preço unitario]]</f>
        <v>0</v>
      </c>
      <c r="I20" s="8"/>
      <c r="K20" s="2">
        <f>IFERROR(VLOOKUP(Tabela161916[[#This Row],[Entrega]],cálculos!$A$4:$B$9,2,FALSE),0)</f>
        <v>0</v>
      </c>
      <c r="L20" s="2">
        <f>Tabela161916[[#This Row],[Subtotal]]*(1-Tabela161916[[#This Row],[Desconto]])+Tabela161916[[#This Row],[Valor De Entrega]]</f>
        <v>0</v>
      </c>
      <c r="M20" s="2" t="str">
        <f>IF(Tabela161916[[#This Row],[ID da venda]]=B21,"",SUMIF(Tabela161916[ID da venda],Tabela161916[[#This Row],[ID da venda]],Tabela161916[Total] ))</f>
        <v/>
      </c>
    </row>
    <row r="21" spans="2:13" x14ac:dyDescent="0.25">
      <c r="C21" s="6"/>
      <c r="G21" s="2">
        <f>IFERROR(VLOOKUP(Tabela161916[[#This Row],[Produto]],cálculos!$K$4:$N$32,3,FALSE),0)</f>
        <v>0</v>
      </c>
      <c r="H21" s="2">
        <f>Tabela161916[[#This Row],[Quantidade]]*Tabela161916[[#This Row],[Preço unitario]]</f>
        <v>0</v>
      </c>
      <c r="I21" s="8"/>
      <c r="K21" s="2">
        <f>IFERROR(VLOOKUP(Tabela161916[[#This Row],[Entrega]],cálculos!$A$4:$B$9,2,FALSE),0)</f>
        <v>0</v>
      </c>
      <c r="L21" s="2">
        <f>Tabela161916[[#This Row],[Subtotal]]*(1-Tabela161916[[#This Row],[Desconto]])+Tabela161916[[#This Row],[Valor De Entrega]]</f>
        <v>0</v>
      </c>
      <c r="M21" s="2" t="str">
        <f>IF(Tabela161916[[#This Row],[ID da venda]]=B22,"",SUMIF(Tabela161916[ID da venda],Tabela161916[[#This Row],[ID da venda]],Tabela161916[Total] ))</f>
        <v/>
      </c>
    </row>
    <row r="22" spans="2:13" x14ac:dyDescent="0.25">
      <c r="C22" s="6"/>
      <c r="G22" s="2">
        <f>IFERROR(VLOOKUP(Tabela161916[[#This Row],[Produto]],cálculos!$K$4:$N$32,3,FALSE),0)</f>
        <v>0</v>
      </c>
      <c r="H22" s="2">
        <f>Tabela161916[[#This Row],[Quantidade]]*Tabela161916[[#This Row],[Preço unitario]]</f>
        <v>0</v>
      </c>
      <c r="I22" s="8"/>
      <c r="K22" s="2">
        <f>IFERROR(VLOOKUP(Tabela161916[[#This Row],[Entrega]],cálculos!$A$4:$B$9,2,FALSE),0)</f>
        <v>0</v>
      </c>
      <c r="L22" s="2">
        <f>Tabela161916[[#This Row],[Subtotal]]*(1-Tabela161916[[#This Row],[Desconto]])+Tabela161916[[#This Row],[Valor De Entrega]]</f>
        <v>0</v>
      </c>
      <c r="M22" s="2" t="str">
        <f>IF(Tabela161916[[#This Row],[ID da venda]]=B23,"",SUMIF(Tabela161916[ID da venda],Tabela161916[[#This Row],[ID da venda]],Tabela161916[Total] ))</f>
        <v/>
      </c>
    </row>
    <row r="23" spans="2:13" x14ac:dyDescent="0.25">
      <c r="C23" s="6"/>
      <c r="G23" s="2">
        <f>IFERROR(VLOOKUP(Tabela161916[[#This Row],[Produto]],cálculos!$K$4:$N$32,3,FALSE),0)</f>
        <v>0</v>
      </c>
      <c r="H23" s="2">
        <f>Tabela161916[[#This Row],[Quantidade]]*Tabela161916[[#This Row],[Preço unitario]]</f>
        <v>0</v>
      </c>
      <c r="I23" s="8"/>
      <c r="K23" s="2">
        <f>IFERROR(VLOOKUP(Tabela161916[[#This Row],[Entrega]],cálculos!$A$4:$B$9,2,FALSE),0)</f>
        <v>0</v>
      </c>
      <c r="L23" s="2">
        <f>Tabela161916[[#This Row],[Subtotal]]*(1-Tabela161916[[#This Row],[Desconto]])+Tabela161916[[#This Row],[Valor De Entrega]]</f>
        <v>0</v>
      </c>
      <c r="M23" s="2" t="str">
        <f>IF(Tabela161916[[#This Row],[ID da venda]]=B24,"",SUMIF(Tabela161916[ID da venda],Tabela161916[[#This Row],[ID da venda]],Tabela161916[Total] ))</f>
        <v/>
      </c>
    </row>
    <row r="24" spans="2:13" x14ac:dyDescent="0.25">
      <c r="C24" s="6"/>
      <c r="G24" s="2">
        <f>IFERROR(VLOOKUP(Tabela161916[[#This Row],[Produto]],cálculos!$K$4:$N$32,3,FALSE),0)</f>
        <v>0</v>
      </c>
      <c r="H24" s="2">
        <f>Tabela161916[[#This Row],[Quantidade]]*Tabela161916[[#This Row],[Preço unitario]]</f>
        <v>0</v>
      </c>
      <c r="I24" s="8"/>
      <c r="K24" s="2">
        <f>IFERROR(VLOOKUP(Tabela161916[[#This Row],[Entrega]],cálculos!$A$4:$B$9,2,FALSE),0)</f>
        <v>0</v>
      </c>
      <c r="L24" s="2">
        <f>Tabela161916[[#This Row],[Subtotal]]*(1-Tabela161916[[#This Row],[Desconto]])+Tabela161916[[#This Row],[Valor De Entrega]]</f>
        <v>0</v>
      </c>
      <c r="M24" s="2" t="str">
        <f>IF(Tabela161916[[#This Row],[ID da venda]]=B25,"",SUMIF(Tabela161916[ID da venda],Tabela161916[[#This Row],[ID da venda]],Tabela161916[Total] ))</f>
        <v/>
      </c>
    </row>
    <row r="25" spans="2:13" x14ac:dyDescent="0.25">
      <c r="C25" s="6"/>
      <c r="G25" s="2">
        <f>IFERROR(VLOOKUP(Tabela161916[[#This Row],[Produto]],cálculos!$K$4:$N$32,3,FALSE),0)</f>
        <v>0</v>
      </c>
      <c r="H25" s="2">
        <f>Tabela161916[[#This Row],[Quantidade]]*Tabela161916[[#This Row],[Preço unitario]]</f>
        <v>0</v>
      </c>
      <c r="I25" s="8"/>
      <c r="K25" s="2">
        <f>IFERROR(VLOOKUP(Tabela161916[[#This Row],[Entrega]],cálculos!$A$4:$B$9,2,FALSE),0)</f>
        <v>0</v>
      </c>
      <c r="L25" s="2">
        <f>Tabela161916[[#This Row],[Subtotal]]*(1-Tabela161916[[#This Row],[Desconto]])+Tabela161916[[#This Row],[Valor De Entrega]]</f>
        <v>0</v>
      </c>
      <c r="M25" s="2" t="str">
        <f>IF(Tabela161916[[#This Row],[ID da venda]]=B26,"",SUMIF(Tabela161916[ID da venda],Tabela161916[[#This Row],[ID da venda]],Tabela161916[Total] ))</f>
        <v/>
      </c>
    </row>
    <row r="26" spans="2:13" x14ac:dyDescent="0.25">
      <c r="C26" s="6"/>
      <c r="G26" s="2">
        <f>IFERROR(VLOOKUP(Tabela161916[[#This Row],[Produto]],cálculos!$K$4:$N$32,3,FALSE),0)</f>
        <v>0</v>
      </c>
      <c r="H26" s="2">
        <f>Tabela161916[[#This Row],[Quantidade]]*Tabela161916[[#This Row],[Preço unitario]]</f>
        <v>0</v>
      </c>
      <c r="I26" s="8"/>
      <c r="K26" s="2">
        <f>IFERROR(VLOOKUP(Tabela161916[[#This Row],[Entrega]],cálculos!$A$4:$B$9,2,FALSE),0)</f>
        <v>0</v>
      </c>
      <c r="L26" s="2">
        <f>Tabela161916[[#This Row],[Subtotal]]*(1-Tabela161916[[#This Row],[Desconto]])+Tabela161916[[#This Row],[Valor De Entrega]]</f>
        <v>0</v>
      </c>
      <c r="M26" s="2" t="str">
        <f>IF(Tabela161916[[#This Row],[ID da venda]]=B27,"",SUMIF(Tabela161916[ID da venda],Tabela161916[[#This Row],[ID da venda]],Tabela161916[Total] ))</f>
        <v/>
      </c>
    </row>
    <row r="28" spans="2:13" ht="19.5" thickBot="1" x14ac:dyDescent="0.3">
      <c r="B28" s="20" t="s">
        <v>118</v>
      </c>
      <c r="C28" s="20"/>
      <c r="D28" s="20"/>
      <c r="E28" s="21"/>
      <c r="F28" s="20"/>
      <c r="G28" s="20"/>
      <c r="H28" s="20"/>
      <c r="I28" s="21"/>
      <c r="J28" s="20"/>
      <c r="K28" s="20"/>
      <c r="L28" s="20"/>
      <c r="M28" s="21">
        <f>SUM(Tabela161916[Total])</f>
        <v>0</v>
      </c>
    </row>
    <row r="29" spans="2:13" ht="19.5" thickBot="1" x14ac:dyDescent="0.3">
      <c r="B29" s="31" t="s">
        <v>119</v>
      </c>
      <c r="C29" s="31"/>
      <c r="D29" s="31"/>
      <c r="E29" s="33"/>
      <c r="F29" s="31"/>
      <c r="G29" s="31"/>
      <c r="H29" s="31"/>
      <c r="I29" s="33"/>
      <c r="J29" s="31"/>
      <c r="K29" s="31"/>
      <c r="L29" s="31"/>
      <c r="M29" s="21">
        <f>SUM(Tabela161916[Valor De Entrega])</f>
        <v>0</v>
      </c>
    </row>
    <row r="30" spans="2:13" ht="19.5" thickTop="1" x14ac:dyDescent="0.3">
      <c r="B30" s="31" t="s">
        <v>119</v>
      </c>
      <c r="C30" s="31"/>
      <c r="D30" s="31"/>
      <c r="E30" s="33"/>
      <c r="F30" s="31"/>
      <c r="G30" s="31"/>
      <c r="H30" s="31"/>
      <c r="I30" s="33"/>
      <c r="J30" s="31"/>
      <c r="K30" s="31"/>
      <c r="L30" s="31"/>
      <c r="M30" s="60" cm="1">
        <f t="array" ref="M30">SUM(IF(FREQUENCY(Tabela161916[ID da venda],Tabela161916[ID da venda])&gt;0,1,0))</f>
        <v>0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4C470A0-DEEB-4146-A349-E345457132C2}">
          <x14:formula1>
            <xm:f>cálculos!$A$3:$A$7</xm:f>
          </x14:formula1>
          <xm:sqref>J4:J26</xm:sqref>
        </x14:dataValidation>
        <x14:dataValidation type="list" allowBlank="1" showInputMessage="1" showErrorMessage="1" xr:uid="{8F00A1C8-A236-4BEC-9C0D-0B198F06DF58}">
          <x14:formula1>
            <xm:f>cálculos!$K$4:$K$25</xm:f>
          </x14:formula1>
          <xm:sqref>D5:D26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D064E-8393-4400-8816-A96E408FAA59}">
  <sheetPr codeName="Planilha10"/>
  <dimension ref="B1:M30"/>
  <sheetViews>
    <sheetView showGridLines="0" topLeftCell="A2" workbookViewId="0">
      <selection activeCell="F36" sqref="F36"/>
    </sheetView>
  </sheetViews>
  <sheetFormatPr defaultRowHeight="15" x14ac:dyDescent="0.25"/>
  <cols>
    <col min="1" max="1" width="16.140625" customWidth="1"/>
    <col min="2" max="2" width="30.5703125" bestFit="1" customWidth="1"/>
    <col min="3" max="3" width="10.7109375" bestFit="1" customWidth="1"/>
    <col min="4" max="4" width="10.28515625" customWidth="1"/>
    <col min="5" max="5" width="9.85546875" customWidth="1"/>
    <col min="6" max="6" width="13.5703125" customWidth="1"/>
    <col min="7" max="7" width="15.5703125" customWidth="1"/>
    <col min="8" max="8" width="10.5703125" customWidth="1"/>
    <col min="9" max="9" width="11.42578125" customWidth="1"/>
    <col min="10" max="10" width="9.85546875" customWidth="1"/>
    <col min="11" max="11" width="17.85546875" customWidth="1"/>
    <col min="12" max="12" width="7.5703125" customWidth="1"/>
    <col min="13" max="13" width="20.28515625" customWidth="1"/>
  </cols>
  <sheetData>
    <row r="1" spans="2:13" ht="16.5" customHeight="1" x14ac:dyDescent="0.25">
      <c r="E1" s="25"/>
    </row>
    <row r="2" spans="2:13" s="3" customFormat="1" ht="23.25" x14ac:dyDescent="0.25">
      <c r="B2" s="26" t="s">
        <v>120</v>
      </c>
    </row>
    <row r="4" spans="2:13" x14ac:dyDescent="0.25">
      <c r="B4" t="s">
        <v>103</v>
      </c>
      <c r="C4" t="s">
        <v>42</v>
      </c>
      <c r="D4" t="s">
        <v>98</v>
      </c>
      <c r="E4" t="s">
        <v>56</v>
      </c>
      <c r="F4" t="s">
        <v>57</v>
      </c>
      <c r="G4" t="s">
        <v>104</v>
      </c>
      <c r="H4" t="s">
        <v>105</v>
      </c>
      <c r="I4" t="s">
        <v>59</v>
      </c>
      <c r="J4" t="s">
        <v>106</v>
      </c>
      <c r="K4" t="s">
        <v>107</v>
      </c>
      <c r="L4" t="s">
        <v>85</v>
      </c>
      <c r="M4" t="s">
        <v>108</v>
      </c>
    </row>
    <row r="5" spans="2:13" x14ac:dyDescent="0.25">
      <c r="C5" s="6"/>
      <c r="G5" s="2">
        <f>IFERROR(VLOOKUP(Tabela161920[[#This Row],[Produto]],cálculos!$K$4:$N$32,3,FALSE),0)</f>
        <v>0</v>
      </c>
      <c r="H5" s="2">
        <f>Tabela161920[[#This Row],[Quantidade]]*Tabela161920[[#This Row],[Preço unitario]]</f>
        <v>0</v>
      </c>
      <c r="I5" s="8"/>
      <c r="K5" s="2">
        <f>IFERROR(VLOOKUP(Tabela161920[[#This Row],[Entrega]],cálculos!$A$4:$B$9,2,FALSE),0)</f>
        <v>0</v>
      </c>
      <c r="L5" s="2">
        <f>Tabela161920[[#This Row],[Subtotal]]*(1-Tabela161920[[#This Row],[Desconto]])+Tabela161920[[#This Row],[Valor De Entrega]]</f>
        <v>0</v>
      </c>
      <c r="M5" s="2" t="str">
        <f>IF(Tabela161920[[#This Row],[ID da venda]]=B8,"",SUMIF(Tabela161920[ID da venda],Tabela161920[[#This Row],[ID da venda]],Tabela161920[Total] ))</f>
        <v/>
      </c>
    </row>
    <row r="6" spans="2:13" x14ac:dyDescent="0.25">
      <c r="C6" s="6"/>
      <c r="G6" s="2">
        <f>IFERROR(VLOOKUP(Tabela161920[[#This Row],[Produto]],cálculos!$K$4:$N$32,3,FALSE),0)</f>
        <v>0</v>
      </c>
      <c r="H6" s="2">
        <f>Tabela161920[[#This Row],[Quantidade]]*Tabela161920[[#This Row],[Preço unitario]]</f>
        <v>0</v>
      </c>
      <c r="I6" s="8"/>
      <c r="K6" s="2">
        <f>IFERROR(VLOOKUP(Tabela161920[[#This Row],[Entrega]],cálculos!$A$4:$B$9,2,FALSE),0)</f>
        <v>0</v>
      </c>
      <c r="L6" s="2">
        <f>Tabela161920[[#This Row],[Subtotal]]*(1-Tabela161920[[#This Row],[Desconto]])+Tabela161920[[#This Row],[Valor De Entrega]]</f>
        <v>0</v>
      </c>
      <c r="M6" s="2" t="str">
        <f>IF(Tabela161920[[#This Row],[ID da venda]]=B7,"",SUMIF(Tabela161920[ID da venda],Tabela161920[[#This Row],[ID da venda]],Tabela161920[Total] ))</f>
        <v/>
      </c>
    </row>
    <row r="7" spans="2:13" x14ac:dyDescent="0.25">
      <c r="C7" s="6"/>
      <c r="G7" s="2">
        <f>IFERROR(VLOOKUP(Tabela161920[[#This Row],[Produto]],cálculos!$K$4:$N$32,3,FALSE),0)</f>
        <v>0</v>
      </c>
      <c r="H7" s="2">
        <f>Tabela161920[[#This Row],[Quantidade]]*Tabela161920[[#This Row],[Preço unitario]]</f>
        <v>0</v>
      </c>
      <c r="I7" s="8"/>
      <c r="K7" s="2">
        <f>IFERROR(VLOOKUP(Tabela161920[[#This Row],[Entrega]],cálculos!$A$4:$B$9,2,FALSE),0)</f>
        <v>0</v>
      </c>
      <c r="L7" s="2">
        <f>Tabela161920[[#This Row],[Subtotal]]*(1-Tabela161920[[#This Row],[Desconto]])+Tabela161920[[#This Row],[Valor De Entrega]]</f>
        <v>0</v>
      </c>
      <c r="M7" s="2" t="str">
        <f>IF(Tabela161920[[#This Row],[ID da venda]]=B5,"",SUMIF(Tabela161920[ID da venda],Tabela161920[[#This Row],[ID da venda]],Tabela161920[Total] ))</f>
        <v/>
      </c>
    </row>
    <row r="8" spans="2:13" x14ac:dyDescent="0.25">
      <c r="C8" s="6"/>
      <c r="G8" s="2">
        <f>IFERROR(VLOOKUP(Tabela161920[[#This Row],[Produto]],cálculos!$K$4:$N$32,3,FALSE),0)</f>
        <v>0</v>
      </c>
      <c r="H8" s="2">
        <f>Tabela161920[[#This Row],[Quantidade]]*Tabela161920[[#This Row],[Preço unitario]]</f>
        <v>0</v>
      </c>
      <c r="I8" s="8"/>
      <c r="K8" s="2">
        <f>IFERROR(VLOOKUP(Tabela161920[[#This Row],[Entrega]],cálculos!$A$4:$B$9,2,FALSE),0)</f>
        <v>0</v>
      </c>
      <c r="L8" s="2">
        <f>Tabela161920[[#This Row],[Subtotal]]*(1-Tabela161920[[#This Row],[Desconto]])+Tabela161920[[#This Row],[Valor De Entrega]]</f>
        <v>0</v>
      </c>
      <c r="M8" s="2" t="str">
        <f>IF(Tabela161920[[#This Row],[ID da venda]]=B9,"",SUMIF(Tabela161920[ID da venda],Tabela161920[[#This Row],[ID da venda]],Tabela161920[Total] ))</f>
        <v/>
      </c>
    </row>
    <row r="9" spans="2:13" x14ac:dyDescent="0.25">
      <c r="C9" s="6"/>
      <c r="G9" s="2">
        <f>IFERROR(VLOOKUP(Tabela161920[[#This Row],[Produto]],cálculos!$K$4:$N$32,3,FALSE),0)</f>
        <v>0</v>
      </c>
      <c r="H9" s="2">
        <f>Tabela161920[[#This Row],[Quantidade]]*Tabela161920[[#This Row],[Preço unitario]]</f>
        <v>0</v>
      </c>
      <c r="I9" s="8"/>
      <c r="K9" s="2">
        <f>IFERROR(VLOOKUP(Tabela161920[[#This Row],[Entrega]],cálculos!$A$4:$B$9,2,FALSE),0)</f>
        <v>0</v>
      </c>
      <c r="L9" s="2">
        <f>Tabela161920[[#This Row],[Subtotal]]*(1-Tabela161920[[#This Row],[Desconto]])+Tabela161920[[#This Row],[Valor De Entrega]]</f>
        <v>0</v>
      </c>
      <c r="M9" s="2" t="str">
        <f>IF(Tabela161920[[#This Row],[ID da venda]]=B10,"",SUMIF(Tabela161920[ID da venda],Tabela161920[[#This Row],[ID da venda]],Tabela161920[Total] ))</f>
        <v/>
      </c>
    </row>
    <row r="10" spans="2:13" x14ac:dyDescent="0.25">
      <c r="C10" s="6"/>
      <c r="G10" s="2">
        <f>IFERROR(VLOOKUP(Tabela161920[[#This Row],[Produto]],cálculos!$K$4:$N$32,3,FALSE),0)</f>
        <v>0</v>
      </c>
      <c r="H10" s="2">
        <f>Tabela161920[[#This Row],[Quantidade]]*Tabela161920[[#This Row],[Preço unitario]]</f>
        <v>0</v>
      </c>
      <c r="I10" s="8"/>
      <c r="K10" s="2">
        <f>IFERROR(VLOOKUP(Tabela161920[[#This Row],[Entrega]],cálculos!$A$4:$B$9,2,FALSE),0)</f>
        <v>0</v>
      </c>
      <c r="L10" s="2">
        <f>Tabela161920[[#This Row],[Subtotal]]*(1-Tabela161920[[#This Row],[Desconto]])+Tabela161920[[#This Row],[Valor De Entrega]]</f>
        <v>0</v>
      </c>
      <c r="M10" s="2" t="str">
        <f>IF(Tabela161920[[#This Row],[ID da venda]]=B11,"",SUMIF(Tabela161920[ID da venda],Tabela161920[[#This Row],[ID da venda]],Tabela161920[Total] ))</f>
        <v/>
      </c>
    </row>
    <row r="11" spans="2:13" x14ac:dyDescent="0.25">
      <c r="C11" s="6"/>
      <c r="G11" s="2">
        <f>IFERROR(VLOOKUP(Tabela161920[[#This Row],[Produto]],cálculos!$K$4:$N$32,3,FALSE),0)</f>
        <v>0</v>
      </c>
      <c r="H11" s="2">
        <f>Tabela161920[[#This Row],[Quantidade]]*Tabela161920[[#This Row],[Preço unitario]]</f>
        <v>0</v>
      </c>
      <c r="I11" s="8"/>
      <c r="K11" s="2">
        <f>IFERROR(VLOOKUP(Tabela161920[[#This Row],[Entrega]],cálculos!$A$4:$B$9,2,FALSE),0)</f>
        <v>0</v>
      </c>
      <c r="L11" s="2">
        <f>Tabela161920[[#This Row],[Subtotal]]*(1-Tabela161920[[#This Row],[Desconto]])+Tabela161920[[#This Row],[Valor De Entrega]]</f>
        <v>0</v>
      </c>
      <c r="M11" s="2" t="str">
        <f>IF(Tabela161920[[#This Row],[ID da venda]]=B12,"",SUMIF(Tabela161920[ID da venda],Tabela161920[[#This Row],[ID da venda]],Tabela161920[Total] ))</f>
        <v/>
      </c>
    </row>
    <row r="12" spans="2:13" x14ac:dyDescent="0.25">
      <c r="C12" s="6"/>
      <c r="G12" s="2">
        <f>IFERROR(VLOOKUP(Tabela161920[[#This Row],[Produto]],cálculos!$K$4:$N$32,3,FALSE),0)</f>
        <v>0</v>
      </c>
      <c r="H12" s="2">
        <f>Tabela161920[[#This Row],[Quantidade]]*Tabela161920[[#This Row],[Preço unitario]]</f>
        <v>0</v>
      </c>
      <c r="I12" s="8"/>
      <c r="K12" s="2">
        <f>IFERROR(VLOOKUP(Tabela161920[[#This Row],[Entrega]],cálculos!$A$4:$B$9,2,FALSE),0)</f>
        <v>0</v>
      </c>
      <c r="L12" s="2">
        <f>Tabela161920[[#This Row],[Subtotal]]*(1-Tabela161920[[#This Row],[Desconto]])+Tabela161920[[#This Row],[Valor De Entrega]]</f>
        <v>0</v>
      </c>
      <c r="M12" s="2" t="str">
        <f>IF(Tabela161920[[#This Row],[ID da venda]]=B13,"",SUMIF(Tabela161920[ID da venda],Tabela161920[[#This Row],[ID da venda]],Tabela161920[Total] ))</f>
        <v/>
      </c>
    </row>
    <row r="13" spans="2:13" x14ac:dyDescent="0.25">
      <c r="C13" s="6"/>
      <c r="G13" s="2">
        <f>IFERROR(VLOOKUP(Tabela161920[[#This Row],[Produto]],cálculos!$K$4:$N$32,3,FALSE),0)</f>
        <v>0</v>
      </c>
      <c r="H13" s="2">
        <f>Tabela161920[[#This Row],[Quantidade]]*Tabela161920[[#This Row],[Preço unitario]]</f>
        <v>0</v>
      </c>
      <c r="I13" s="8"/>
      <c r="K13" s="2">
        <f>IFERROR(VLOOKUP(Tabela161920[[#This Row],[Entrega]],cálculos!$A$4:$B$9,2,FALSE),0)</f>
        <v>0</v>
      </c>
      <c r="L13" s="2">
        <f>Tabela161920[[#This Row],[Subtotal]]*(1-Tabela161920[[#This Row],[Desconto]])+Tabela161920[[#This Row],[Valor De Entrega]]</f>
        <v>0</v>
      </c>
      <c r="M13" s="2" t="str">
        <f>IF(Tabela161920[[#This Row],[ID da venda]]=B14,"",SUMIF(Tabela161920[ID da venda],Tabela161920[[#This Row],[ID da venda]],Tabela161920[Total] ))</f>
        <v/>
      </c>
    </row>
    <row r="14" spans="2:13" x14ac:dyDescent="0.25">
      <c r="C14" s="6"/>
      <c r="G14" s="2">
        <f>IFERROR(VLOOKUP(Tabela161920[[#This Row],[Produto]],cálculos!$K$4:$N$32,3,FALSE),0)</f>
        <v>0</v>
      </c>
      <c r="H14" s="2">
        <f>Tabela161920[[#This Row],[Quantidade]]*Tabela161920[[#This Row],[Preço unitario]]</f>
        <v>0</v>
      </c>
      <c r="I14" s="8"/>
      <c r="K14" s="2">
        <f>IFERROR(VLOOKUP(Tabela161920[[#This Row],[Entrega]],cálculos!$A$4:$B$9,2,FALSE),0)</f>
        <v>0</v>
      </c>
      <c r="L14" s="2">
        <f>Tabela161920[[#This Row],[Subtotal]]*(1-Tabela161920[[#This Row],[Desconto]])+Tabela161920[[#This Row],[Valor De Entrega]]</f>
        <v>0</v>
      </c>
      <c r="M14" s="2" t="str">
        <f>IF(Tabela161920[[#This Row],[ID da venda]]=B15,"",SUMIF(Tabela161920[ID da venda],Tabela161920[[#This Row],[ID da venda]],Tabela161920[Total] ))</f>
        <v/>
      </c>
    </row>
    <row r="15" spans="2:13" x14ac:dyDescent="0.25">
      <c r="C15" s="6"/>
      <c r="G15" s="2">
        <f>IFERROR(VLOOKUP(Tabela161920[[#This Row],[Produto]],cálculos!$K$4:$N$32,3,FALSE),0)</f>
        <v>0</v>
      </c>
      <c r="H15" s="2">
        <f>Tabela161920[[#This Row],[Quantidade]]*Tabela161920[[#This Row],[Preço unitario]]</f>
        <v>0</v>
      </c>
      <c r="I15" s="8"/>
      <c r="K15" s="2">
        <f>IFERROR(VLOOKUP(Tabela161920[[#This Row],[Entrega]],cálculos!$A$4:$B$9,2,FALSE),0)</f>
        <v>0</v>
      </c>
      <c r="L15" s="2">
        <f>Tabela161920[[#This Row],[Subtotal]]*(1-Tabela161920[[#This Row],[Desconto]])+Tabela161920[[#This Row],[Valor De Entrega]]</f>
        <v>0</v>
      </c>
      <c r="M15" s="2" t="str">
        <f>IF(Tabela161920[[#This Row],[ID da venda]]=B16,"",SUMIF(Tabela161920[ID da venda],Tabela161920[[#This Row],[ID da venda]],Tabela161920[Total] ))</f>
        <v/>
      </c>
    </row>
    <row r="16" spans="2:13" x14ac:dyDescent="0.25">
      <c r="C16" s="6"/>
      <c r="G16" s="2">
        <f>IFERROR(VLOOKUP(Tabela161920[[#This Row],[Produto]],cálculos!$K$4:$N$32,3,FALSE),0)</f>
        <v>0</v>
      </c>
      <c r="H16" s="2">
        <f>Tabela161920[[#This Row],[Quantidade]]*Tabela161920[[#This Row],[Preço unitario]]</f>
        <v>0</v>
      </c>
      <c r="I16" s="8"/>
      <c r="K16" s="2">
        <f>IFERROR(VLOOKUP(Tabela161920[[#This Row],[Entrega]],cálculos!$A$4:$B$9,2,FALSE),0)</f>
        <v>0</v>
      </c>
      <c r="L16" s="2">
        <f>Tabela161920[[#This Row],[Subtotal]]*(1-Tabela161920[[#This Row],[Desconto]])+Tabela161920[[#This Row],[Valor De Entrega]]</f>
        <v>0</v>
      </c>
      <c r="M16" s="2" t="str">
        <f>IF(Tabela161920[[#This Row],[ID da venda]]=B17,"",SUMIF(Tabela161920[ID da venda],Tabela161920[[#This Row],[ID da venda]],Tabela161920[Total] ))</f>
        <v/>
      </c>
    </row>
    <row r="17" spans="2:13" x14ac:dyDescent="0.25">
      <c r="C17" s="6"/>
      <c r="G17" s="2">
        <f>IFERROR(VLOOKUP(Tabela161920[[#This Row],[Produto]],cálculos!$K$4:$N$32,3,FALSE),0)</f>
        <v>0</v>
      </c>
      <c r="H17" s="2">
        <f>Tabela161920[[#This Row],[Quantidade]]*Tabela161920[[#This Row],[Preço unitario]]</f>
        <v>0</v>
      </c>
      <c r="I17" s="8"/>
      <c r="K17" s="2">
        <f>IFERROR(VLOOKUP(Tabela161920[[#This Row],[Entrega]],cálculos!$A$4:$B$9,2,FALSE),0)</f>
        <v>0</v>
      </c>
      <c r="L17" s="2">
        <f>Tabela161920[[#This Row],[Subtotal]]*(1-Tabela161920[[#This Row],[Desconto]])+Tabela161920[[#This Row],[Valor De Entrega]]</f>
        <v>0</v>
      </c>
      <c r="M17" s="2" t="str">
        <f>IF(Tabela161920[[#This Row],[ID da venda]]=B18,"",SUMIF(Tabela161920[ID da venda],Tabela161920[[#This Row],[ID da venda]],Tabela161920[Total] ))</f>
        <v/>
      </c>
    </row>
    <row r="18" spans="2:13" x14ac:dyDescent="0.25">
      <c r="C18" s="6"/>
      <c r="G18" s="2">
        <f>IFERROR(VLOOKUP(Tabela161920[[#This Row],[Produto]],cálculos!$K$4:$N$32,3,FALSE),0)</f>
        <v>0</v>
      </c>
      <c r="H18" s="2">
        <f>Tabela161920[[#This Row],[Quantidade]]*Tabela161920[[#This Row],[Preço unitario]]</f>
        <v>0</v>
      </c>
      <c r="I18" s="8"/>
      <c r="K18" s="2">
        <f>IFERROR(VLOOKUP(Tabela161920[[#This Row],[Entrega]],cálculos!$A$4:$B$9,2,FALSE),0)</f>
        <v>0</v>
      </c>
      <c r="L18" s="2">
        <f>Tabela161920[[#This Row],[Subtotal]]*(1-Tabela161920[[#This Row],[Desconto]])+Tabela161920[[#This Row],[Valor De Entrega]]</f>
        <v>0</v>
      </c>
      <c r="M18" s="2" t="str">
        <f>IF(Tabela161920[[#This Row],[ID da venda]]=B19,"",SUMIF(Tabela161920[ID da venda],Tabela161920[[#This Row],[ID da venda]],Tabela161920[Total] ))</f>
        <v/>
      </c>
    </row>
    <row r="19" spans="2:13" x14ac:dyDescent="0.25">
      <c r="C19" s="6"/>
      <c r="G19" s="2">
        <f>IFERROR(VLOOKUP(Tabela161920[[#This Row],[Produto]],cálculos!$K$4:$N$32,3,FALSE),0)</f>
        <v>0</v>
      </c>
      <c r="H19" s="2">
        <f>Tabela161920[[#This Row],[Quantidade]]*Tabela161920[[#This Row],[Preço unitario]]</f>
        <v>0</v>
      </c>
      <c r="I19" s="8"/>
      <c r="K19" s="2">
        <f>IFERROR(VLOOKUP(Tabela161920[[#This Row],[Entrega]],cálculos!$A$4:$B$9,2,FALSE),0)</f>
        <v>0</v>
      </c>
      <c r="L19" s="2">
        <f>Tabela161920[[#This Row],[Subtotal]]*(1-Tabela161920[[#This Row],[Desconto]])+Tabela161920[[#This Row],[Valor De Entrega]]</f>
        <v>0</v>
      </c>
      <c r="M19" s="2" t="str">
        <f>IF(Tabela161920[[#This Row],[ID da venda]]=B20,"",SUMIF(Tabela161920[ID da venda],Tabela161920[[#This Row],[ID da venda]],Tabela161920[Total] ))</f>
        <v/>
      </c>
    </row>
    <row r="20" spans="2:13" x14ac:dyDescent="0.25">
      <c r="C20" s="6"/>
      <c r="G20" s="2">
        <f>IFERROR(VLOOKUP(Tabela161920[[#This Row],[Produto]],cálculos!$K$4:$N$32,3,FALSE),0)</f>
        <v>0</v>
      </c>
      <c r="H20" s="2">
        <f>Tabela161920[[#This Row],[Quantidade]]*Tabela161920[[#This Row],[Preço unitario]]</f>
        <v>0</v>
      </c>
      <c r="I20" s="8"/>
      <c r="K20" s="2">
        <f>IFERROR(VLOOKUP(Tabela161920[[#This Row],[Entrega]],cálculos!$A$4:$B$9,2,FALSE),0)</f>
        <v>0</v>
      </c>
      <c r="L20" s="2">
        <f>Tabela161920[[#This Row],[Subtotal]]*(1-Tabela161920[[#This Row],[Desconto]])+Tabela161920[[#This Row],[Valor De Entrega]]</f>
        <v>0</v>
      </c>
      <c r="M20" s="2" t="str">
        <f>IF(Tabela161920[[#This Row],[ID da venda]]=B21,"",SUMIF(Tabela161920[ID da venda],Tabela161920[[#This Row],[ID da venda]],Tabela161920[Total] ))</f>
        <v/>
      </c>
    </row>
    <row r="21" spans="2:13" x14ac:dyDescent="0.25">
      <c r="C21" s="6"/>
      <c r="G21" s="2">
        <f>IFERROR(VLOOKUP(Tabela161920[[#This Row],[Produto]],cálculos!$K$4:$N$32,3,FALSE),0)</f>
        <v>0</v>
      </c>
      <c r="H21" s="2">
        <f>Tabela161920[[#This Row],[Quantidade]]*Tabela161920[[#This Row],[Preço unitario]]</f>
        <v>0</v>
      </c>
      <c r="I21" s="8"/>
      <c r="K21" s="2">
        <f>IFERROR(VLOOKUP(Tabela161920[[#This Row],[Entrega]],cálculos!$A$4:$B$9,2,FALSE),0)</f>
        <v>0</v>
      </c>
      <c r="L21" s="2">
        <f>Tabela161920[[#This Row],[Subtotal]]*(1-Tabela161920[[#This Row],[Desconto]])+Tabela161920[[#This Row],[Valor De Entrega]]</f>
        <v>0</v>
      </c>
      <c r="M21" s="2" t="str">
        <f>IF(Tabela161920[[#This Row],[ID da venda]]=B22,"",SUMIF(Tabela161920[ID da venda],Tabela161920[[#This Row],[ID da venda]],Tabela161920[Total] ))</f>
        <v/>
      </c>
    </row>
    <row r="22" spans="2:13" x14ac:dyDescent="0.25">
      <c r="C22" s="6"/>
      <c r="G22" s="2">
        <f>IFERROR(VLOOKUP(Tabela161920[[#This Row],[Produto]],cálculos!$K$4:$N$32,3,FALSE),0)</f>
        <v>0</v>
      </c>
      <c r="H22" s="2">
        <f>Tabela161920[[#This Row],[Quantidade]]*Tabela161920[[#This Row],[Preço unitario]]</f>
        <v>0</v>
      </c>
      <c r="I22" s="8"/>
      <c r="K22" s="2">
        <f>IFERROR(VLOOKUP(Tabela161920[[#This Row],[Entrega]],cálculos!$A$4:$B$9,2,FALSE),0)</f>
        <v>0</v>
      </c>
      <c r="L22" s="2">
        <f>Tabela161920[[#This Row],[Subtotal]]*(1-Tabela161920[[#This Row],[Desconto]])+Tabela161920[[#This Row],[Valor De Entrega]]</f>
        <v>0</v>
      </c>
      <c r="M22" s="2" t="str">
        <f>IF(Tabela161920[[#This Row],[ID da venda]]=B23,"",SUMIF(Tabela161920[ID da venda],Tabela161920[[#This Row],[ID da venda]],Tabela161920[Total] ))</f>
        <v/>
      </c>
    </row>
    <row r="23" spans="2:13" x14ac:dyDescent="0.25">
      <c r="C23" s="6"/>
      <c r="G23" s="2">
        <f>IFERROR(VLOOKUP(Tabela161920[[#This Row],[Produto]],cálculos!$K$4:$N$32,3,FALSE),0)</f>
        <v>0</v>
      </c>
      <c r="H23" s="2">
        <f>Tabela161920[[#This Row],[Quantidade]]*Tabela161920[[#This Row],[Preço unitario]]</f>
        <v>0</v>
      </c>
      <c r="I23" s="8"/>
      <c r="K23" s="2">
        <f>IFERROR(VLOOKUP(Tabela161920[[#This Row],[Entrega]],cálculos!$A$4:$B$9,2,FALSE),0)</f>
        <v>0</v>
      </c>
      <c r="L23" s="2">
        <f>Tabela161920[[#This Row],[Subtotal]]*(1-Tabela161920[[#This Row],[Desconto]])+Tabela161920[[#This Row],[Valor De Entrega]]</f>
        <v>0</v>
      </c>
      <c r="M23" s="2" t="str">
        <f>IF(Tabela161920[[#This Row],[ID da venda]]=B24,"",SUMIF(Tabela161920[ID da venda],Tabela161920[[#This Row],[ID da venda]],Tabela161920[Total] ))</f>
        <v/>
      </c>
    </row>
    <row r="24" spans="2:13" x14ac:dyDescent="0.25">
      <c r="C24" s="6"/>
      <c r="G24" s="2">
        <f>IFERROR(VLOOKUP(Tabela161920[[#This Row],[Produto]],cálculos!$K$4:$N$32,3,FALSE),0)</f>
        <v>0</v>
      </c>
      <c r="H24" s="2">
        <f>Tabela161920[[#This Row],[Quantidade]]*Tabela161920[[#This Row],[Preço unitario]]</f>
        <v>0</v>
      </c>
      <c r="I24" s="8"/>
      <c r="K24" s="2">
        <f>IFERROR(VLOOKUP(Tabela161920[[#This Row],[Entrega]],cálculos!$A$4:$B$9,2,FALSE),0)</f>
        <v>0</v>
      </c>
      <c r="L24" s="2">
        <f>Tabela161920[[#This Row],[Subtotal]]*(1-Tabela161920[[#This Row],[Desconto]])+Tabela161920[[#This Row],[Valor De Entrega]]</f>
        <v>0</v>
      </c>
      <c r="M24" s="2" t="str">
        <f>IF(Tabela161920[[#This Row],[ID da venda]]=B25,"",SUMIF(Tabela161920[ID da venda],Tabela161920[[#This Row],[ID da venda]],Tabela161920[Total] ))</f>
        <v/>
      </c>
    </row>
    <row r="25" spans="2:13" x14ac:dyDescent="0.25">
      <c r="C25" s="6"/>
      <c r="G25" s="2">
        <f>IFERROR(VLOOKUP(Tabela161920[[#This Row],[Produto]],cálculos!$K$4:$N$32,3,FALSE),0)</f>
        <v>0</v>
      </c>
      <c r="H25" s="2">
        <f>Tabela161920[[#This Row],[Quantidade]]*Tabela161920[[#This Row],[Preço unitario]]</f>
        <v>0</v>
      </c>
      <c r="I25" s="8"/>
      <c r="K25" s="2">
        <f>IFERROR(VLOOKUP(Tabela161920[[#This Row],[Entrega]],cálculos!$A$4:$B$9,2,FALSE),0)</f>
        <v>0</v>
      </c>
      <c r="L25" s="2">
        <f>Tabela161920[[#This Row],[Subtotal]]*(1-Tabela161920[[#This Row],[Desconto]])+Tabela161920[[#This Row],[Valor De Entrega]]</f>
        <v>0</v>
      </c>
      <c r="M25" s="2" t="str">
        <f>IF(Tabela161920[[#This Row],[ID da venda]]=B26,"",SUMIF(Tabela161920[ID da venda],Tabela161920[[#This Row],[ID da venda]],Tabela161920[Total] ))</f>
        <v/>
      </c>
    </row>
    <row r="26" spans="2:13" x14ac:dyDescent="0.25">
      <c r="C26" s="6"/>
      <c r="G26" s="2">
        <f>IFERROR(VLOOKUP(Tabela161920[[#This Row],[Produto]],cálculos!$K$4:$N$32,3,FALSE),0)</f>
        <v>0</v>
      </c>
      <c r="H26" s="2">
        <f>Tabela161920[[#This Row],[Quantidade]]*Tabela161920[[#This Row],[Preço unitario]]</f>
        <v>0</v>
      </c>
      <c r="I26" s="8"/>
      <c r="K26" s="2">
        <f>IFERROR(VLOOKUP(Tabela161920[[#This Row],[Entrega]],cálculos!$A$4:$B$9,2,FALSE),0)</f>
        <v>0</v>
      </c>
      <c r="L26" s="2">
        <f>Tabela161920[[#This Row],[Subtotal]]*(1-Tabela161920[[#This Row],[Desconto]])+Tabela161920[[#This Row],[Valor De Entrega]]</f>
        <v>0</v>
      </c>
      <c r="M26" s="2" t="str">
        <f>IF(Tabela161920[[#This Row],[ID da venda]]=B27,"",SUMIF(Tabela161920[ID da venda],Tabela161920[[#This Row],[ID da venda]],Tabela161920[Total] ))</f>
        <v/>
      </c>
    </row>
    <row r="28" spans="2:13" ht="19.5" thickBot="1" x14ac:dyDescent="0.3">
      <c r="B28" s="20" t="s">
        <v>118</v>
      </c>
      <c r="C28" s="20"/>
      <c r="D28" s="20"/>
      <c r="E28" s="21"/>
      <c r="F28" s="20"/>
      <c r="G28" s="20"/>
      <c r="H28" s="20"/>
      <c r="I28" s="21"/>
      <c r="J28" s="20"/>
      <c r="K28" s="20"/>
      <c r="L28" s="20"/>
      <c r="M28" s="21">
        <f>SUM(Tabela161920[Total])</f>
        <v>0</v>
      </c>
    </row>
    <row r="29" spans="2:13" ht="19.5" thickBot="1" x14ac:dyDescent="0.3">
      <c r="B29" s="31" t="s">
        <v>119</v>
      </c>
      <c r="C29" s="31"/>
      <c r="D29" s="31"/>
      <c r="E29" s="33"/>
      <c r="F29" s="31"/>
      <c r="G29" s="31"/>
      <c r="H29" s="31"/>
      <c r="I29" s="33"/>
      <c r="J29" s="31"/>
      <c r="K29" s="31"/>
      <c r="L29" s="31"/>
      <c r="M29" s="21">
        <f>SUM(Tabela161920[Valor De Entrega])</f>
        <v>0</v>
      </c>
    </row>
    <row r="30" spans="2:13" ht="19.5" thickTop="1" x14ac:dyDescent="0.3">
      <c r="B30" s="31" t="s">
        <v>119</v>
      </c>
      <c r="C30" s="31"/>
      <c r="D30" s="31"/>
      <c r="E30" s="33"/>
      <c r="F30" s="31"/>
      <c r="G30" s="31"/>
      <c r="H30" s="31"/>
      <c r="I30" s="33"/>
      <c r="J30" s="31"/>
      <c r="K30" s="31"/>
      <c r="L30" s="31"/>
      <c r="M30" s="60" cm="1">
        <f t="array" ref="M30">SUM(IF(FREQUENCY(Tabela161920[ID da venda],Tabela161920[ID da venda])&gt;0,1,0))</f>
        <v>0</v>
      </c>
    </row>
  </sheetData>
  <phoneticPr fontId="9" type="noConversion"/>
  <pageMargins left="0.511811024" right="0.511811024" top="0.78740157499999996" bottom="0.78740157499999996" header="0.31496062000000002" footer="0.31496062000000002"/>
  <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9A9F04C1-7607-4C40-AF4E-C02D0DE137F7}">
          <x14:formula1>
            <xm:f>cálculos!$A$3:$A$7</xm:f>
          </x14:formula1>
          <xm:sqref>J4:J26</xm:sqref>
        </x14:dataValidation>
        <x14:dataValidation type="list" allowBlank="1" showInputMessage="1" showErrorMessage="1" xr:uid="{90F3FB8A-1CE9-4C78-A28A-37FA89F2B633}">
          <x14:formula1>
            <xm:f>cálculos!$K$4:$K$25</xm:f>
          </x14:formula1>
          <xm:sqref>D5:D26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5397E-4A79-4738-BC01-A0F1076B5829}">
  <sheetPr codeName="Planilha11"/>
  <dimension ref="B1:M33"/>
  <sheetViews>
    <sheetView showGridLines="0" workbookViewId="0">
      <selection activeCell="G35" sqref="G35"/>
    </sheetView>
  </sheetViews>
  <sheetFormatPr defaultRowHeight="15" x14ac:dyDescent="0.25"/>
  <cols>
    <col min="1" max="1" width="16.140625" customWidth="1"/>
    <col min="2" max="2" width="30.5703125" bestFit="1" customWidth="1"/>
    <col min="3" max="3" width="10.7109375" bestFit="1" customWidth="1"/>
    <col min="4" max="4" width="10.28515625" customWidth="1"/>
    <col min="5" max="5" width="9.85546875" customWidth="1"/>
    <col min="6" max="6" width="13.5703125" customWidth="1"/>
    <col min="7" max="7" width="15.5703125" customWidth="1"/>
    <col min="8" max="8" width="10.5703125" customWidth="1"/>
    <col min="9" max="9" width="11.42578125" customWidth="1"/>
    <col min="10" max="10" width="9.85546875" customWidth="1"/>
    <col min="11" max="11" width="17.85546875" customWidth="1"/>
    <col min="12" max="12" width="10.5703125" bestFit="1" customWidth="1"/>
    <col min="13" max="13" width="20.28515625" customWidth="1"/>
  </cols>
  <sheetData>
    <row r="1" spans="2:13" ht="16.5" customHeight="1" x14ac:dyDescent="0.25">
      <c r="E1" s="25"/>
    </row>
    <row r="2" spans="2:13" s="3" customFormat="1" ht="23.25" x14ac:dyDescent="0.25">
      <c r="B2" s="26" t="s">
        <v>123</v>
      </c>
    </row>
    <row r="4" spans="2:13" x14ac:dyDescent="0.25">
      <c r="B4" t="s">
        <v>103</v>
      </c>
      <c r="C4" t="s">
        <v>42</v>
      </c>
      <c r="D4" t="s">
        <v>98</v>
      </c>
      <c r="E4" t="s">
        <v>56</v>
      </c>
      <c r="F4" t="s">
        <v>57</v>
      </c>
      <c r="G4" t="s">
        <v>104</v>
      </c>
      <c r="H4" t="s">
        <v>105</v>
      </c>
      <c r="I4" t="s">
        <v>59</v>
      </c>
      <c r="J4" t="s">
        <v>106</v>
      </c>
      <c r="K4" t="s">
        <v>107</v>
      </c>
      <c r="L4" t="s">
        <v>85</v>
      </c>
      <c r="M4" t="s">
        <v>108</v>
      </c>
    </row>
    <row r="5" spans="2:13" x14ac:dyDescent="0.25">
      <c r="C5" s="34"/>
      <c r="E5" t="str">
        <f>IFERROR(VLOOKUP(Tabela16192021[[#This Row],[Produto]],cálculos!$K$4:$N$32,4,FALSE),"")</f>
        <v/>
      </c>
      <c r="F5">
        <v>10</v>
      </c>
      <c r="G5" s="2">
        <f>IFERROR(VLOOKUP(Tabela16192021[[#This Row],[Produto]],cálculos!$K$4:$N$32,3,FALSE),0)</f>
        <v>0</v>
      </c>
      <c r="H5" s="2">
        <f>Tabela16192021[[#This Row],[Quantidade]]*Tabela16192021[[#This Row],[Preço unitario]]</f>
        <v>0</v>
      </c>
      <c r="I5" s="8"/>
      <c r="K5" s="2">
        <f>IFERROR(VLOOKUP(Tabela16192021[[#This Row],[Entrega]],cálculos!$A$4:$B$9,2,FALSE),0)</f>
        <v>0</v>
      </c>
      <c r="L5" s="2">
        <f>Tabela16192021[[#This Row],[Subtotal]]*(1-Tabela16192021[[#This Row],[Desconto]])+Tabela16192021[[#This Row],[Valor De Entrega]]</f>
        <v>0</v>
      </c>
      <c r="M5" s="2" t="str">
        <f>IF(Tabela16192021[[#This Row],[ID da venda]]=B8,"",SUMIF(Tabela16192021[ID da venda],Tabela16192021[[#This Row],[ID da venda]],Tabela16192021[Total] ))</f>
        <v/>
      </c>
    </row>
    <row r="6" spans="2:13" x14ac:dyDescent="0.25">
      <c r="C6" s="34"/>
      <c r="E6" t="str">
        <f>IFERROR(VLOOKUP(Tabela16192021[[#This Row],[Produto]],cálculos!$K$4:$N$32,4,FALSE),"")</f>
        <v/>
      </c>
      <c r="F6">
        <v>1</v>
      </c>
      <c r="G6" s="2">
        <f>IFERROR(VLOOKUP(Tabela16192021[[#This Row],[Produto]],cálculos!$K$4:$N$32,3,FALSE),0)</f>
        <v>0</v>
      </c>
      <c r="H6" s="2">
        <f>Tabela16192021[[#This Row],[Quantidade]]*Tabela16192021[[#This Row],[Preço unitario]]</f>
        <v>0</v>
      </c>
      <c r="I6" s="8"/>
      <c r="K6" s="2">
        <f>IFERROR(VLOOKUP(Tabela16192021[[#This Row],[Entrega]],cálculos!$A$4:$B$9,2,FALSE),0)</f>
        <v>0</v>
      </c>
      <c r="L6" s="2">
        <f>Tabela16192021[[#This Row],[Subtotal]]*(1-Tabela16192021[[#This Row],[Desconto]])+Tabela16192021[[#This Row],[Valor De Entrega]]</f>
        <v>0</v>
      </c>
      <c r="M6" s="2" t="str">
        <f>IF(Tabela16192021[[#This Row],[ID da venda]]=B7,"",SUMIF(Tabela16192021[ID da venda],Tabela16192021[[#This Row],[ID da venda]],Tabela16192021[Total] ))</f>
        <v/>
      </c>
    </row>
    <row r="7" spans="2:13" x14ac:dyDescent="0.25">
      <c r="C7" s="34"/>
      <c r="E7" t="str">
        <f>IFERROR(VLOOKUP(Tabela16192021[[#This Row],[Produto]],cálculos!$K$4:$N$32,4,FALSE),"")</f>
        <v/>
      </c>
      <c r="F7">
        <v>10</v>
      </c>
      <c r="G7" s="2">
        <f>IFERROR(VLOOKUP(Tabela16192021[[#This Row],[Produto]],cálculos!$K$4:$N$32,3,FALSE),0)</f>
        <v>0</v>
      </c>
      <c r="H7" s="2">
        <f>Tabela16192021[[#This Row],[Quantidade]]*Tabela16192021[[#This Row],[Preço unitario]]</f>
        <v>0</v>
      </c>
      <c r="I7" s="8"/>
      <c r="K7" s="2">
        <f>IFERROR(VLOOKUP(Tabela16192021[[#This Row],[Entrega]],cálculos!$A$4:$B$9,2,FALSE),0)</f>
        <v>0</v>
      </c>
      <c r="L7" s="2">
        <f>Tabela16192021[[#This Row],[Subtotal]]*(1-Tabela16192021[[#This Row],[Desconto]])+Tabela16192021[[#This Row],[Valor De Entrega]]</f>
        <v>0</v>
      </c>
      <c r="M7" s="2" t="str">
        <f>IF(Tabela16192021[[#This Row],[ID da venda]]=B5,"",SUMIF(Tabela16192021[ID da venda],Tabela16192021[[#This Row],[ID da venda]],Tabela16192021[Total] ))</f>
        <v/>
      </c>
    </row>
    <row r="8" spans="2:13" x14ac:dyDescent="0.25">
      <c r="C8" s="34"/>
      <c r="E8" t="str">
        <f>IFERROR(VLOOKUP(Tabela16192021[[#This Row],[Produto]],cálculos!$K$4:$N$32,4,FALSE),"")</f>
        <v/>
      </c>
      <c r="F8">
        <v>24</v>
      </c>
      <c r="G8" s="2">
        <f>IFERROR(VLOOKUP(Tabela16192021[[#This Row],[Produto]],cálculos!$K$4:$N$32,3,FALSE),0)</f>
        <v>0</v>
      </c>
      <c r="H8" s="2">
        <f>Tabela16192021[[#This Row],[Quantidade]]*Tabela16192021[[#This Row],[Preço unitario]]</f>
        <v>0</v>
      </c>
      <c r="I8" s="8"/>
      <c r="K8" s="2">
        <f>IFERROR(VLOOKUP(Tabela16192021[[#This Row],[Entrega]],cálculos!$A$4:$B$9,2,FALSE),0)</f>
        <v>0</v>
      </c>
      <c r="L8" s="2">
        <f>Tabela16192021[[#This Row],[Subtotal]]*(1-Tabela16192021[[#This Row],[Desconto]])+Tabela16192021[[#This Row],[Valor De Entrega]]</f>
        <v>0</v>
      </c>
      <c r="M8" s="2" t="str">
        <f>IF(Tabela16192021[[#This Row],[ID da venda]]=B9,"",SUMIF(Tabela16192021[ID da venda],Tabela16192021[[#This Row],[ID da venda]],Tabela16192021[Total] ))</f>
        <v/>
      </c>
    </row>
    <row r="9" spans="2:13" x14ac:dyDescent="0.25">
      <c r="C9" s="34"/>
      <c r="E9" t="str">
        <f>IFERROR(VLOOKUP(Tabela16192021[[#This Row],[Produto]],cálculos!$K$4:$N$32,4,FALSE),"")</f>
        <v/>
      </c>
      <c r="F9">
        <v>1</v>
      </c>
      <c r="G9" s="2">
        <f>IFERROR(VLOOKUP(Tabela16192021[[#This Row],[Produto]],cálculos!$K$4:$N$32,3,FALSE),0)</f>
        <v>0</v>
      </c>
      <c r="H9" s="2">
        <f>Tabela16192021[[#This Row],[Quantidade]]*Tabela16192021[[#This Row],[Preço unitario]]</f>
        <v>0</v>
      </c>
      <c r="I9" s="8"/>
      <c r="K9" s="2">
        <f>IFERROR(VLOOKUP(Tabela16192021[[#This Row],[Entrega]],cálculos!$A$4:$B$9,2,FALSE),0)</f>
        <v>0</v>
      </c>
      <c r="L9" s="2">
        <f>Tabela16192021[[#This Row],[Subtotal]]*(1-Tabela16192021[[#This Row],[Desconto]])+Tabela16192021[[#This Row],[Valor De Entrega]]</f>
        <v>0</v>
      </c>
      <c r="M9" s="2" t="str">
        <f>IF(Tabela16192021[[#This Row],[ID da venda]]=B10,"",SUMIF(Tabela16192021[ID da venda],Tabela16192021[[#This Row],[ID da venda]],Tabela16192021[Total] ))</f>
        <v/>
      </c>
    </row>
    <row r="10" spans="2:13" x14ac:dyDescent="0.25">
      <c r="C10" s="34"/>
      <c r="E10" t="str">
        <f>IFERROR(VLOOKUP(Tabela16192021[[#This Row],[Produto]],cálculos!$K$4:$N$32,4,FALSE),"")</f>
        <v/>
      </c>
      <c r="F10">
        <v>10</v>
      </c>
      <c r="G10" s="2">
        <f>IFERROR(VLOOKUP(Tabela16192021[[#This Row],[Produto]],cálculos!$K$4:$N$32,3,FALSE),0)</f>
        <v>0</v>
      </c>
      <c r="H10" s="2">
        <f>Tabela16192021[[#This Row],[Quantidade]]*Tabela16192021[[#This Row],[Preço unitario]]</f>
        <v>0</v>
      </c>
      <c r="I10" s="8"/>
      <c r="K10" s="2">
        <f>IFERROR(VLOOKUP(Tabela16192021[[#This Row],[Entrega]],cálculos!$A$4:$B$9,2,FALSE),0)</f>
        <v>0</v>
      </c>
      <c r="L10" s="2">
        <f>Tabela16192021[[#This Row],[Subtotal]]*(1-Tabela16192021[[#This Row],[Desconto]])+Tabela16192021[[#This Row],[Valor De Entrega]]</f>
        <v>0</v>
      </c>
      <c r="M10" s="2" t="str">
        <f>IF(Tabela16192021[[#This Row],[ID da venda]]=B11,"",SUMIF(Tabela16192021[ID da venda],Tabela16192021[[#This Row],[ID da venda]],Tabela16192021[Total] ))</f>
        <v/>
      </c>
    </row>
    <row r="11" spans="2:13" x14ac:dyDescent="0.25">
      <c r="C11" s="34"/>
      <c r="E11" t="str">
        <f>IFERROR(VLOOKUP(Tabela16192021[[#This Row],[Produto]],cálculos!$K$4:$N$32,4,FALSE),"")</f>
        <v/>
      </c>
      <c r="F11">
        <v>6</v>
      </c>
      <c r="G11" s="2">
        <f>IFERROR(VLOOKUP(Tabela16192021[[#This Row],[Produto]],cálculos!$K$4:$N$32,3,FALSE),0)</f>
        <v>0</v>
      </c>
      <c r="H11" s="2">
        <f>Tabela16192021[[#This Row],[Quantidade]]*Tabela16192021[[#This Row],[Preço unitario]]</f>
        <v>0</v>
      </c>
      <c r="I11" s="8"/>
      <c r="K11" s="2">
        <f>IFERROR(VLOOKUP(Tabela16192021[[#This Row],[Entrega]],cálculos!$A$4:$B$9,2,FALSE),0)</f>
        <v>0</v>
      </c>
      <c r="L11" s="2">
        <f>Tabela16192021[[#This Row],[Subtotal]]*(1-Tabela16192021[[#This Row],[Desconto]])+Tabela16192021[[#This Row],[Valor De Entrega]]</f>
        <v>0</v>
      </c>
      <c r="M11" s="2" t="str">
        <f>IF(Tabela16192021[[#This Row],[ID da venda]]=B12,"",SUMIF(Tabela16192021[ID da venda],Tabela16192021[[#This Row],[ID da venda]],Tabela16192021[Total] ))</f>
        <v/>
      </c>
    </row>
    <row r="12" spans="2:13" x14ac:dyDescent="0.25">
      <c r="C12" s="34"/>
      <c r="E12" t="str">
        <f>IFERROR(VLOOKUP(Tabela16192021[[#This Row],[Produto]],cálculos!$K$4:$N$32,4,FALSE),"")</f>
        <v/>
      </c>
      <c r="F12">
        <v>4</v>
      </c>
      <c r="G12" s="2">
        <f>IFERROR(VLOOKUP(Tabela16192021[[#This Row],[Produto]],cálculos!$K$4:$N$32,3,FALSE),0)</f>
        <v>0</v>
      </c>
      <c r="H12" s="2">
        <f>Tabela16192021[[#This Row],[Quantidade]]*Tabela16192021[[#This Row],[Preço unitario]]</f>
        <v>0</v>
      </c>
      <c r="I12" s="8"/>
      <c r="K12" s="2">
        <f>IFERROR(VLOOKUP(Tabela16192021[[#This Row],[Entrega]],cálculos!$A$4:$B$9,2,FALSE),0)</f>
        <v>0</v>
      </c>
      <c r="L12" s="2">
        <f>Tabela16192021[[#This Row],[Subtotal]]*(1-Tabela16192021[[#This Row],[Desconto]])+Tabela16192021[[#This Row],[Valor De Entrega]]</f>
        <v>0</v>
      </c>
      <c r="M12" s="2" t="str">
        <f>IF(Tabela16192021[[#This Row],[ID da venda]]=B13,"",SUMIF(Tabela16192021[ID da venda],Tabela16192021[[#This Row],[ID da venda]],Tabela16192021[Total] ))</f>
        <v/>
      </c>
    </row>
    <row r="13" spans="2:13" x14ac:dyDescent="0.25">
      <c r="C13" s="34"/>
      <c r="E13" t="str">
        <f>IFERROR(VLOOKUP(Tabela16192021[[#This Row],[Produto]],cálculos!$K$4:$N$32,4,FALSE),"")</f>
        <v/>
      </c>
      <c r="F13">
        <v>5</v>
      </c>
      <c r="G13" s="2">
        <f>IFERROR(VLOOKUP(Tabela16192021[[#This Row],[Produto]],cálculos!$K$4:$N$32,3,FALSE),0)</f>
        <v>0</v>
      </c>
      <c r="H13" s="2">
        <f>Tabela16192021[[#This Row],[Quantidade]]*Tabela16192021[[#This Row],[Preço unitario]]</f>
        <v>0</v>
      </c>
      <c r="I13" s="8"/>
      <c r="K13" s="2">
        <f>IFERROR(VLOOKUP(Tabela16192021[[#This Row],[Entrega]],cálculos!$A$4:$B$9,2,FALSE),0)</f>
        <v>0</v>
      </c>
      <c r="L13" s="2">
        <f>Tabela16192021[[#This Row],[Subtotal]]*(1-Tabela16192021[[#This Row],[Desconto]])+Tabela16192021[[#This Row],[Valor De Entrega]]</f>
        <v>0</v>
      </c>
      <c r="M13" s="2" t="str">
        <f>IF(Tabela16192021[[#This Row],[ID da venda]]=B14,"",SUMIF(Tabela16192021[ID da venda],Tabela16192021[[#This Row],[ID da venda]],Tabela16192021[Total] ))</f>
        <v/>
      </c>
    </row>
    <row r="14" spans="2:13" x14ac:dyDescent="0.25">
      <c r="C14" s="34"/>
      <c r="E14" t="str">
        <f>IFERROR(VLOOKUP(Tabela16192021[[#This Row],[Produto]],cálculos!$K$4:$N$32,4,FALSE),"")</f>
        <v/>
      </c>
      <c r="F14">
        <v>2</v>
      </c>
      <c r="G14" s="2">
        <f>IFERROR(VLOOKUP(Tabela16192021[[#This Row],[Produto]],cálculos!$K$4:$N$32,3,FALSE),0)</f>
        <v>0</v>
      </c>
      <c r="H14" s="2">
        <f>Tabela16192021[[#This Row],[Quantidade]]*Tabela16192021[[#This Row],[Preço unitario]]</f>
        <v>0</v>
      </c>
      <c r="I14" s="8"/>
      <c r="K14" s="2">
        <f>IFERROR(VLOOKUP(Tabela16192021[[#This Row],[Entrega]],cálculos!$A$4:$B$9,2,FALSE),0)</f>
        <v>0</v>
      </c>
      <c r="L14" s="2">
        <f>Tabela16192021[[#This Row],[Subtotal]]*(1-Tabela16192021[[#This Row],[Desconto]])+Tabela16192021[[#This Row],[Valor De Entrega]]</f>
        <v>0</v>
      </c>
      <c r="M14" s="2" t="str">
        <f>IF(Tabela16192021[[#This Row],[ID da venda]]=B15,"",SUMIF(Tabela16192021[ID da venda],Tabela16192021[[#This Row],[ID da venda]],Tabela16192021[Total] ))</f>
        <v/>
      </c>
    </row>
    <row r="15" spans="2:13" x14ac:dyDescent="0.25">
      <c r="C15" s="34"/>
      <c r="E15" t="str">
        <f>IFERROR(VLOOKUP(Tabela16192021[[#This Row],[Produto]],cálculos!$K$4:$N$32,4,FALSE),"")</f>
        <v/>
      </c>
      <c r="F15">
        <v>1.5</v>
      </c>
      <c r="G15" s="2">
        <f>IFERROR(VLOOKUP(Tabela16192021[[#This Row],[Produto]],cálculos!$K$4:$N$32,3,FALSE),0)</f>
        <v>0</v>
      </c>
      <c r="H15" s="2">
        <f>Tabela16192021[[#This Row],[Quantidade]]*Tabela16192021[[#This Row],[Preço unitario]]</f>
        <v>0</v>
      </c>
      <c r="I15" s="8"/>
      <c r="K15" s="2">
        <f>IFERROR(VLOOKUP(Tabela16192021[[#This Row],[Entrega]],cálculos!$A$4:$B$9,2,FALSE),0)</f>
        <v>0</v>
      </c>
      <c r="L15" s="2">
        <f>Tabela16192021[[#This Row],[Subtotal]]*(1-Tabela16192021[[#This Row],[Desconto]])+Tabela16192021[[#This Row],[Valor De Entrega]]</f>
        <v>0</v>
      </c>
      <c r="M15" s="2" t="str">
        <f>IF(Tabela16192021[[#This Row],[ID da venda]]=B16,"",SUMIF(Tabela16192021[ID da venda],Tabela16192021[[#This Row],[ID da venda]],Tabela16192021[Total] ))</f>
        <v/>
      </c>
    </row>
    <row r="16" spans="2:13" x14ac:dyDescent="0.25">
      <c r="C16" s="34"/>
      <c r="E16" t="str">
        <f>IFERROR(VLOOKUP(Tabela16192021[[#This Row],[Produto]],cálculos!$K$4:$N$32,4,FALSE),"")</f>
        <v/>
      </c>
      <c r="F16">
        <v>4</v>
      </c>
      <c r="G16" s="2">
        <f>IFERROR(VLOOKUP(Tabela16192021[[#This Row],[Produto]],cálculos!$K$4:$N$32,3,FALSE),0)</f>
        <v>0</v>
      </c>
      <c r="H16" s="2">
        <f>Tabela16192021[[#This Row],[Quantidade]]*Tabela16192021[[#This Row],[Preço unitario]]</f>
        <v>0</v>
      </c>
      <c r="I16" s="8"/>
      <c r="K16" s="2">
        <f>IFERROR(VLOOKUP(Tabela16192021[[#This Row],[Entrega]],cálculos!$A$4:$B$9,2,FALSE),0)</f>
        <v>0</v>
      </c>
      <c r="L16" s="2">
        <f>Tabela16192021[[#This Row],[Subtotal]]*(1-Tabela16192021[[#This Row],[Desconto]])+Tabela16192021[[#This Row],[Valor De Entrega]]</f>
        <v>0</v>
      </c>
      <c r="M16" s="2" t="str">
        <f>IF(Tabela16192021[[#This Row],[ID da venda]]=B17,"",SUMIF(Tabela16192021[ID da venda],Tabela16192021[[#This Row],[ID da venda]],Tabela16192021[Total] ))</f>
        <v/>
      </c>
    </row>
    <row r="17" spans="2:13" x14ac:dyDescent="0.25">
      <c r="C17" s="34"/>
      <c r="E17" t="str">
        <f>IFERROR(VLOOKUP(Tabela16192021[[#This Row],[Produto]],cálculos!$K$4:$N$32,4,FALSE),"")</f>
        <v/>
      </c>
      <c r="F17">
        <v>20</v>
      </c>
      <c r="G17" s="2">
        <f>IFERROR(VLOOKUP(Tabela16192021[[#This Row],[Produto]],cálculos!$K$4:$N$32,3,FALSE),0)</f>
        <v>0</v>
      </c>
      <c r="H17" s="2">
        <f>Tabela16192021[[#This Row],[Quantidade]]*Tabela16192021[[#This Row],[Preço unitario]]</f>
        <v>0</v>
      </c>
      <c r="I17" s="8"/>
      <c r="K17" s="2">
        <f>IFERROR(VLOOKUP(Tabela16192021[[#This Row],[Entrega]],cálculos!$A$4:$B$9,2,FALSE),0)</f>
        <v>0</v>
      </c>
      <c r="L17" s="2">
        <f>Tabela16192021[[#This Row],[Subtotal]]*(1-Tabela16192021[[#This Row],[Desconto]])+Tabela16192021[[#This Row],[Valor De Entrega]]</f>
        <v>0</v>
      </c>
      <c r="M17" s="2" t="str">
        <f>IF(Tabela16192021[[#This Row],[ID da venda]]=B18,"",SUMIF(Tabela16192021[ID da venda],Tabela16192021[[#This Row],[ID da venda]],Tabela16192021[Total] ))</f>
        <v/>
      </c>
    </row>
    <row r="18" spans="2:13" x14ac:dyDescent="0.25">
      <c r="C18" s="34"/>
      <c r="E18" t="str">
        <f>IFERROR(VLOOKUP(Tabela16192021[[#This Row],[Produto]],cálculos!$K$4:$N$32,4,FALSE),"")</f>
        <v/>
      </c>
      <c r="F18">
        <v>20</v>
      </c>
      <c r="G18" s="2">
        <f>IFERROR(VLOOKUP(Tabela16192021[[#This Row],[Produto]],cálculos!$K$4:$N$32,3,FALSE),0)</f>
        <v>0</v>
      </c>
      <c r="H18" s="2">
        <f>Tabela16192021[[#This Row],[Quantidade]]*Tabela16192021[[#This Row],[Preço unitario]]</f>
        <v>0</v>
      </c>
      <c r="I18" s="8"/>
      <c r="K18" s="2">
        <f>IFERROR(VLOOKUP(Tabela16192021[[#This Row],[Entrega]],cálculos!$A$4:$B$9,2,FALSE),0)</f>
        <v>0</v>
      </c>
      <c r="L18" s="2">
        <f>Tabela16192021[[#This Row],[Subtotal]]*(1-Tabela16192021[[#This Row],[Desconto]])+Tabela16192021[[#This Row],[Valor De Entrega]]</f>
        <v>0</v>
      </c>
      <c r="M18" s="2" t="str">
        <f>IF(Tabela16192021[[#This Row],[ID da venda]]=B19,"",SUMIF(Tabela16192021[ID da venda],Tabela16192021[[#This Row],[ID da venda]],Tabela16192021[Total] ))</f>
        <v/>
      </c>
    </row>
    <row r="19" spans="2:13" x14ac:dyDescent="0.25">
      <c r="C19" s="34"/>
      <c r="E19" t="str">
        <f>IFERROR(VLOOKUP(Tabela16192021[[#This Row],[Produto]],cálculos!$K$4:$N$32,4,FALSE),"")</f>
        <v/>
      </c>
      <c r="F19">
        <v>2</v>
      </c>
      <c r="G19" s="2">
        <f>IFERROR(VLOOKUP(Tabela16192021[[#This Row],[Produto]],cálculos!$K$4:$N$32,3,FALSE),0)</f>
        <v>0</v>
      </c>
      <c r="H19" s="2">
        <f>Tabela16192021[[#This Row],[Quantidade]]*Tabela16192021[[#This Row],[Preço unitario]]</f>
        <v>0</v>
      </c>
      <c r="I19" s="8"/>
      <c r="K19" s="2">
        <f>IFERROR(VLOOKUP(Tabela16192021[[#This Row],[Entrega]],cálculos!$A$4:$B$9,2,FALSE),0)</f>
        <v>0</v>
      </c>
      <c r="L19" s="2">
        <f>Tabela16192021[[#This Row],[Subtotal]]*(1-Tabela16192021[[#This Row],[Desconto]])+Tabela16192021[[#This Row],[Valor De Entrega]]</f>
        <v>0</v>
      </c>
      <c r="M19" s="2" t="str">
        <f>IF(Tabela16192021[[#This Row],[ID da venda]]=B20,"",SUMIF(Tabela16192021[ID da venda],Tabela16192021[[#This Row],[ID da venda]],Tabela16192021[Total] ))</f>
        <v/>
      </c>
    </row>
    <row r="20" spans="2:13" x14ac:dyDescent="0.25">
      <c r="C20" s="34"/>
      <c r="E20" t="str">
        <f>IFERROR(VLOOKUP(Tabela16192021[[#This Row],[Produto]],cálculos!$K$4:$N$32,4,FALSE),"")</f>
        <v/>
      </c>
      <c r="F20">
        <v>6</v>
      </c>
      <c r="G20" s="2">
        <f>IFERROR(VLOOKUP(Tabela16192021[[#This Row],[Produto]],cálculos!$K$4:$N$32,3,FALSE),0)</f>
        <v>0</v>
      </c>
      <c r="H20" s="2">
        <f>Tabela16192021[[#This Row],[Quantidade]]*Tabela16192021[[#This Row],[Preço unitario]]</f>
        <v>0</v>
      </c>
      <c r="I20" s="8"/>
      <c r="K20" s="2">
        <f>IFERROR(VLOOKUP(Tabela16192021[[#This Row],[Entrega]],cálculos!$A$4:$B$9,2,FALSE),0)</f>
        <v>0</v>
      </c>
      <c r="L20" s="2">
        <f>Tabela16192021[[#This Row],[Subtotal]]*(1-Tabela16192021[[#This Row],[Desconto]])+Tabela16192021[[#This Row],[Valor De Entrega]]</f>
        <v>0</v>
      </c>
      <c r="M20" s="2" t="str">
        <f>IF(Tabela16192021[[#This Row],[ID da venda]]=B21,"",SUMIF(Tabela16192021[ID da venda],Tabela16192021[[#This Row],[ID da venda]],Tabela16192021[Total] ))</f>
        <v/>
      </c>
    </row>
    <row r="21" spans="2:13" x14ac:dyDescent="0.25">
      <c r="C21" s="34"/>
      <c r="E21" t="str">
        <f>IFERROR(VLOOKUP(Tabela16192021[[#This Row],[Produto]],cálculos!$K$4:$N$32,4,FALSE),"")</f>
        <v/>
      </c>
      <c r="F21">
        <v>12</v>
      </c>
      <c r="G21" s="2">
        <f>IFERROR(VLOOKUP(Tabela16192021[[#This Row],[Produto]],cálculos!$K$4:$N$32,3,FALSE),0)</f>
        <v>0</v>
      </c>
      <c r="H21" s="2">
        <f>Tabela16192021[[#This Row],[Quantidade]]*Tabela16192021[[#This Row],[Preço unitario]]</f>
        <v>0</v>
      </c>
      <c r="I21" s="8"/>
      <c r="K21" s="2">
        <f>IFERROR(VLOOKUP(Tabela16192021[[#This Row],[Entrega]],cálculos!$A$4:$B$9,2,FALSE),0)</f>
        <v>0</v>
      </c>
      <c r="L21" s="2">
        <f>Tabela16192021[[#This Row],[Subtotal]]*(1-Tabela16192021[[#This Row],[Desconto]])+Tabela16192021[[#This Row],[Valor De Entrega]]</f>
        <v>0</v>
      </c>
      <c r="M21" s="2" t="str">
        <f>IF(Tabela16192021[[#This Row],[ID da venda]]=B22,"",SUMIF(Tabela16192021[ID da venda],Tabela16192021[[#This Row],[ID da venda]],Tabela16192021[Total] ))</f>
        <v/>
      </c>
    </row>
    <row r="22" spans="2:13" x14ac:dyDescent="0.25">
      <c r="C22" s="34"/>
      <c r="E22" t="str">
        <f>IFERROR(VLOOKUP(Tabela16192021[[#This Row],[Produto]],cálculos!$K$4:$N$32,4,FALSE),"")</f>
        <v/>
      </c>
      <c r="F22">
        <v>3</v>
      </c>
      <c r="G22" s="2">
        <f>IFERROR(VLOOKUP(Tabela16192021[[#This Row],[Produto]],cálculos!$K$4:$N$32,3,FALSE),0)</f>
        <v>0</v>
      </c>
      <c r="H22" s="2">
        <f>Tabela16192021[[#This Row],[Quantidade]]*Tabela16192021[[#This Row],[Preço unitario]]</f>
        <v>0</v>
      </c>
      <c r="I22" s="8"/>
      <c r="K22" s="2">
        <f>IFERROR(VLOOKUP(Tabela16192021[[#This Row],[Entrega]],cálculos!$A$4:$B$9,2,FALSE),0)</f>
        <v>0</v>
      </c>
      <c r="L22" s="2">
        <f>Tabela16192021[[#This Row],[Subtotal]]*(1-Tabela16192021[[#This Row],[Desconto]])+Tabela16192021[[#This Row],[Valor De Entrega]]</f>
        <v>0</v>
      </c>
      <c r="M22" s="2" t="str">
        <f>IF(Tabela16192021[[#This Row],[ID da venda]]=B23,"",SUMIF(Tabela16192021[ID da venda],Tabela16192021[[#This Row],[ID da venda]],Tabela16192021[Total] ))</f>
        <v/>
      </c>
    </row>
    <row r="23" spans="2:13" x14ac:dyDescent="0.25">
      <c r="C23" s="34"/>
      <c r="E23" t="str">
        <f>IFERROR(VLOOKUP(Tabela16192021[[#This Row],[Produto]],cálculos!$K$4:$N$32,4,FALSE),"")</f>
        <v/>
      </c>
      <c r="F23">
        <v>2</v>
      </c>
      <c r="G23" s="2">
        <f>IFERROR(VLOOKUP(Tabela16192021[[#This Row],[Produto]],cálculos!$K$4:$N$32,3,FALSE),0)</f>
        <v>0</v>
      </c>
      <c r="H23" s="2">
        <f>Tabela16192021[[#This Row],[Quantidade]]*Tabela16192021[[#This Row],[Preço unitario]]</f>
        <v>0</v>
      </c>
      <c r="I23" s="8"/>
      <c r="K23" s="2">
        <f>IFERROR(VLOOKUP(Tabela16192021[[#This Row],[Entrega]],cálculos!$A$4:$B$9,2,FALSE),0)</f>
        <v>0</v>
      </c>
      <c r="L23" s="2">
        <f>Tabela16192021[[#This Row],[Subtotal]]*(1-Tabela16192021[[#This Row],[Desconto]])+Tabela16192021[[#This Row],[Valor De Entrega]]</f>
        <v>0</v>
      </c>
      <c r="M23" s="2" t="str">
        <f>IF(Tabela16192021[[#This Row],[ID da venda]]=B24,"",SUMIF(Tabela16192021[ID da venda],Tabela16192021[[#This Row],[ID da venda]],Tabela16192021[Total] ))</f>
        <v/>
      </c>
    </row>
    <row r="24" spans="2:13" x14ac:dyDescent="0.25">
      <c r="C24" s="34"/>
      <c r="E24" t="str">
        <f>IFERROR(VLOOKUP(Tabela16192021[[#This Row],[Produto]],cálculos!$K$4:$N$32,4,FALSE),"")</f>
        <v/>
      </c>
      <c r="F24">
        <v>5</v>
      </c>
      <c r="G24" s="2">
        <f>IFERROR(VLOOKUP(Tabela16192021[[#This Row],[Produto]],cálculos!$K$4:$N$32,3,FALSE),0)</f>
        <v>0</v>
      </c>
      <c r="H24" s="2">
        <f>Tabela16192021[[#This Row],[Quantidade]]*Tabela16192021[[#This Row],[Preço unitario]]</f>
        <v>0</v>
      </c>
      <c r="I24" s="8"/>
      <c r="K24" s="2">
        <f>IFERROR(VLOOKUP(Tabela16192021[[#This Row],[Entrega]],cálculos!$A$4:$B$9,2,FALSE),0)</f>
        <v>0</v>
      </c>
      <c r="L24" s="2">
        <f>Tabela16192021[[#This Row],[Subtotal]]*(1-Tabela16192021[[#This Row],[Desconto]])+Tabela16192021[[#This Row],[Valor De Entrega]]</f>
        <v>0</v>
      </c>
      <c r="M24" s="2" t="str">
        <f>IF(Tabela16192021[[#This Row],[ID da venda]]=B25,"",SUMIF(Tabela16192021[ID da venda],Tabela16192021[[#This Row],[ID da venda]],Tabela16192021[Total] ))</f>
        <v/>
      </c>
    </row>
    <row r="25" spans="2:13" x14ac:dyDescent="0.25">
      <c r="C25" s="34"/>
      <c r="E25" t="str">
        <f>IFERROR(VLOOKUP(Tabela16192021[[#This Row],[Produto]],cálculos!$K$4:$N$32,4,FALSE),"")</f>
        <v/>
      </c>
      <c r="F25">
        <v>6</v>
      </c>
      <c r="G25" s="2">
        <f>IFERROR(VLOOKUP(Tabela16192021[[#This Row],[Produto]],cálculos!$K$4:$N$32,3,FALSE),0)</f>
        <v>0</v>
      </c>
      <c r="H25" s="2">
        <f>Tabela16192021[[#This Row],[Quantidade]]*Tabela16192021[[#This Row],[Preço unitario]]</f>
        <v>0</v>
      </c>
      <c r="I25" s="8"/>
      <c r="K25" s="2">
        <f>IFERROR(VLOOKUP(Tabela16192021[[#This Row],[Entrega]],cálculos!$A$4:$B$9,2,FALSE),0)</f>
        <v>0</v>
      </c>
      <c r="L25" s="2">
        <f>Tabela16192021[[#This Row],[Subtotal]]*(1-Tabela16192021[[#This Row],[Desconto]])+Tabela16192021[[#This Row],[Valor De Entrega]]</f>
        <v>0</v>
      </c>
      <c r="M25" s="2" t="str">
        <f>IF(Tabela16192021[[#This Row],[ID da venda]]=B26,"",SUMIF(Tabela16192021[ID da venda],Tabela16192021[[#This Row],[ID da venda]],Tabela16192021[Total] ))</f>
        <v/>
      </c>
    </row>
    <row r="26" spans="2:13" x14ac:dyDescent="0.25">
      <c r="C26" s="34"/>
      <c r="E26" t="str">
        <f>IFERROR(VLOOKUP(Tabela16192021[[#This Row],[Produto]],cálculos!$K$4:$N$32,4,FALSE),"")</f>
        <v/>
      </c>
      <c r="F26">
        <v>1</v>
      </c>
      <c r="G26" s="2">
        <f>IFERROR(VLOOKUP(Tabela16192021[[#This Row],[Produto]],cálculos!$K$4:$N$32,3,FALSE),0)</f>
        <v>0</v>
      </c>
      <c r="H26" s="2">
        <f>Tabela16192021[[#This Row],[Quantidade]]*Tabela16192021[[#This Row],[Preço unitario]]</f>
        <v>0</v>
      </c>
      <c r="I26" s="8"/>
      <c r="K26" s="2">
        <f>IFERROR(VLOOKUP(Tabela16192021[[#This Row],[Entrega]],cálculos!$A$4:$B$9,2,FALSE),0)</f>
        <v>0</v>
      </c>
      <c r="L26" s="2">
        <f>Tabela16192021[[#This Row],[Subtotal]]*(1-Tabela16192021[[#This Row],[Desconto]])+Tabela16192021[[#This Row],[Valor De Entrega]]</f>
        <v>0</v>
      </c>
      <c r="M26" s="2" t="str">
        <f>IF(Tabela16192021[[#This Row],[ID da venda]]=B30,"",SUMIF(Tabela16192021[ID da venda],Tabela16192021[[#This Row],[ID da venda]],Tabela16192021[Total] ))</f>
        <v/>
      </c>
    </row>
    <row r="27" spans="2:13" x14ac:dyDescent="0.25">
      <c r="C27" s="34"/>
      <c r="E27" s="35" t="str">
        <f>IFERROR(VLOOKUP(Tabela16192021[[#This Row],[Produto]],cálculos!$K$4:$N$32,4,FALSE),"")</f>
        <v/>
      </c>
      <c r="F27">
        <v>2</v>
      </c>
      <c r="G27" s="36">
        <f>IFERROR(VLOOKUP(Tabela16192021[[#This Row],[Produto]],cálculos!$K$4:$N$32,3,FALSE),0)</f>
        <v>0</v>
      </c>
      <c r="H27" s="36">
        <f>Tabela16192021[[#This Row],[Quantidade]]*Tabela16192021[[#This Row],[Preço unitario]]</f>
        <v>0</v>
      </c>
      <c r="I27" s="8"/>
      <c r="K27" s="36">
        <f>IFERROR(VLOOKUP(Tabela16192021[[#This Row],[Entrega]],cálculos!$A$4:$B$9,2,FALSE),0)</f>
        <v>0</v>
      </c>
      <c r="L27" s="36">
        <f>Tabela16192021[[#This Row],[Subtotal]]*(1-Tabela16192021[[#This Row],[Desconto]])+Tabela16192021[[#This Row],[Valor De Entrega]]</f>
        <v>0</v>
      </c>
      <c r="M27" s="36" t="str">
        <f>IF(Tabela16192021[[#This Row],[ID da venda]]=B28,"",SUMIF(Tabela16192021[ID da venda],Tabela16192021[[#This Row],[ID da venda]],Tabela16192021[Total] ))</f>
        <v/>
      </c>
    </row>
    <row r="28" spans="2:13" x14ac:dyDescent="0.25">
      <c r="C28" s="34"/>
      <c r="E28" s="35" t="str">
        <f>IFERROR(VLOOKUP(Tabela16192021[[#This Row],[Produto]],cálculos!$K$4:$N$32,4,FALSE),"")</f>
        <v/>
      </c>
      <c r="F28">
        <v>3</v>
      </c>
      <c r="G28" s="36">
        <f>IFERROR(VLOOKUP(Tabela16192021[[#This Row],[Produto]],cálculos!$K$4:$N$32,3,FALSE),0)</f>
        <v>0</v>
      </c>
      <c r="H28" s="36">
        <f>Tabela16192021[[#This Row],[Quantidade]]*Tabela16192021[[#This Row],[Preço unitario]]</f>
        <v>0</v>
      </c>
      <c r="I28" s="8"/>
      <c r="K28" s="36">
        <f>IFERROR(VLOOKUP(Tabela16192021[[#This Row],[Entrega]],cálculos!$A$4:$B$9,2,FALSE),0)</f>
        <v>0</v>
      </c>
      <c r="L28" s="36">
        <f>Tabela16192021[[#This Row],[Subtotal]]*(1-Tabela16192021[[#This Row],[Desconto]])+Tabela16192021[[#This Row],[Valor De Entrega]]</f>
        <v>0</v>
      </c>
      <c r="M28" s="36" t="str">
        <f>IF(Tabela16192021[[#This Row],[ID da venda]]=B29,"",SUMIF(Tabela16192021[ID da venda],Tabela16192021[[#This Row],[ID da venda]],Tabela16192021[Total] ))</f>
        <v/>
      </c>
    </row>
    <row r="29" spans="2:13" x14ac:dyDescent="0.25">
      <c r="C29" s="34"/>
      <c r="E29" s="35" t="str">
        <f>IFERROR(VLOOKUP(Tabela16192021[[#This Row],[Produto]],cálculos!$K$4:$N$32,4,FALSE),"")</f>
        <v/>
      </c>
      <c r="F29">
        <v>1</v>
      </c>
      <c r="G29" s="36">
        <f>IFERROR(VLOOKUP(Tabela16192021[[#This Row],[Produto]],cálculos!$K$4:$N$32,3,FALSE),0)</f>
        <v>0</v>
      </c>
      <c r="H29" s="36">
        <f>Tabela16192021[[#This Row],[Quantidade]]*Tabela16192021[[#This Row],[Preço unitario]]</f>
        <v>0</v>
      </c>
      <c r="I29" s="8"/>
      <c r="K29" s="36">
        <f>IFERROR(VLOOKUP(Tabela16192021[[#This Row],[Entrega]],cálculos!$A$4:$B$9,2,FALSE),0)</f>
        <v>0</v>
      </c>
      <c r="L29" s="36">
        <f>Tabela16192021[[#This Row],[Subtotal]]*(1-Tabela16192021[[#This Row],[Desconto]])+Tabela16192021[[#This Row],[Valor De Entrega]]</f>
        <v>0</v>
      </c>
      <c r="M29" s="36" t="str">
        <f>IF(Tabela16192021[[#This Row],[ID da venda]]=B30,"",SUMIF(Tabela16192021[ID da venda],Tabela16192021[[#This Row],[ID da venda]],Tabela16192021[Total] ))</f>
        <v/>
      </c>
    </row>
    <row r="31" spans="2:13" ht="19.5" thickBot="1" x14ac:dyDescent="0.3">
      <c r="B31" s="20" t="s">
        <v>118</v>
      </c>
      <c r="C31" s="20"/>
      <c r="D31" s="20"/>
      <c r="E31" s="21"/>
      <c r="F31" s="20"/>
      <c r="G31" s="20"/>
      <c r="H31" s="20"/>
      <c r="I31" s="21"/>
      <c r="J31" s="20"/>
      <c r="K31" s="20"/>
      <c r="L31" s="20"/>
      <c r="M31" s="21">
        <f>SUM(Tabela16192021[Total])</f>
        <v>0</v>
      </c>
    </row>
    <row r="32" spans="2:13" ht="19.5" thickBot="1" x14ac:dyDescent="0.3">
      <c r="B32" s="31" t="s">
        <v>119</v>
      </c>
      <c r="C32" s="31"/>
      <c r="D32" s="31"/>
      <c r="E32" s="33"/>
      <c r="F32" s="31"/>
      <c r="G32" s="31"/>
      <c r="H32" s="31"/>
      <c r="I32" s="33"/>
      <c r="J32" s="31"/>
      <c r="K32" s="31"/>
      <c r="L32" s="31"/>
      <c r="M32" s="21">
        <f>SUM(Tabela16192021[Valor De Entrega])</f>
        <v>0</v>
      </c>
    </row>
    <row r="33" spans="2:13" ht="19.5" thickTop="1" x14ac:dyDescent="0.3">
      <c r="B33" s="31" t="s">
        <v>119</v>
      </c>
      <c r="C33" s="31"/>
      <c r="D33" s="31"/>
      <c r="E33" s="33"/>
      <c r="F33" s="31"/>
      <c r="G33" s="31"/>
      <c r="H33" s="31"/>
      <c r="I33" s="33"/>
      <c r="J33" s="31"/>
      <c r="K33" s="31"/>
      <c r="L33" s="31"/>
      <c r="M33" s="60" cm="1">
        <f t="array" ref="M33">SUM(IF(FREQUENCY(Tabela16192021[ID da venda],Tabela16192021[ID da venda])&gt;0,1,0))</f>
        <v>0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4EE1063-DC4B-4B5B-B142-6033F31553D5}">
          <x14:formula1>
            <xm:f>cálculos!$A$3:$A$7</xm:f>
          </x14:formula1>
          <xm:sqref>J4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78148-BE45-4D3A-83CE-C554C68A17A3}">
  <dimension ref="B1:K26"/>
  <sheetViews>
    <sheetView showGridLines="0" workbookViewId="0">
      <selection activeCell="K15" sqref="K15"/>
    </sheetView>
  </sheetViews>
  <sheetFormatPr defaultRowHeight="15" x14ac:dyDescent="0.25"/>
  <cols>
    <col min="3" max="3" width="26.140625" bestFit="1" customWidth="1"/>
    <col min="4" max="4" width="24" bestFit="1" customWidth="1"/>
    <col min="5" max="5" width="2.85546875" customWidth="1"/>
    <col min="6" max="6" width="1.42578125" hidden="1" customWidth="1"/>
    <col min="7" max="8" width="9.140625" hidden="1" customWidth="1"/>
    <col min="9" max="9" width="4.85546875" customWidth="1"/>
    <col min="10" max="10" width="55.28515625" customWidth="1"/>
    <col min="11" max="11" width="27.140625" customWidth="1"/>
    <col min="12" max="12" width="19.7109375" bestFit="1" customWidth="1"/>
  </cols>
  <sheetData>
    <row r="1" spans="2:11" ht="16.5" customHeight="1" x14ac:dyDescent="0.25">
      <c r="E1" s="25"/>
    </row>
    <row r="2" spans="2:11" s="3" customFormat="1" ht="23.25" x14ac:dyDescent="0.25">
      <c r="B2" s="26" t="s">
        <v>141</v>
      </c>
    </row>
    <row r="4" spans="2:11" ht="18.75" x14ac:dyDescent="0.3">
      <c r="I4" s="63" t="s">
        <v>140</v>
      </c>
      <c r="J4" s="63"/>
      <c r="K4" s="63">
        <v>100000</v>
      </c>
    </row>
    <row r="5" spans="2:11" ht="18.75" x14ac:dyDescent="0.3">
      <c r="I5" s="64" t="s">
        <v>93</v>
      </c>
      <c r="J5" s="65" t="s">
        <v>149</v>
      </c>
      <c r="K5" s="66">
        <f>Vendas!D20</f>
        <v>717.31200000000024</v>
      </c>
    </row>
    <row r="6" spans="2:11" ht="18.75" x14ac:dyDescent="0.3">
      <c r="I6" s="64"/>
      <c r="J6" s="64" t="s">
        <v>125</v>
      </c>
      <c r="K6" s="67">
        <f>Vendas!D30</f>
        <v>47</v>
      </c>
    </row>
    <row r="7" spans="2:11" ht="18.75" x14ac:dyDescent="0.3">
      <c r="I7" s="64"/>
      <c r="J7" s="64"/>
      <c r="K7" s="67"/>
    </row>
    <row r="8" spans="2:11" ht="18.75" x14ac:dyDescent="0.3">
      <c r="I8" s="64" t="s">
        <v>142</v>
      </c>
      <c r="J8" s="64"/>
      <c r="K8" s="67">
        <f>0.15*K4</f>
        <v>15000</v>
      </c>
    </row>
    <row r="9" spans="2:11" ht="19.5" thickBot="1" x14ac:dyDescent="0.35">
      <c r="I9" s="68" t="s">
        <v>139</v>
      </c>
      <c r="J9" s="68"/>
      <c r="K9" s="69">
        <f>K4-K8</f>
        <v>85000</v>
      </c>
    </row>
    <row r="10" spans="2:11" ht="19.5" thickTop="1" x14ac:dyDescent="0.3">
      <c r="I10" s="64"/>
      <c r="J10" s="64"/>
      <c r="K10" s="67"/>
    </row>
    <row r="11" spans="2:11" ht="18.75" x14ac:dyDescent="0.3">
      <c r="I11" s="70" t="s">
        <v>143</v>
      </c>
      <c r="J11" s="70"/>
      <c r="K11" s="63">
        <f>SUM(K12:K13)</f>
        <v>65762.600000000006</v>
      </c>
    </row>
    <row r="12" spans="2:11" ht="18.75" x14ac:dyDescent="0.3">
      <c r="I12" s="71"/>
      <c r="J12" s="71" t="s">
        <v>150</v>
      </c>
      <c r="K12" s="72">
        <f>'Compras mecadorias'!I32</f>
        <v>20355.599999999999</v>
      </c>
    </row>
    <row r="13" spans="2:11" ht="18.75" x14ac:dyDescent="0.3">
      <c r="I13" s="71"/>
      <c r="J13" s="71" t="s">
        <v>47</v>
      </c>
      <c r="K13" s="72">
        <f>'Despesas '!G34</f>
        <v>45407</v>
      </c>
    </row>
    <row r="14" spans="2:11" ht="19.5" thickBot="1" x14ac:dyDescent="0.35">
      <c r="I14" s="68"/>
      <c r="J14" s="68"/>
      <c r="K14" s="69"/>
    </row>
    <row r="15" spans="2:11" ht="20.25" thickTop="1" thickBot="1" x14ac:dyDescent="0.35">
      <c r="I15" s="73" t="s">
        <v>148</v>
      </c>
      <c r="J15" s="73"/>
      <c r="K15" s="74">
        <f>K4-K11</f>
        <v>34237.399999999994</v>
      </c>
    </row>
    <row r="16" spans="2:11" ht="19.5" thickTop="1" x14ac:dyDescent="0.3">
      <c r="I16" s="71"/>
      <c r="J16" s="71"/>
      <c r="K16" s="72"/>
    </row>
    <row r="17" spans="6:11" ht="18.75" x14ac:dyDescent="0.3">
      <c r="I17" s="71" t="s">
        <v>7</v>
      </c>
      <c r="J17" s="71"/>
      <c r="K17" s="72">
        <f>Investimentos!E12</f>
        <v>400000</v>
      </c>
    </row>
    <row r="18" spans="6:11" ht="18.75" x14ac:dyDescent="0.3">
      <c r="I18" s="71"/>
      <c r="J18" s="71"/>
      <c r="K18" s="72"/>
    </row>
    <row r="19" spans="6:11" ht="18.75" x14ac:dyDescent="0.3">
      <c r="I19" s="71" t="s">
        <v>144</v>
      </c>
      <c r="J19" s="71"/>
      <c r="K19" s="72">
        <v>300</v>
      </c>
    </row>
    <row r="20" spans="6:11" ht="18.75" x14ac:dyDescent="0.3">
      <c r="I20" s="71"/>
      <c r="J20" s="71"/>
      <c r="K20" s="72"/>
    </row>
    <row r="21" spans="6:11" ht="19.5" thickBot="1" x14ac:dyDescent="0.35">
      <c r="F21" t="s">
        <v>93</v>
      </c>
      <c r="I21" s="75" t="s">
        <v>145</v>
      </c>
      <c r="J21" s="75"/>
      <c r="K21" s="76">
        <f>K15-K17-K19</f>
        <v>-366062.6</v>
      </c>
    </row>
    <row r="22" spans="6:11" ht="19.5" thickTop="1" x14ac:dyDescent="0.3">
      <c r="I22" s="71"/>
      <c r="J22" s="71"/>
      <c r="K22" s="72"/>
    </row>
    <row r="23" spans="6:11" ht="18.75" x14ac:dyDescent="0.3">
      <c r="I23" s="71" t="s">
        <v>146</v>
      </c>
      <c r="J23" s="71"/>
      <c r="K23" s="72">
        <f>IF(K21&gt;0,0.3*K21,0)</f>
        <v>0</v>
      </c>
    </row>
    <row r="24" spans="6:11" ht="18.75" x14ac:dyDescent="0.3">
      <c r="I24" s="71"/>
      <c r="J24" s="71"/>
      <c r="K24" s="72"/>
    </row>
    <row r="25" spans="6:11" ht="19.5" thickBot="1" x14ac:dyDescent="0.35">
      <c r="I25" s="75" t="s">
        <v>147</v>
      </c>
      <c r="J25" s="75"/>
      <c r="K25" s="76">
        <f>K21-K23</f>
        <v>-366062.6</v>
      </c>
    </row>
    <row r="26" spans="6:11" ht="15.75" thickTop="1" x14ac:dyDescent="0.25"/>
  </sheetData>
  <conditionalFormatting sqref="K25 K21 K15">
    <cfRule type="cellIs" dxfId="1" priority="1" operator="greaterThan">
      <formula>0</formula>
    </cfRule>
    <cfRule type="cellIs" dxfId="0" priority="2" operator="lessThan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landscape" horizontalDpi="360" verticalDpi="36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ilha12"/>
  <dimension ref="A2:Q27"/>
  <sheetViews>
    <sheetView topLeftCell="A2" zoomScale="115" zoomScaleNormal="115" workbookViewId="0">
      <selection activeCell="K5" sqref="K5:K6"/>
    </sheetView>
  </sheetViews>
  <sheetFormatPr defaultRowHeight="15" x14ac:dyDescent="0.25"/>
  <cols>
    <col min="1" max="1" width="18.140625" bestFit="1" customWidth="1"/>
    <col min="11" max="11" width="15.7109375" bestFit="1" customWidth="1"/>
    <col min="12" max="12" width="24.140625" bestFit="1" customWidth="1"/>
    <col min="13" max="13" width="23" bestFit="1" customWidth="1"/>
  </cols>
  <sheetData>
    <row r="2" spans="1:14" x14ac:dyDescent="0.25">
      <c r="A2" s="1" t="s">
        <v>110</v>
      </c>
      <c r="B2" s="1" t="s">
        <v>111</v>
      </c>
    </row>
    <row r="3" spans="1:14" x14ac:dyDescent="0.25">
      <c r="A3" t="s">
        <v>112</v>
      </c>
      <c r="B3" s="2">
        <v>5</v>
      </c>
      <c r="K3" s="1" t="s">
        <v>61</v>
      </c>
      <c r="L3" s="1" t="s">
        <v>62</v>
      </c>
      <c r="M3" s="1" t="s">
        <v>63</v>
      </c>
      <c r="N3" s="1" t="s">
        <v>56</v>
      </c>
    </row>
    <row r="4" spans="1:14" x14ac:dyDescent="0.25">
      <c r="A4" t="s">
        <v>113</v>
      </c>
      <c r="B4" s="2">
        <v>0</v>
      </c>
      <c r="K4" t="s">
        <v>20</v>
      </c>
      <c r="L4" s="2">
        <v>2.8405</v>
      </c>
      <c r="M4" s="2">
        <v>2.99</v>
      </c>
      <c r="N4" t="s">
        <v>64</v>
      </c>
    </row>
    <row r="5" spans="1:14" x14ac:dyDescent="0.25">
      <c r="A5" t="s">
        <v>114</v>
      </c>
      <c r="B5" s="2">
        <v>6.5</v>
      </c>
      <c r="K5" t="s">
        <v>29</v>
      </c>
      <c r="L5" s="2">
        <v>1.0580000000000001</v>
      </c>
      <c r="M5" s="2">
        <v>1.1499999999999999</v>
      </c>
      <c r="N5" t="s">
        <v>65</v>
      </c>
    </row>
    <row r="6" spans="1:14" x14ac:dyDescent="0.25">
      <c r="A6" t="s">
        <v>115</v>
      </c>
      <c r="B6" s="2">
        <v>8</v>
      </c>
      <c r="K6" t="s">
        <v>17</v>
      </c>
      <c r="L6" s="2">
        <v>2.3406000000000002</v>
      </c>
      <c r="M6" s="2">
        <v>2.4900000000000002</v>
      </c>
      <c r="N6" t="s">
        <v>66</v>
      </c>
    </row>
    <row r="7" spans="1:14" x14ac:dyDescent="0.25">
      <c r="A7" t="s">
        <v>116</v>
      </c>
      <c r="B7" s="2">
        <v>6.5</v>
      </c>
      <c r="K7" t="s">
        <v>34</v>
      </c>
      <c r="L7" s="2">
        <v>1.8506999999999998</v>
      </c>
      <c r="M7" s="2">
        <v>1.99</v>
      </c>
      <c r="N7" t="s">
        <v>65</v>
      </c>
    </row>
    <row r="8" spans="1:14" x14ac:dyDescent="0.25">
      <c r="K8" t="s">
        <v>37</v>
      </c>
      <c r="L8" s="2">
        <v>1.0924999999999998</v>
      </c>
      <c r="M8" s="2">
        <v>1.1499999999999999</v>
      </c>
      <c r="N8" t="s">
        <v>65</v>
      </c>
    </row>
    <row r="9" spans="1:14" x14ac:dyDescent="0.25">
      <c r="K9" t="s">
        <v>33</v>
      </c>
      <c r="L9" s="2">
        <v>0.74260000000000004</v>
      </c>
      <c r="M9" s="2">
        <v>0.79</v>
      </c>
      <c r="N9" t="s">
        <v>65</v>
      </c>
    </row>
    <row r="10" spans="1:14" x14ac:dyDescent="0.25">
      <c r="E10" cm="1">
        <f t="array" ref="E10">SUM(IF(FREQUENCY(B12:B19,B12:B19)&gt;0,1,0))</f>
        <v>3</v>
      </c>
      <c r="K10" t="s">
        <v>21</v>
      </c>
      <c r="L10" s="2">
        <v>14.469000000000001</v>
      </c>
      <c r="M10" s="2">
        <v>15.9</v>
      </c>
      <c r="N10" t="s">
        <v>66</v>
      </c>
    </row>
    <row r="11" spans="1:14" x14ac:dyDescent="0.25">
      <c r="K11" t="s">
        <v>27</v>
      </c>
      <c r="L11" s="2">
        <v>3.6309000000000005</v>
      </c>
      <c r="M11" s="2">
        <v>3.99</v>
      </c>
      <c r="N11" t="s">
        <v>66</v>
      </c>
    </row>
    <row r="12" spans="1:14" x14ac:dyDescent="0.25">
      <c r="B12">
        <v>1</v>
      </c>
      <c r="D12">
        <f t="array" ref="D12:D20">FREQUENCY(B12:B19,B12:B19)</f>
        <v>3</v>
      </c>
      <c r="E12">
        <f>IF(D12&gt;0,1,0)</f>
        <v>1</v>
      </c>
      <c r="K12" t="s">
        <v>30</v>
      </c>
      <c r="L12" s="2">
        <v>2.1023999999999998</v>
      </c>
      <c r="M12" s="2">
        <v>2.19</v>
      </c>
      <c r="N12" t="s">
        <v>69</v>
      </c>
    </row>
    <row r="13" spans="1:14" x14ac:dyDescent="0.25">
      <c r="B13">
        <v>1</v>
      </c>
      <c r="D13">
        <v>0</v>
      </c>
      <c r="K13" t="s">
        <v>35</v>
      </c>
      <c r="L13" s="2">
        <v>4.5409000000000006</v>
      </c>
      <c r="M13" s="2">
        <v>4.99</v>
      </c>
      <c r="N13" t="s">
        <v>70</v>
      </c>
    </row>
    <row r="14" spans="1:14" x14ac:dyDescent="0.25">
      <c r="B14">
        <v>1</v>
      </c>
      <c r="D14">
        <v>0</v>
      </c>
      <c r="K14" t="s">
        <v>36</v>
      </c>
      <c r="L14" s="2">
        <v>6.3449999999999998</v>
      </c>
      <c r="M14" s="2">
        <v>6.75</v>
      </c>
      <c r="N14" t="s">
        <v>71</v>
      </c>
    </row>
    <row r="15" spans="1:14" x14ac:dyDescent="0.25">
      <c r="B15">
        <v>2</v>
      </c>
      <c r="D15">
        <v>2</v>
      </c>
      <c r="K15" t="s">
        <v>32</v>
      </c>
      <c r="L15" s="2">
        <v>2.3660000000000001</v>
      </c>
      <c r="M15" s="2">
        <v>2.6</v>
      </c>
      <c r="N15" t="s">
        <v>64</v>
      </c>
    </row>
    <row r="16" spans="1:14" x14ac:dyDescent="0.25">
      <c r="B16">
        <v>2</v>
      </c>
      <c r="D16">
        <v>0</v>
      </c>
      <c r="K16" t="s">
        <v>18</v>
      </c>
      <c r="L16" s="2">
        <v>4.0659999999999998</v>
      </c>
      <c r="M16" s="2">
        <v>4.28</v>
      </c>
      <c r="N16" t="s">
        <v>66</v>
      </c>
    </row>
    <row r="17" spans="2:17" x14ac:dyDescent="0.25">
      <c r="B17">
        <v>3</v>
      </c>
      <c r="D17">
        <v>3</v>
      </c>
      <c r="K17" t="s">
        <v>22</v>
      </c>
      <c r="L17" s="2">
        <v>6.4216000000000006</v>
      </c>
      <c r="M17" s="2">
        <v>6.98</v>
      </c>
      <c r="N17" t="s">
        <v>66</v>
      </c>
    </row>
    <row r="18" spans="2:17" x14ac:dyDescent="0.25">
      <c r="B18">
        <v>3</v>
      </c>
      <c r="D18">
        <v>0</v>
      </c>
      <c r="K18" t="s">
        <v>67</v>
      </c>
      <c r="L18" s="2">
        <v>1.3708</v>
      </c>
      <c r="M18" s="2">
        <v>1.49</v>
      </c>
      <c r="N18" t="s">
        <v>68</v>
      </c>
    </row>
    <row r="19" spans="2:17" x14ac:dyDescent="0.25">
      <c r="B19">
        <v>3</v>
      </c>
      <c r="D19">
        <v>0</v>
      </c>
      <c r="K19" t="s">
        <v>72</v>
      </c>
      <c r="L19" s="2">
        <v>2.6299000000000001</v>
      </c>
      <c r="M19" s="2">
        <v>2.89</v>
      </c>
      <c r="N19" t="s">
        <v>64</v>
      </c>
    </row>
    <row r="20" spans="2:17" x14ac:dyDescent="0.25">
      <c r="D20">
        <v>0</v>
      </c>
      <c r="K20" t="s">
        <v>23</v>
      </c>
      <c r="L20" s="2">
        <v>22.226999999999997</v>
      </c>
      <c r="M20" s="2">
        <v>23.9</v>
      </c>
      <c r="N20" t="s">
        <v>66</v>
      </c>
    </row>
    <row r="21" spans="2:17" x14ac:dyDescent="0.25">
      <c r="K21" t="s">
        <v>24</v>
      </c>
      <c r="L21" s="2">
        <v>23.827999999999999</v>
      </c>
      <c r="M21" s="2">
        <v>25.9</v>
      </c>
      <c r="N21" t="s">
        <v>66</v>
      </c>
    </row>
    <row r="22" spans="2:17" x14ac:dyDescent="0.25">
      <c r="K22" t="s">
        <v>73</v>
      </c>
      <c r="L22" s="2">
        <v>2.1749000000000001</v>
      </c>
      <c r="M22" s="2">
        <v>2.39</v>
      </c>
      <c r="N22" t="s">
        <v>68</v>
      </c>
    </row>
    <row r="23" spans="2:17" x14ac:dyDescent="0.25">
      <c r="K23" t="s">
        <v>26</v>
      </c>
      <c r="L23" s="2">
        <v>3.2084999999999999</v>
      </c>
      <c r="M23" s="2">
        <v>3.45</v>
      </c>
      <c r="N23" t="s">
        <v>68</v>
      </c>
      <c r="Q23" t="s">
        <v>159</v>
      </c>
    </row>
    <row r="24" spans="2:17" x14ac:dyDescent="0.25">
      <c r="K24" t="s">
        <v>19</v>
      </c>
      <c r="L24" s="2">
        <v>5.3544000000000009</v>
      </c>
      <c r="M24" s="2">
        <v>5.82</v>
      </c>
      <c r="N24" t="s">
        <v>66</v>
      </c>
    </row>
    <row r="25" spans="2:17" x14ac:dyDescent="0.25">
      <c r="K25" t="s">
        <v>28</v>
      </c>
      <c r="L25" s="2">
        <v>9.1009999999999991</v>
      </c>
      <c r="M25" s="2">
        <v>9.58</v>
      </c>
      <c r="N25" t="s">
        <v>66</v>
      </c>
    </row>
    <row r="26" spans="2:17" x14ac:dyDescent="0.25">
      <c r="K26" t="s">
        <v>25</v>
      </c>
      <c r="L26" s="2">
        <v>26.012999999999998</v>
      </c>
      <c r="M26" s="2">
        <v>29.9</v>
      </c>
      <c r="N26" t="s">
        <v>74</v>
      </c>
    </row>
    <row r="27" spans="2:17" x14ac:dyDescent="0.25">
      <c r="K27" t="s">
        <v>31</v>
      </c>
      <c r="L27" s="2">
        <v>46.664999999999999</v>
      </c>
      <c r="M27" s="2">
        <v>54.9</v>
      </c>
      <c r="N27" t="s">
        <v>74</v>
      </c>
    </row>
  </sheetData>
  <autoFilter ref="K3:N3" xr:uid="{00000000-0001-0000-0700-000000000000}">
    <sortState xmlns:xlrd2="http://schemas.microsoft.com/office/spreadsheetml/2017/richdata2" ref="K4:N27">
      <sortCondition ref="K3"/>
    </sortState>
  </autoFilter>
  <sortState xmlns:xlrd2="http://schemas.microsoft.com/office/spreadsheetml/2017/richdata2" ref="K4:N27">
    <sortCondition ref="K3:K27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15</vt:i4>
      </vt:variant>
      <vt:variant>
        <vt:lpstr>Intervalos Nomeados</vt:lpstr>
      </vt:variant>
      <vt:variant>
        <vt:i4>1</vt:i4>
      </vt:variant>
    </vt:vector>
  </HeadingPairs>
  <TitlesOfParts>
    <vt:vector size="16" baseType="lpstr">
      <vt:lpstr>Menu</vt:lpstr>
      <vt:lpstr>Despesas </vt:lpstr>
      <vt:lpstr>Compras mecadorias</vt:lpstr>
      <vt:lpstr>Investimentos</vt:lpstr>
      <vt:lpstr>Controle de Estoque</vt:lpstr>
      <vt:lpstr>Vendas</vt:lpstr>
      <vt:lpstr>Vendas semana 1</vt:lpstr>
      <vt:lpstr>Vendas semana 2</vt:lpstr>
      <vt:lpstr>Analise semana 1</vt:lpstr>
      <vt:lpstr>Analise semana 2</vt:lpstr>
      <vt:lpstr>Vendas semana 3</vt:lpstr>
      <vt:lpstr>Vendas semana 4</vt:lpstr>
      <vt:lpstr>Vendas semana 5</vt:lpstr>
      <vt:lpstr>Resultados</vt:lpstr>
      <vt:lpstr>cálculos</vt:lpstr>
      <vt:lpstr>Resultados!Area_de_impressao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Joao Paulo de Lira</dc:creator>
  <cp:lastModifiedBy>Jose Roberto Neto</cp:lastModifiedBy>
  <cp:lastPrinted>2022-09-18T19:41:35Z</cp:lastPrinted>
  <dcterms:created xsi:type="dcterms:W3CDTF">2015-06-24T19:21:22Z</dcterms:created>
  <dcterms:modified xsi:type="dcterms:W3CDTF">2022-09-20T19:46:08Z</dcterms:modified>
</cp:coreProperties>
</file>