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user\Desktop\"/>
    </mc:Choice>
  </mc:AlternateContent>
  <bookViews>
    <workbookView xWindow="0" yWindow="0" windowWidth="19200" windowHeight="6990"/>
  </bookViews>
  <sheets>
    <sheet name="108年度績效執行表(1080101-108123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 i="1" l="1"/>
  <c r="F37" i="1"/>
  <c r="F36" i="1"/>
  <c r="F35" i="1"/>
  <c r="F34" i="1"/>
  <c r="F33" i="1"/>
  <c r="F32" i="1"/>
  <c r="F31" i="1"/>
  <c r="F30" i="1"/>
  <c r="F29" i="1"/>
  <c r="F28" i="1"/>
  <c r="F27" i="1"/>
  <c r="F26" i="1"/>
  <c r="F25" i="1"/>
  <c r="F24" i="1"/>
  <c r="F23" i="1"/>
  <c r="F22" i="1"/>
  <c r="E22" i="1"/>
  <c r="F21" i="1"/>
  <c r="E21" i="1"/>
  <c r="F20" i="1"/>
  <c r="F19" i="1"/>
  <c r="F18" i="1"/>
  <c r="F17" i="1"/>
  <c r="F16" i="1"/>
  <c r="F15" i="1"/>
  <c r="F14" i="1"/>
  <c r="F13" i="1"/>
  <c r="F12" i="1"/>
  <c r="F11" i="1"/>
  <c r="F10" i="1"/>
  <c r="F9" i="1"/>
  <c r="F8" i="1"/>
  <c r="F7" i="1"/>
  <c r="F4" i="1"/>
  <c r="F3" i="1"/>
</calcChain>
</file>

<file path=xl/sharedStrings.xml><?xml version="1.0" encoding="utf-8"?>
<sst xmlns="http://schemas.openxmlformats.org/spreadsheetml/2006/main" count="223" uniqueCount="198">
  <si>
    <r>
      <t>【優化技職計畫】</t>
    </r>
    <r>
      <rPr>
        <b/>
        <sz val="14"/>
        <color rgb="FFFF0000"/>
        <rFont val="微軟正黑體"/>
        <family val="2"/>
        <charset val="136"/>
      </rPr>
      <t>資料計算期間：2019.01.01~2019.12.31</t>
    </r>
    <phoneticPr fontId="3" type="noConversion"/>
  </si>
  <si>
    <t>NO</t>
    <phoneticPr fontId="3" type="noConversion"/>
  </si>
  <si>
    <t>項目</t>
  </si>
  <si>
    <t>預期KPI目標值</t>
    <phoneticPr fontId="3" type="noConversion"/>
  </si>
  <si>
    <t>KPI達成值</t>
    <phoneticPr fontId="3" type="noConversion"/>
  </si>
  <si>
    <t>達成率(%)</t>
    <phoneticPr fontId="3" type="noConversion"/>
  </si>
  <si>
    <t>執行單位</t>
    <phoneticPr fontId="3" type="noConversion"/>
  </si>
  <si>
    <t>執行人</t>
    <phoneticPr fontId="3" type="noConversion"/>
  </si>
  <si>
    <t>合作單位</t>
    <phoneticPr fontId="3" type="noConversion"/>
  </si>
  <si>
    <t>說明</t>
    <phoneticPr fontId="3" type="noConversion"/>
  </si>
  <si>
    <t>優-01</t>
    <phoneticPr fontId="3" type="noConversion"/>
  </si>
  <si>
    <t>培育學生人數</t>
    <phoneticPr fontId="3" type="noConversion"/>
  </si>
  <si>
    <t>技優生人數(累計)</t>
    <phoneticPr fontId="3" type="noConversion"/>
  </si>
  <si>
    <t>80人</t>
    <phoneticPr fontId="3" type="noConversion"/>
  </si>
  <si>
    <t>流通管理系107年度7位；108年度9位
資訊工程系107年度29位；108年度23位
資訊管理系107年度4位
商業經營系108年度8位</t>
    <phoneticPr fontId="3" type="noConversion"/>
  </si>
  <si>
    <t>優化技職計畫專案辦公室</t>
    <phoneticPr fontId="3" type="noConversion"/>
  </si>
  <si>
    <t xml:space="preserve">招生人數 </t>
  </si>
  <si>
    <t>一般生人數(累計)</t>
    <phoneticPr fontId="3" type="noConversion"/>
  </si>
  <si>
    <t>160人</t>
    <phoneticPr fontId="3" type="noConversion"/>
  </si>
  <si>
    <t>170人</t>
    <phoneticPr fontId="3" type="noConversion"/>
  </si>
  <si>
    <t>流通管理系107年度68位；108年度12位
資訊工程系107年度11位；108年度23位
資訊管理系107年度43位
商業經營系108年度13位</t>
    <phoneticPr fontId="3" type="noConversion"/>
  </si>
  <si>
    <t xml:space="preserve">輔導人數 </t>
  </si>
  <si>
    <t>優-02</t>
  </si>
  <si>
    <t>受補助計畫實作（習）學生畢業後就業率</t>
    <phoneticPr fontId="3" type="noConversion"/>
  </si>
  <si>
    <t>本計畫畢業後就業人數</t>
  </si>
  <si>
    <t>0</t>
    <phoneticPr fontId="3" type="noConversion"/>
  </si>
  <si>
    <t>學員尚未畢業</t>
    <phoneticPr fontId="3" type="noConversion"/>
  </si>
  <si>
    <t>-</t>
    <phoneticPr fontId="3" type="noConversion"/>
  </si>
  <si>
    <t>優化技職計畫專案辦公室</t>
    <phoneticPr fontId="3" type="noConversion"/>
  </si>
  <si>
    <t>就業人數</t>
  </si>
  <si>
    <t>就業率</t>
    <phoneticPr fontId="3" type="noConversion"/>
  </si>
  <si>
    <t>學員尚未畢業</t>
    <phoneticPr fontId="3" type="noConversion"/>
  </si>
  <si>
    <t>-</t>
    <phoneticPr fontId="3" type="noConversion"/>
  </si>
  <si>
    <t>就業成長率</t>
    <phoneticPr fontId="3" type="noConversion"/>
  </si>
  <si>
    <t>優-03</t>
  </si>
  <si>
    <t>協助企業申請政府部門產學合作計畫</t>
    <phoneticPr fontId="3" type="noConversion"/>
  </si>
  <si>
    <t>件數</t>
    <phoneticPr fontId="3" type="noConversion"/>
  </si>
  <si>
    <t>3件</t>
    <phoneticPr fontId="3" type="noConversion"/>
  </si>
  <si>
    <t>1.108年度學界協助中小企業科技關懷計畫-製程管理流程分析與電子化科技規劃(2019/6/1-2019/11/30) 教師1人 學生1人 共72000元
2.雲端AI點滴監控系統 教師1人 學生5人
3.智慧商業應用實務人才培訓/智慧商業進階技術培訓課程 教師4人 學生15人</t>
    <phoneticPr fontId="3" type="noConversion"/>
  </si>
  <si>
    <t>1.資訊管理系
2.智慧產業學院
3.資訊與流通學院</t>
    <phoneticPr fontId="3" type="noConversion"/>
  </si>
  <si>
    <t>1.王淑玲 副教授
2.林文燦 院長
3.陳志騰 助理教授、連俊瑋 副教授、侯幸雨 助理教授、吳佩蓉 助理教授</t>
    <phoneticPr fontId="3" type="noConversion"/>
  </si>
  <si>
    <t>1.財團法人金屬工業研究發展中心/經濟部
2.玹瓏實業股份有限公司/經濟部中小企業處
3.中華民國物流協會/經濟部商業司</t>
    <phoneticPr fontId="3" type="noConversion"/>
  </si>
  <si>
    <t xml:space="preserve">申請件數 </t>
  </si>
  <si>
    <t>學生參與人數</t>
    <phoneticPr fontId="3" type="noConversion"/>
  </si>
  <si>
    <t>20人</t>
    <phoneticPr fontId="3" type="noConversion"/>
  </si>
  <si>
    <t>21人</t>
    <phoneticPr fontId="3" type="noConversion"/>
  </si>
  <si>
    <t xml:space="preserve">參與人數 </t>
  </si>
  <si>
    <t>優-04</t>
  </si>
  <si>
    <t>協助企業代操作或檢驗</t>
    <phoneticPr fontId="3" type="noConversion"/>
  </si>
  <si>
    <t>1件</t>
    <phoneticPr fontId="3" type="noConversion"/>
  </si>
  <si>
    <t>8件</t>
    <phoneticPr fontId="3" type="noConversion"/>
  </si>
  <si>
    <t xml:space="preserve">
1.跨平台行動應用Cordova 框架支援原生外掛元件之研製(2019/1/1-2019/06/30)教師2人 共50000元
2.停車場網頁式車牌辨識收費系統之研究 教師1人 共50000元
3.智慧醫療終端應用系統之研製(2019/6/1-2019/11/30) 教師1人 學生4人 共300000元
4.平傳媒官網及行動APP平台開發(2019/6/1-2020/5/31) 教師1人 學生3人 共180000元
5.服務型機器人場域實證回饋意見研究(2019/6/5-2019/10/31)教師1人 學生2人 共680000元
6.智慧製造開源laaS系統建置之研製(2019/5/1-2019/8/31)教師2人 學生3人 共200000元
7.智慧商區共同行銷平台效益及現況調查(2019/7/25-2019/11/15) 教師3人 共300000元
8.運用空拍技術於社區營造之應用(2019/8/1-2020/7/31) 教師1人 學生1人 共25000元</t>
    <phoneticPr fontId="3" type="noConversion"/>
  </si>
  <si>
    <r>
      <t>1.</t>
    </r>
    <r>
      <rPr>
        <sz val="10"/>
        <rFont val="微軟正黑體"/>
        <family val="2"/>
        <charset val="136"/>
      </rPr>
      <t>資訊創新應用與服務中心/資工系</t>
    </r>
    <r>
      <rPr>
        <sz val="12"/>
        <rFont val="微軟正黑體"/>
        <family val="2"/>
        <charset val="136"/>
      </rPr>
      <t xml:space="preserve">
2.資訊管理系
3.</t>
    </r>
    <r>
      <rPr>
        <sz val="10"/>
        <rFont val="微軟正黑體"/>
        <family val="2"/>
        <charset val="136"/>
      </rPr>
      <t>資訊創新應用與服務中心/資工系</t>
    </r>
    <r>
      <rPr>
        <sz val="12"/>
        <rFont val="微軟正黑體"/>
        <family val="2"/>
        <charset val="136"/>
      </rPr>
      <t xml:space="preserve">
4.資訊管理系
5.流通管理系
6.</t>
    </r>
    <r>
      <rPr>
        <sz val="10"/>
        <rFont val="微軟正黑體"/>
        <family val="2"/>
        <charset val="136"/>
      </rPr>
      <t>資訊創新應用與服務中心/資工系
7</t>
    </r>
    <r>
      <rPr>
        <sz val="12"/>
        <rFont val="微軟正黑體"/>
        <family val="2"/>
        <charset val="136"/>
      </rPr>
      <t>.資訊管理系
8.資訊管理系</t>
    </r>
    <phoneticPr fontId="3" type="noConversion"/>
  </si>
  <si>
    <t>1.陳弘明 教授
2.廖士寬 副教授
3.陳弘明 教授
4.蕭國倫 教授
5.蕭衛鴻 助理教授
6.陳弘明(主) 教授 盧永豐(協) 副教授
7.連俊瑋(主) 陳志騰(協) 徐旺興(協)
8.林文彥 助理教授</t>
    <phoneticPr fontId="3" type="noConversion"/>
  </si>
  <si>
    <r>
      <t>1.展輝科技股份有限公司
2.</t>
    </r>
    <r>
      <rPr>
        <sz val="11"/>
        <rFont val="微軟正黑體"/>
        <family val="2"/>
        <charset val="136"/>
      </rPr>
      <t>財團法人台中市私立慶炎慈善會</t>
    </r>
    <r>
      <rPr>
        <sz val="12"/>
        <rFont val="微軟正黑體"/>
        <family val="2"/>
        <charset val="136"/>
      </rPr>
      <t xml:space="preserve">
3.華廣生技股份有限公司
4.新一代時報股份有限公司
5.財團法人資訊工業策進會
6.明昌國際工業股份有限公司
7.財團法人工業技術研究院
8.財團法人公益傳播基金會</t>
    </r>
    <phoneticPr fontId="3" type="noConversion"/>
  </si>
  <si>
    <t>金額</t>
    <phoneticPr fontId="3" type="noConversion"/>
  </si>
  <si>
    <t>15,000元</t>
    <phoneticPr fontId="3" type="noConversion"/>
  </si>
  <si>
    <t>1,785,000‬元</t>
    <phoneticPr fontId="3" type="noConversion"/>
  </si>
  <si>
    <t>學生參與人數</t>
  </si>
  <si>
    <t>10人</t>
    <phoneticPr fontId="3" type="noConversion"/>
  </si>
  <si>
    <t>13人</t>
    <phoneticPr fontId="3" type="noConversion"/>
  </si>
  <si>
    <t>優-05</t>
  </si>
  <si>
    <t>協助合作企業代訓員工</t>
    <phoneticPr fontId="3" type="noConversion"/>
  </si>
  <si>
    <t>總人次</t>
    <phoneticPr fontId="3" type="noConversion"/>
  </si>
  <si>
    <t>25人</t>
    <phoneticPr fontId="3" type="noConversion"/>
  </si>
  <si>
    <t>26人</t>
    <phoneticPr fontId="3" type="noConversion"/>
  </si>
  <si>
    <t>1.服務設計教學指引手冊研發計畫(2019/4/1-2020/2/29) 教師3人 共450000元
2.商業模式課程系統規劃與學習成效分析(2019/7/1-2019/12/31)教師3人 學生2人 共80000元
3.應用於觸控螢幕與攝影機之深度學習邊緣運算模型之加速技術之研製(2019/8/1-2020/1/31)教師3人 學生4人 共300000元
4.AIoT跨域人才∞翻轉未來-中部攬才活動規劃(2019/7/23-2019/8/15) 教師3人 共280000元
5.AIoT跨域人才∞翻轉未來-中部攬才活動執行(2019/9/2-2019/11/8) 教師4人 共920000元
6.全球供應鏈市場競爭策略研習班(2019/10/22) 教師1人 學生3人 共6000元</t>
    <phoneticPr fontId="3" type="noConversion"/>
  </si>
  <si>
    <t>1.資訊管理系
2.資訊與流通學院
3.資訊創新應用與服務中心/資工系
4.流通管理系
5.流通管理系
6.資訊與流通學院</t>
    <phoneticPr fontId="3" type="noConversion"/>
  </si>
  <si>
    <t>1.連俊瑋
2.陳志騰(主) 侯幸雨(協) 吳佩蓉(協) 陳世豪(協)
3.陳弘明(主) 陳世穎(協) 張翠蘋(協)
4.蕭衛鴻(主) 陳志騰(協) 常棕盛(協)
5.蕭衛鴻(主) 黃秀美(協) 陳民枝(協) 范敏玄(協)
6.陳志騰</t>
    <phoneticPr fontId="3" type="noConversion"/>
  </si>
  <si>
    <t>1.社團法人台灣服務科學學會
2.中華民國物流協會
3.FLOPS.AI LLC
4.財團法人工業技術研究院
5.財團法人工業技術研究院
6.經濟部專業人員研究中心</t>
    <phoneticPr fontId="3" type="noConversion"/>
  </si>
  <si>
    <t>總金額</t>
    <phoneticPr fontId="3" type="noConversion"/>
  </si>
  <si>
    <t>200,000元</t>
    <phoneticPr fontId="3" type="noConversion"/>
  </si>
  <si>
    <t>2036000元</t>
    <phoneticPr fontId="3" type="noConversion"/>
  </si>
  <si>
    <t>優-06</t>
  </si>
  <si>
    <t>學校研發特定應用技術移轉或授權</t>
    <phoneticPr fontId="3" type="noConversion"/>
  </si>
  <si>
    <t xml:space="preserve">件數 </t>
    <phoneticPr fontId="3" type="noConversion"/>
  </si>
  <si>
    <t>2件</t>
    <phoneticPr fontId="3" type="noConversion"/>
  </si>
  <si>
    <t>1. 網路爬蟲框架設計與深度學習模型建構技術之研製(2019/1/1-2019/12/31)
    共5人  共 600,000元 (含300,000元技轉金)
2. 跨平台行動應用Cordova 框架支援原生外掛元件之研製(2019/1/1-2019/6/30)
    共0人  共 50,000元 (含25,000元技轉金)</t>
    <phoneticPr fontId="3" type="noConversion"/>
  </si>
  <si>
    <t>資訊創新應用與服務中心/資工系</t>
    <phoneticPr fontId="3" type="noConversion"/>
  </si>
  <si>
    <t>陳弘明 教授</t>
    <phoneticPr fontId="3" type="noConversion"/>
  </si>
  <si>
    <t>1. 怪點子有限公司
2. 展輝科技股份有限公司</t>
    <phoneticPr fontId="3" type="noConversion"/>
  </si>
  <si>
    <t xml:space="preserve">技轉、技服案數 </t>
  </si>
  <si>
    <t>50,000元</t>
    <phoneticPr fontId="3" type="noConversion"/>
  </si>
  <si>
    <t>325,000元</t>
    <phoneticPr fontId="3" type="noConversion"/>
  </si>
  <si>
    <t xml:space="preserve">技轉、技服金額 </t>
  </si>
  <si>
    <t>總學生參與人數</t>
  </si>
  <si>
    <t>5人</t>
    <phoneticPr fontId="3" type="noConversion"/>
  </si>
  <si>
    <t>5人</t>
    <phoneticPr fontId="3" type="noConversion"/>
  </si>
  <si>
    <t xml:space="preserve">共同研發參與學生人數 </t>
  </si>
  <si>
    <t>優-07</t>
  </si>
  <si>
    <t>企業捐贈教學設備或材料</t>
    <phoneticPr fontId="3" type="noConversion"/>
  </si>
  <si>
    <t>件數</t>
  </si>
  <si>
    <t>1件</t>
    <phoneticPr fontId="3" type="noConversion"/>
  </si>
  <si>
    <t>智能揀貨台車 80,000元</t>
    <phoneticPr fontId="3" type="noConversion"/>
  </si>
  <si>
    <t>財團法人工業技術研究院</t>
    <phoneticPr fontId="3" type="noConversion"/>
  </si>
  <si>
    <t xml:space="preserve">簽訂捐贈合約件數 </t>
  </si>
  <si>
    <t>金額</t>
    <phoneticPr fontId="3" type="noConversion"/>
  </si>
  <si>
    <t>80,000元</t>
    <phoneticPr fontId="3" type="noConversion"/>
  </si>
  <si>
    <t>80000元</t>
    <phoneticPr fontId="3" type="noConversion"/>
  </si>
  <si>
    <t xml:space="preserve">簽訂捐贈合約金額 </t>
  </si>
  <si>
    <t>優-08</t>
  </si>
  <si>
    <t>與國家重點產業及前瞻基礎建設相關之產學合作計畫件數與金額成長比例</t>
    <phoneticPr fontId="3" type="noConversion"/>
  </si>
  <si>
    <t>21件</t>
    <phoneticPr fontId="3" type="noConversion"/>
  </si>
  <si>
    <t>1. 互聯網產業輔導計畫-跨境電商國內報稅問題(2019/2/1-2019/6/30)共 91,728   教師共4人  學生共2人
2. 員生消費合作社社籍及消費管理系統(2019/3/15-2019/9/15)共 50,000  教師共1人  學生共1人
3. 智慧倉儲管理系統(WMS)教材編纂諮詢與核心模組製作(2019/1/1-2019/4/30)共 100,000  教師共3人  學生共0人
4.雲端門禁管理系統設計(2019/5/15-2019/11/15) 教師1人 學生5人 共50000元
5.國際大廠之物流倉儲發展觀測(2019/5/10-2019/9/16) 教師2人 學生2人 共150000元
6.結合藍芽腦波機之智慧終端應用系統優化之研製(2019/06/01-2019/08/31)教師2人 學生2人 共150000元
7.開源雲端Portal與邊緣運算之研究(2019/5/1-2020/4/30) 教師2人 學生5人 共300000元
8.臺中市產業發展暨聯盟平台維運計畫-兩岸合作之臺中市物流產業調查研究(2019/5/8-2019/8/30) 教師2人 共60000元
9.雲端POS結合點數經濟之市場需求調查與協助導入研究(2019/7/1-2019/12/31)教師3人 學生2人 共105000元
10.連續血糖偵測系統之Ios app研製(2019/7/31-2019/12/31)教師1人 學生3人 共300000元
11.108年度國中小代理代課教師暨幼兒園教保服務人員人才庫平臺客服暨管理維運(2019/1/1-2019/12/31)學生0人
12.智慧倉儲管理系統(WMS)教材編纂諮詢與核心模組製作(2019/1/1-2019/04/30)教師3人 共100000元
13.暢遊網宇領航員-全通路網路開店推廣活動規劃與執行(2019/4/15-2019/10/15)教師3人 學生2人 共35000元
14.借用帳設備系統暨看板系統(2019/06/01-2020/06/30) 教師1人 共50000元
15.AOI設備演算法顧問服務(2019/1/1-2019/12/31)教師3人 學生1人 共1200000元
16.DSL研究計畫(2019/10/1-2023/7/1) 教師1人 學生3人 共2000000元
17.自動導引車之二維導航移動控制模組(2019/7/17-2019/11/20) 教師2人 學生4人 共150000元
18.袋包業訂單允諾機制下之最佳化生產規劃策略之研究(108/11/01-109/10/31) 教師1人 共500000元
19.貨就人揀貨系統之貨架儲位指派最佳化(108/11/01-109/10/31) 教師1人 共580000元
20.快遞單據數位化之人機協作程序與核心模組研發(108/11/01-109/10/31) 教師1人 共534000元
21.物流單據內容數位化之影像辨識技術發展(2019/7/1-2019/12/31) 教師3人 共200000元</t>
    <phoneticPr fontId="3" type="noConversion"/>
  </si>
  <si>
    <t>1. 國際貿易與經營系
2. 資訊管理系
3. 資訊與流通學院
4.資訊管理系
5.流通管理系
6.資訊創新應用與服務中心/資工系
7.資訊創新應用與服務中心/資工系
8.流通管理系
9.資訊與流通學院
10.資訊創新應用與服務中心/資工系
11.休閒事業經營系
12.資訊與流通學院
13.資訊工程系
14.資訊管理系
15.資訊工程系
16.資訊工程系
17.資訊管理系
18.資訊與流通學院
19.流通管理系
20.資訊管理系(含碩士班)
21.資訊與流通學院</t>
    <phoneticPr fontId="3" type="noConversion"/>
  </si>
  <si>
    <t>1. 陳佳宜(主) 助理教授 李隆生(協) 教授 林家慶(協) 教授 李桂枝(協)副教授
2. 許雯絞 助理教授
3. 陳志騰(主) 助理教授 侯幸雨(協) 助理教授 吳佩蓉(協) 助理教授
4.駱榮問 副教授
5.蕭衛鴻(主) 張宏吉(協) 
6.陳弘明(主) 王淑玲(協)
7.陳弘明(主) 盧永豐(協)
8.劉彩霈(主) 張宏吉(協)
9.陳志騰(主) 侯幸雨(協) 吳佩蓉(協)
10.陳弘明(主) 黃馨逸(協) 汪政億(協)
11. 黃健哲(主) 副教授 謝俊宏(協) 教授 陳同孝(協) 教授
12.陳志騰(主) 侯幸雨(協) 吳佩蓉(協)
13.洪啟舜(主) 陳榮昌(協) 陳志騰(協)
14.黃天麒 教授
15.陳同孝(主) 陳民枝(協) 洪維恩(協)
16.陳民枝 教授
17.柯志坤(主) 吳美玉(協)
18.廖祿文 專案助理教授
19.陳榮昌 副教授
20.連俊瑋 副教授
21.陳志騰(主)徐旺興(協)連俊瑋(協)</t>
    <phoneticPr fontId="3" type="noConversion"/>
  </si>
  <si>
    <t>1. 智匯文化有限公司
2. 國立臺中科技大學員生消費合作社
3. 展輝科技股份有限公司
4.上善科技股份有限公司
5.財團法人工業技術研究院
6.大寶科技股份有限公司
7.迎棧科技股份有限公司
8.財團法人商業商展研究院
9.淨弼金融科技股份有限公司
10.智準生醫科技股份有限公司
11. 教育部國民及學前教育署
12.展輝科技股份有限公司
13.中華民國無店面零售商業同業公會
14.宏碁股份有限公司
15.元太科技工業股份有限公司
16.龍晟科技有限公司
17.財團法人工業技術研究院
18.
19.展輝科技股份有限公司
20.
21.全球商務股份有限公司</t>
    <phoneticPr fontId="3" type="noConversion"/>
  </si>
  <si>
    <t xml:space="preserve">簽訂合約件數 </t>
  </si>
  <si>
    <t>1,000,000元</t>
    <phoneticPr fontId="3" type="noConversion"/>
  </si>
  <si>
    <t>6135728元</t>
    <phoneticPr fontId="3" type="noConversion"/>
  </si>
  <si>
    <t xml:space="preserve">簽訂合約金額 </t>
    <phoneticPr fontId="3" type="noConversion"/>
  </si>
  <si>
    <t>件數成長比例</t>
  </si>
  <si>
    <t>100</t>
    <phoneticPr fontId="3" type="noConversion"/>
  </si>
  <si>
    <t xml:space="preserve">簽訂合約金額每年成長比例 </t>
  </si>
  <si>
    <t>金額成長比例</t>
    <phoneticPr fontId="3" type="noConversion"/>
  </si>
  <si>
    <t>100</t>
    <phoneticPr fontId="3" type="noConversion"/>
  </si>
  <si>
    <t>總參與教師人次</t>
    <phoneticPr fontId="3" type="noConversion"/>
  </si>
  <si>
    <t>7人</t>
    <phoneticPr fontId="3" type="noConversion"/>
  </si>
  <si>
    <t>38人</t>
    <phoneticPr fontId="3" type="noConversion"/>
  </si>
  <si>
    <t xml:space="preserve">教師參與計畫人數 </t>
  </si>
  <si>
    <t>總參與學生人次</t>
    <phoneticPr fontId="3" type="noConversion"/>
  </si>
  <si>
    <t>15人</t>
    <phoneticPr fontId="3" type="noConversion"/>
  </si>
  <si>
    <t>29人</t>
    <phoneticPr fontId="3" type="noConversion"/>
  </si>
  <si>
    <t xml:space="preserve">學生參與計畫人數 </t>
  </si>
  <si>
    <t>一般教師人數</t>
    <phoneticPr fontId="3" type="noConversion"/>
  </si>
  <si>
    <t>優-09</t>
  </si>
  <si>
    <t>資源共享成效（含設備、自編教材等）</t>
    <phoneticPr fontId="3" type="noConversion"/>
  </si>
  <si>
    <t>設備每週使用人次</t>
  </si>
  <si>
    <t>120人</t>
    <phoneticPr fontId="3" type="noConversion"/>
  </si>
  <si>
    <t>130人</t>
    <phoneticPr fontId="3" type="noConversion"/>
  </si>
  <si>
    <t>物聯網實驗套件 41人/週，使用時數3小時/週
行動式物聯網展示系統 55人/週，使用時數40小時/週
實景眼動儀設備 2人/週，使用時數20小時/週
開發模組 1人/週，使用時數5小時/週
語音助理工具包 1人/週，使用時數5小時/週
人流熱區分析系統 30人/週，使用時數3小時/週</t>
    <phoneticPr fontId="3" type="noConversion"/>
  </si>
  <si>
    <t xml:space="preserve">跨系學生參與人次 </t>
  </si>
  <si>
    <t>設備每週使用時數</t>
    <phoneticPr fontId="3" type="noConversion"/>
  </si>
  <si>
    <t>15小時</t>
    <phoneticPr fontId="3" type="noConversion"/>
  </si>
  <si>
    <t>76小時</t>
    <phoneticPr fontId="3" type="noConversion"/>
  </si>
  <si>
    <t xml:space="preserve">跨系學生使用時數 </t>
  </si>
  <si>
    <t>自編教材套數</t>
    <phoneticPr fontId="3" type="noConversion"/>
  </si>
  <si>
    <t>3套</t>
    <phoneticPr fontId="3" type="noConversion"/>
  </si>
  <si>
    <t>實景眼動儀教材 1套
電子標籤揀貨系統教材 1套
多媒體數據分析教材 1套</t>
    <phoneticPr fontId="3" type="noConversion"/>
  </si>
  <si>
    <t xml:space="preserve">自編教材套數 </t>
  </si>
  <si>
    <t>優-10</t>
  </si>
  <si>
    <t>開辦技職校院、國中小及高中職短期技術課程數或體驗營隊</t>
    <phoneticPr fontId="3" type="noConversion"/>
  </si>
  <si>
    <t>技職校院場次</t>
    <phoneticPr fontId="3" type="noConversion"/>
  </si>
  <si>
    <t>1場</t>
    <phoneticPr fontId="3" type="noConversion"/>
  </si>
  <si>
    <t>3場</t>
    <phoneticPr fontId="3" type="noConversion"/>
  </si>
  <si>
    <t>1.智慧科技應用-智慧製造校外參訪活動(2019/5/30) 31人參與
2.智慧科技邂逅服務設計參訪活動(2019/6/17) 30人參與
3.具有後台資料收集分析功能之AR 桌遊卡牌資安教學活動(2019/10/16) 48人參與</t>
    <phoneticPr fontId="3" type="noConversion"/>
  </si>
  <si>
    <t>張家瑋老師
林文彥老師
泓啟舜老師
黃天麒老師
姜琇森老師
陳志騰老師</t>
    <phoneticPr fontId="3" type="noConversion"/>
  </si>
  <si>
    <t xml:space="preserve">參與場次 </t>
  </si>
  <si>
    <t>30人</t>
    <phoneticPr fontId="3" type="noConversion"/>
  </si>
  <si>
    <t>109人</t>
    <phoneticPr fontId="3" type="noConversion"/>
  </si>
  <si>
    <t>國中小及高中職場次</t>
    <phoneticPr fontId="3" type="noConversion"/>
  </si>
  <si>
    <t>1. 臺中市立臺中家事商業高級中等學校合作進行智慧科技類學習活動    60人次參與
2. 與華盛頓中學進行VR及程式設計相關合作課程    50人參與
3. 四張犁國小及太平國小進行自然課教材合作學習活動    80人參與</t>
    <phoneticPr fontId="3" type="noConversion"/>
  </si>
  <si>
    <t>50人</t>
    <phoneticPr fontId="3" type="noConversion"/>
  </si>
  <si>
    <t>190人</t>
    <phoneticPr fontId="3" type="noConversion"/>
  </si>
  <si>
    <t>優-11</t>
  </si>
  <si>
    <t>學生參加校外/國際(外)專題競賽</t>
    <phoneticPr fontId="3" type="noConversion"/>
  </si>
  <si>
    <t xml:space="preserve">總參與人次 </t>
    <phoneticPr fontId="3" type="noConversion"/>
  </si>
  <si>
    <t>30人</t>
    <phoneticPr fontId="3" type="noConversion"/>
  </si>
  <si>
    <t>96人</t>
    <phoneticPr fontId="3" type="noConversion"/>
  </si>
  <si>
    <t>1.華南金控第四屆金融科技創新競賽_創新技術實證API組　5人參與
2.華南金控第四屆金融科技創新競賽_創新服務設計組　5人參與
3.經濟部搶鮮大賽_創業構想類 (智慧汽車輔助駕駛)　4人參與
4.從對話上下文中進行非監督式標籤與關鍵字判斷　5人參與
5.電子競技選手訓練系統　5人參與
6.創創黑客松_智慧廚房助手　8人參與
7.2019中華郵政大數據競賽　4人參與
8.TGOS地圖協作應用組 佳作 3人參與
9.iWIN兒少網路安全防護創新應用組(防護應用) 第一名 8人參與
10.企業數位轉型與雲端系統創新應用組  第一名  7人參與
11.鈦坦敏捷開發特別獎 第一名 4人參與
12.資訊應用組二 第一名 4人參與
13.資訊應用組四 第二名 5人參與
14.企業數位轉型與雲端系統創新應用組 第三名 8人參與
15.經濟與能源空間開放資料服務應用組(應用系統) 第三名 6人參與
16.產學合作組二 佳作 3人參與
17.資訊應用組一 佳作 5人參與
18.資訊應用組三 佳作 5人參與
19.瑪利MuMu盃第六屆 貳獎 2人參與</t>
    <phoneticPr fontId="3" type="noConversion"/>
  </si>
  <si>
    <t>1.~8.資訊工程系
9.~19.資訊管理系</t>
    <phoneticPr fontId="3" type="noConversion"/>
  </si>
  <si>
    <t>1.洪啟舜老師、張雅芬老師
2.洪啟舜老師、張雅芬老師
3.張家瑋老師
4.張家瑋老師、洪啟舜老師
5.洪啟舜老師、張家瑋老師
6.張家瑋老師
7.張家瑋老師
8.陳弘明老師
9.林文彥老師
10.姜琇森老師
11.姜琇森老師
12.林真伊老師
12.黃天麒老師
13.姜琇森老師
14.姜琇森老師
15.陳弘明老師
16.駱榮問老師
17.林真伊老師
18.陳牧言老師
19.連俊瑋老師</t>
    <phoneticPr fontId="3" type="noConversion"/>
  </si>
  <si>
    <t xml:space="preserve">物聯網，資訊相關競賽 </t>
  </si>
  <si>
    <t>獲獎次數</t>
    <phoneticPr fontId="3" type="noConversion"/>
  </si>
  <si>
    <t>6次</t>
    <phoneticPr fontId="3" type="noConversion"/>
  </si>
  <si>
    <t>19次</t>
    <phoneticPr fontId="3" type="noConversion"/>
  </si>
  <si>
    <t xml:space="preserve">競賽獲獎次數 </t>
  </si>
  <si>
    <t>優-12</t>
  </si>
  <si>
    <t>教師取得專業證照</t>
    <phoneticPr fontId="3" type="noConversion"/>
  </si>
  <si>
    <t>人次</t>
  </si>
  <si>
    <t>2人</t>
    <phoneticPr fontId="3" type="noConversion"/>
  </si>
  <si>
    <t>33人</t>
    <phoneticPr fontId="3" type="noConversion"/>
  </si>
  <si>
    <t>1.TQC Python 程式語言專業級證照
2.Python 3 程式語言
3.專業設計人才認證
4.Microsoft: DAT263x Introduction to Artificial Intelligence (AI)
5.AZ - 900 Microsoft Azure Fundamentals</t>
    <phoneticPr fontId="3" type="noConversion"/>
  </si>
  <si>
    <t>資訊與流通學院
資訊工程系
資訊管理系</t>
    <phoneticPr fontId="3" type="noConversion"/>
  </si>
  <si>
    <t>1.姜琇森老師
2.劉鎮城老師
3.羅張瓊誼老師
4.徐旺興老師、林文彥老師、陳志騰老師、駱榮問老師、廖士寬老師、蕭國倫老師、邱淑芬老師、許雯絞老師、范敏玄老師、柯志坤老師、吳美玉老師、黃健哲老師、黃天麒老師、姜琇森老師、陳永隆老師
5.徐旺興老師、林文彥老師、陳志騰老師、駱榮問老師、廖士寬老師、蕭國倫老師、邱淑芬老師、許雯絞老師、范敏玄老師、柯志坤老師、吳美玉老師、黃健哲老師、黃天麒老師、姜琇森老師、陳永隆老師</t>
    <phoneticPr fontId="3" type="noConversion"/>
  </si>
  <si>
    <t xml:space="preserve">取得高階證照人次 </t>
  </si>
  <si>
    <t>優-13</t>
  </si>
  <si>
    <t>學生取得專業證照</t>
    <phoneticPr fontId="3" type="noConversion"/>
  </si>
  <si>
    <t>人次</t>
    <phoneticPr fontId="3" type="noConversion"/>
  </si>
  <si>
    <t>140人</t>
    <phoneticPr fontId="3" type="noConversion"/>
  </si>
  <si>
    <t>1. iPAS物聯網應用工程師    共57人
3. iPAS行動裝置程式設計師　共52人
4. iPAS資訊安全工程師 共31人</t>
    <phoneticPr fontId="3" type="noConversion"/>
  </si>
  <si>
    <t>資訊工程系
資訊管理系
流通管理系</t>
    <phoneticPr fontId="3" type="noConversion"/>
  </si>
  <si>
    <t xml:space="preserve">學生取得專業證照人次 </t>
  </si>
  <si>
    <t>優-14</t>
  </si>
  <si>
    <t>每年配合學院辦理專題製作成果展一次，至少10組專題參加</t>
    <phoneticPr fontId="3" type="noConversion"/>
  </si>
  <si>
    <t>組數</t>
    <phoneticPr fontId="3" type="noConversion"/>
  </si>
  <si>
    <t>20組</t>
    <phoneticPr fontId="3" type="noConversion"/>
  </si>
  <si>
    <t>22組</t>
    <phoneticPr fontId="3" type="noConversion"/>
  </si>
  <si>
    <t>1.可變儲位WMS行動倉儲管理系統　學生4人
2.基於iOS ARKit 設計行動導航系統  學生3人
3.智慧多工防撞自走車 學生5人
4.智慧製造APS先進排程系統 學生4人
5.結合生物辨識之多應用智慧門鎖 學生4人
6.多平台整合型智慧音箱 學生4人
7.蟲蟲iKaros 學生5人
8.具語意深度表徵學習架構之點餐系統應用 學生5人 
9.雲端智能居家安全管理平台 學生4人
10.以多通道加密結合人臉辨識強化安全系統設計與實現 學生4人 
11.歌詞情緒分析與歌單生成器 學生3人
12.防側錄具辨別功能之離線身分驗證器  學生2人
13.行動專注力檢測輔助系統 學生4人
14.企業資通安全 ExtraNet 架構實踐與運用　學生4人
15.智能旅宿系統 學生4人
16.智慧藥盒 學生4人
17.個人化智能情緒管理App　學生7人
18.智慧病床偵測系統 學生5人 
19.聽障自我練習app 學生2人
20.毒模毒樣—多媒體互動反毒教育系統  學生5人
21.智慧型夜間巡檢系統 學生5人
22.AR自然快樂學  學生2人</t>
    <phoneticPr fontId="3" type="noConversion"/>
  </si>
  <si>
    <t>資訊工程系
資訊管理系</t>
    <phoneticPr fontId="3" type="noConversion"/>
  </si>
  <si>
    <t xml:space="preserve">1.陳弘明，盧永豐
2.陳弘明、盧永豐
3.黃慧鳳
4.陳世穎 陳弘明
5.陳同孝 
6.洪啟舜 
7.陳民枝 
8.張家瑋 
9.劉冠顯 
10.陳永隆 
11.劉冠顯 
12.張雅芬 
13.王淑玲 
14.邱啟員
15.黃秀美 
16.柯志坤 
17.王淑玲
18.柯志坤、徐旺興 
19.連俊瑋 
20.黃天麒 
21.陳大仁 
22.黃秀美 戴偉勝 </t>
    <phoneticPr fontId="3" type="noConversion"/>
  </si>
  <si>
    <t xml:space="preserve">專題組數 </t>
  </si>
  <si>
    <t>優-15</t>
  </si>
  <si>
    <t>每年提供借用實習設備供學生校內實習達100人次以上</t>
    <phoneticPr fontId="3" type="noConversion"/>
  </si>
  <si>
    <t>100人</t>
    <phoneticPr fontId="3" type="noConversion"/>
  </si>
  <si>
    <t>245人</t>
    <phoneticPr fontId="3" type="noConversion"/>
  </si>
  <si>
    <t>物聯網實驗套件 41人
行動式物聯網展示系統 28人
實景眼動儀設備 2人
開發模組 1人
語音助理工具包 1人
電子標籤揀貨系統 43人
才積量測系統 43人
人流熱區分析系統 43人
互動看版系統 43人</t>
    <phoneticPr fontId="3" type="noConversion"/>
  </si>
  <si>
    <t xml:space="preserve">借用人次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</si>
</sst>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2"/>
      <color theme="1"/>
      <name val="新細明體"/>
      <family val="2"/>
      <charset val="136"/>
      <scheme val="minor"/>
    </font>
    <font>
      <b/>
      <sz val="14"/>
      <color theme="0"/>
      <name val="微軟正黑體"/>
      <family val="2"/>
      <charset val="136"/>
    </font>
    <font>
      <b/>
      <sz val="14"/>
      <color rgb="FFFF0000"/>
      <name val="微軟正黑體"/>
      <family val="2"/>
      <charset val="136"/>
    </font>
    <font>
      <sz val="9"/>
      <name val="新細明體"/>
      <family val="2"/>
      <charset val="136"/>
      <scheme val="minor"/>
    </font>
    <font>
      <b/>
      <sz val="14"/>
      <color theme="1"/>
      <name val="新細明體"/>
      <family val="1"/>
      <charset val="136"/>
      <scheme val="minor"/>
    </font>
    <font>
      <b/>
      <sz val="14"/>
      <name val="微軟正黑體"/>
      <family val="2"/>
      <charset val="136"/>
    </font>
    <font>
      <sz val="12"/>
      <name val="微軟正黑體"/>
      <family val="2"/>
      <charset val="136"/>
    </font>
    <font>
      <sz val="12"/>
      <color theme="1"/>
      <name val="微軟正黑體"/>
      <family val="2"/>
      <charset val="136"/>
    </font>
    <font>
      <sz val="12"/>
      <name val="新細明體"/>
      <family val="2"/>
      <charset val="136"/>
      <scheme val="minor"/>
    </font>
    <font>
      <sz val="10"/>
      <color theme="1"/>
      <name val="微軟正黑體"/>
      <family val="2"/>
      <charset val="136"/>
    </font>
    <font>
      <b/>
      <sz val="12"/>
      <color rgb="FFFF0000"/>
      <name val="微軟正黑體"/>
      <family val="2"/>
      <charset val="136"/>
    </font>
    <font>
      <sz val="10"/>
      <name val="微軟正黑體"/>
      <family val="2"/>
      <charset val="136"/>
    </font>
    <font>
      <sz val="11"/>
      <name val="微軟正黑體"/>
      <family val="2"/>
      <charset val="136"/>
    </font>
    <font>
      <sz val="14"/>
      <name val="微軟正黑體"/>
      <family val="2"/>
      <charset val="136"/>
    </font>
    <font>
      <sz val="14"/>
      <color theme="1"/>
      <name val="微軟正黑體"/>
      <family val="2"/>
      <charset val="136"/>
    </font>
  </fonts>
  <fills count="5">
    <fill>
      <patternFill patternType="none"/>
    </fill>
    <fill>
      <patternFill patternType="gray125"/>
    </fill>
    <fill>
      <patternFill patternType="solid">
        <fgColor theme="6"/>
        <bgColor theme="6"/>
      </patternFill>
    </fill>
    <fill>
      <patternFill patternType="solid">
        <fgColor rgb="FFFFFF00"/>
        <bgColor theme="6"/>
      </patternFill>
    </fill>
    <fill>
      <patternFill patternType="solid">
        <fgColor rgb="FFFFFF00"/>
        <bgColor indexed="64"/>
      </patternFill>
    </fill>
  </fills>
  <borders count="34">
    <border>
      <left/>
      <right/>
      <top/>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right style="thin">
        <color auto="1"/>
      </right>
      <top style="thin">
        <color auto="1"/>
      </top>
      <bottom/>
      <diagonal/>
    </border>
    <border>
      <left style="medium">
        <color auto="1"/>
      </left>
      <right style="thin">
        <color auto="1"/>
      </right>
      <top style="medium">
        <color auto="1"/>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style="medium">
        <color auto="1"/>
      </right>
      <top style="medium">
        <color auto="1"/>
      </top>
      <bottom style="thin">
        <color rgb="FF000000"/>
      </bottom>
      <diagonal/>
    </border>
    <border>
      <left style="medium">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bottom/>
      <diagonal/>
    </border>
    <border>
      <left style="thin">
        <color auto="1"/>
      </left>
      <right style="medium">
        <color auto="1"/>
      </right>
      <top style="thin">
        <color rgb="FF000000"/>
      </top>
      <bottom style="medium">
        <color auto="1"/>
      </bottom>
      <diagonal/>
    </border>
    <border>
      <left style="thin">
        <color auto="1"/>
      </left>
      <right/>
      <top style="medium">
        <color auto="1"/>
      </top>
      <bottom/>
      <diagonal/>
    </border>
    <border>
      <left/>
      <right style="medium">
        <color auto="1"/>
      </right>
      <top/>
      <bottom/>
      <diagonal/>
    </border>
    <border>
      <left/>
      <right style="medium">
        <color auto="1"/>
      </right>
      <top/>
      <bottom style="thin">
        <color rgb="FF000000"/>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medium">
        <color auto="1"/>
      </right>
      <top style="thin">
        <color rgb="FF000000"/>
      </top>
      <bottom style="thin">
        <color rgb="FF000000"/>
      </bottom>
      <diagonal/>
    </border>
    <border>
      <left/>
      <right style="thin">
        <color auto="1"/>
      </right>
      <top/>
      <bottom style="medium">
        <color auto="1"/>
      </bottom>
      <diagonal/>
    </border>
    <border>
      <left/>
      <right/>
      <top/>
      <bottom style="thin">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medium">
        <color auto="1"/>
      </bottom>
      <diagonal/>
    </border>
    <border>
      <left/>
      <right style="medium">
        <color auto="1"/>
      </right>
      <top/>
      <bottom style="medium">
        <color auto="1"/>
      </bottom>
      <diagonal/>
    </border>
  </borders>
  <cellStyleXfs count="1">
    <xf numFmtId="0" fontId="0" fillId="0" borderId="0">
      <alignment vertical="center"/>
    </xf>
  </cellStyleXfs>
  <cellXfs count="102">
    <xf numFmtId="0" fontId="0" fillId="0" borderId="0" xfId="0">
      <alignment vertical="center"/>
    </xf>
    <xf numFmtId="49" fontId="1" fillId="2" borderId="0" xfId="0" applyNumberFormat="1" applyFont="1" applyFill="1" applyBorder="1" applyAlignment="1">
      <alignment horizontal="left" vertical="center" wrapText="1"/>
    </xf>
    <xf numFmtId="9" fontId="1" fillId="2" borderId="0" xfId="0" applyNumberFormat="1" applyFont="1" applyFill="1" applyBorder="1" applyAlignment="1">
      <alignment horizontal="left" vertical="center" wrapText="1"/>
    </xf>
    <xf numFmtId="49" fontId="1" fillId="2" borderId="0"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4" fillId="0" borderId="0" xfId="0" applyNumberFormat="1" applyFont="1">
      <alignment vertical="center"/>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5" fillId="3" borderId="5" xfId="0" applyNumberFormat="1" applyFont="1" applyFill="1" applyBorder="1" applyAlignment="1">
      <alignment horizontal="center" vertical="center" wrapText="1"/>
    </xf>
    <xf numFmtId="9" fontId="1" fillId="2" borderId="6"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xf>
    <xf numFmtId="49" fontId="4" fillId="0" borderId="0" xfId="0" applyNumberFormat="1" applyFont="1" applyAlignment="1">
      <alignment horizontal="center" vertical="center"/>
    </xf>
    <xf numFmtId="49" fontId="6" fillId="0" borderId="7" xfId="0" applyNumberFormat="1" applyFont="1" applyFill="1" applyBorder="1" applyAlignment="1">
      <alignment horizontal="left" vertical="center" wrapText="1"/>
    </xf>
    <xf numFmtId="49" fontId="6" fillId="0" borderId="8" xfId="0" applyNumberFormat="1" applyFont="1" applyFill="1" applyBorder="1" applyAlignment="1">
      <alignment horizontal="left" vertical="center" wrapText="1"/>
    </xf>
    <xf numFmtId="49" fontId="6" fillId="0" borderId="9" xfId="0" applyNumberFormat="1" applyFont="1" applyFill="1" applyBorder="1" applyAlignment="1">
      <alignment horizontal="left" vertical="center" wrapText="1"/>
    </xf>
    <xf numFmtId="49" fontId="6" fillId="4" borderId="9" xfId="0" applyNumberFormat="1" applyFont="1" applyFill="1" applyBorder="1" applyAlignment="1">
      <alignment horizontal="left" vertical="center" wrapText="1"/>
    </xf>
    <xf numFmtId="9" fontId="6" fillId="0" borderId="10" xfId="0" applyNumberFormat="1" applyFont="1" applyFill="1" applyBorder="1" applyAlignment="1">
      <alignment horizontal="left" vertical="center" wrapText="1"/>
    </xf>
    <xf numFmtId="49" fontId="6" fillId="0" borderId="10" xfId="0" applyNumberFormat="1" applyFont="1" applyFill="1" applyBorder="1" applyAlignment="1">
      <alignment vertical="center" wrapText="1"/>
    </xf>
    <xf numFmtId="49" fontId="7" fillId="0" borderId="11" xfId="0" applyNumberFormat="1" applyFont="1" applyFill="1" applyBorder="1" applyAlignment="1">
      <alignment horizontal="left" vertical="center"/>
    </xf>
    <xf numFmtId="49" fontId="8" fillId="0" borderId="11" xfId="0" applyNumberFormat="1" applyFont="1" applyFill="1" applyBorder="1" applyAlignment="1">
      <alignment horizontal="left" vertical="center" wrapText="1"/>
    </xf>
    <xf numFmtId="49" fontId="9" fillId="0" borderId="12" xfId="0" applyNumberFormat="1" applyFont="1" applyBorder="1" applyAlignment="1">
      <alignment horizontal="left" vertical="center" wrapText="1"/>
    </xf>
    <xf numFmtId="49" fontId="0" fillId="0" borderId="0" xfId="0" applyNumberFormat="1" applyFont="1" applyAlignment="1">
      <alignment horizontal="left" vertical="center"/>
    </xf>
    <xf numFmtId="49" fontId="6" fillId="0" borderId="13" xfId="0" applyNumberFormat="1" applyFont="1" applyFill="1" applyBorder="1" applyAlignment="1">
      <alignment horizontal="left" vertical="center" wrapText="1"/>
    </xf>
    <xf numFmtId="49" fontId="6" fillId="0" borderId="14" xfId="0" applyNumberFormat="1" applyFont="1" applyFill="1" applyBorder="1" applyAlignment="1">
      <alignment horizontal="left" vertical="center" wrapText="1"/>
    </xf>
    <xf numFmtId="49" fontId="6" fillId="0" borderId="15" xfId="0" applyNumberFormat="1" applyFont="1" applyFill="1" applyBorder="1" applyAlignment="1">
      <alignment horizontal="left" vertical="center" wrapText="1"/>
    </xf>
    <xf numFmtId="49" fontId="6" fillId="4" borderId="15" xfId="0" applyNumberFormat="1" applyFont="1" applyFill="1" applyBorder="1" applyAlignment="1">
      <alignment horizontal="left" vertical="center" wrapText="1"/>
    </xf>
    <xf numFmtId="9" fontId="6" fillId="0" borderId="16" xfId="0" applyNumberFormat="1" applyFont="1" applyFill="1" applyBorder="1" applyAlignment="1">
      <alignment horizontal="left" vertical="center" wrapText="1"/>
    </xf>
    <xf numFmtId="49" fontId="6" fillId="0" borderId="5" xfId="0" applyNumberFormat="1" applyFont="1" applyFill="1" applyBorder="1" applyAlignment="1">
      <alignment vertical="center" wrapText="1"/>
    </xf>
    <xf numFmtId="49" fontId="7" fillId="0" borderId="5" xfId="0" applyNumberFormat="1" applyFont="1" applyFill="1" applyBorder="1" applyAlignment="1">
      <alignment horizontal="left" vertical="center"/>
    </xf>
    <xf numFmtId="49" fontId="8" fillId="0" borderId="5" xfId="0" applyNumberFormat="1" applyFont="1" applyFill="1" applyBorder="1" applyAlignment="1">
      <alignment horizontal="left" vertical="center" wrapText="1"/>
    </xf>
    <xf numFmtId="49" fontId="9" fillId="0" borderId="17" xfId="0" applyNumberFormat="1" applyFont="1" applyBorder="1" applyAlignment="1">
      <alignment horizontal="left" vertical="center" wrapText="1"/>
    </xf>
    <xf numFmtId="49" fontId="6" fillId="0" borderId="18"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10" fillId="0" borderId="11" xfId="0" applyNumberFormat="1" applyFont="1" applyFill="1" applyBorder="1" applyAlignment="1">
      <alignment horizontal="left" vertical="center" wrapText="1"/>
    </xf>
    <xf numFmtId="49" fontId="9" fillId="0" borderId="19" xfId="0" applyNumberFormat="1" applyFont="1" applyBorder="1" applyAlignment="1">
      <alignment horizontal="left" vertical="center"/>
    </xf>
    <xf numFmtId="49" fontId="7" fillId="0" borderId="15" xfId="0" applyNumberFormat="1" applyFont="1" applyFill="1" applyBorder="1" applyAlignment="1">
      <alignment horizontal="left" vertical="center" wrapText="1"/>
    </xf>
    <xf numFmtId="49" fontId="10" fillId="0" borderId="5" xfId="0" applyNumberFormat="1" applyFont="1" applyFill="1" applyBorder="1" applyAlignment="1">
      <alignment horizontal="left" vertical="center" wrapText="1"/>
    </xf>
    <xf numFmtId="49" fontId="6" fillId="0" borderId="11" xfId="0" applyNumberFormat="1" applyFont="1" applyFill="1" applyBorder="1" applyAlignment="1">
      <alignment horizontal="left" vertical="center" wrapText="1"/>
    </xf>
    <xf numFmtId="49" fontId="11" fillId="0" borderId="20" xfId="0" applyNumberFormat="1" applyFont="1" applyFill="1" applyBorder="1" applyAlignment="1">
      <alignment horizontal="left" vertical="center" wrapText="1"/>
    </xf>
    <xf numFmtId="49" fontId="8" fillId="0" borderId="0" xfId="0" applyNumberFormat="1" applyFont="1" applyFill="1" applyAlignment="1">
      <alignment horizontal="left" vertical="center"/>
    </xf>
    <xf numFmtId="49" fontId="6" fillId="0" borderId="5" xfId="0" applyNumberFormat="1" applyFont="1" applyFill="1" applyBorder="1" applyAlignment="1">
      <alignment horizontal="left" vertical="center" wrapText="1"/>
    </xf>
    <xf numFmtId="49" fontId="6" fillId="0" borderId="5" xfId="0" applyNumberFormat="1" applyFont="1" applyFill="1" applyBorder="1" applyAlignment="1">
      <alignment horizontal="left" vertical="center"/>
    </xf>
    <xf numFmtId="49" fontId="11" fillId="0" borderId="17" xfId="0" applyNumberFormat="1" applyFont="1" applyFill="1" applyBorder="1" applyAlignment="1">
      <alignment horizontal="left" vertical="center" wrapText="1"/>
    </xf>
    <xf numFmtId="49" fontId="6" fillId="0" borderId="21" xfId="0" applyNumberFormat="1" applyFont="1" applyFill="1" applyBorder="1" applyAlignment="1">
      <alignment horizontal="left" vertical="center" wrapText="1"/>
    </xf>
    <xf numFmtId="49" fontId="6" fillId="0" borderId="22" xfId="0" applyNumberFormat="1" applyFont="1" applyFill="1" applyBorder="1" applyAlignment="1">
      <alignment horizontal="left" vertical="center" wrapText="1"/>
    </xf>
    <xf numFmtId="49" fontId="6" fillId="4" borderId="22" xfId="0" applyNumberFormat="1" applyFont="1" applyFill="1" applyBorder="1" applyAlignment="1">
      <alignment horizontal="left" vertical="center" wrapText="1"/>
    </xf>
    <xf numFmtId="9" fontId="6" fillId="0" borderId="22" xfId="0" applyNumberFormat="1" applyFont="1" applyFill="1" applyBorder="1" applyAlignment="1">
      <alignment horizontal="left" vertical="center" wrapText="1"/>
    </xf>
    <xf numFmtId="49" fontId="6" fillId="0" borderId="23" xfId="0" applyNumberFormat="1" applyFont="1" applyFill="1" applyBorder="1" applyAlignment="1">
      <alignment horizontal="left" vertical="center" wrapText="1"/>
    </xf>
    <xf numFmtId="49" fontId="6" fillId="0" borderId="23" xfId="0" applyNumberFormat="1" applyFont="1" applyFill="1" applyBorder="1" applyAlignment="1">
      <alignment horizontal="left" vertical="center"/>
    </xf>
    <xf numFmtId="49" fontId="11" fillId="0" borderId="24" xfId="0" applyNumberFormat="1" applyFont="1" applyFill="1" applyBorder="1" applyAlignment="1">
      <alignment horizontal="left" vertical="center" wrapText="1"/>
    </xf>
    <xf numFmtId="49" fontId="7" fillId="0" borderId="7" xfId="0" applyNumberFormat="1" applyFont="1" applyFill="1" applyBorder="1" applyAlignment="1">
      <alignment horizontal="left" vertical="center" wrapText="1"/>
    </xf>
    <xf numFmtId="49" fontId="7" fillId="0" borderId="11" xfId="0" applyNumberFormat="1" applyFont="1" applyFill="1" applyBorder="1" applyAlignment="1">
      <alignment horizontal="left" vertical="center" wrapText="1"/>
    </xf>
    <xf numFmtId="49" fontId="9" fillId="0" borderId="20" xfId="0" applyNumberFormat="1" applyFont="1" applyFill="1" applyBorder="1" applyAlignment="1">
      <alignment horizontal="left" vertical="center" wrapText="1"/>
    </xf>
    <xf numFmtId="49" fontId="0" fillId="0" borderId="0" xfId="0" applyNumberFormat="1" applyFont="1" applyFill="1" applyAlignment="1">
      <alignment horizontal="left" vertical="center"/>
    </xf>
    <xf numFmtId="49" fontId="7" fillId="0" borderId="13" xfId="0" applyNumberFormat="1" applyFont="1" applyFill="1" applyBorder="1" applyAlignment="1">
      <alignment horizontal="left" vertical="center" wrapText="1"/>
    </xf>
    <xf numFmtId="9" fontId="7" fillId="0" borderId="25" xfId="0" applyNumberFormat="1" applyFont="1" applyFill="1" applyBorder="1" applyAlignment="1">
      <alignment horizontal="left" vertical="center" wrapText="1"/>
    </xf>
    <xf numFmtId="49" fontId="7" fillId="0" borderId="5" xfId="0" applyNumberFormat="1" applyFont="1" applyFill="1" applyBorder="1" applyAlignment="1">
      <alignment horizontal="left" vertical="center" wrapText="1"/>
    </xf>
    <xf numFmtId="49" fontId="9" fillId="0" borderId="17" xfId="0" applyNumberFormat="1" applyFont="1" applyFill="1" applyBorder="1" applyAlignment="1">
      <alignment horizontal="left" vertical="center" wrapText="1"/>
    </xf>
    <xf numFmtId="9" fontId="6" fillId="0" borderId="9" xfId="0" applyNumberFormat="1" applyFont="1" applyFill="1" applyBorder="1" applyAlignment="1">
      <alignment horizontal="left" vertical="center" wrapText="1"/>
    </xf>
    <xf numFmtId="9" fontId="6" fillId="0" borderId="25" xfId="0" applyNumberFormat="1" applyFont="1" applyFill="1" applyBorder="1" applyAlignment="1">
      <alignment horizontal="left" vertical="center" wrapText="1"/>
    </xf>
    <xf numFmtId="49" fontId="6" fillId="0" borderId="11" xfId="0" applyNumberFormat="1" applyFont="1" applyFill="1" applyBorder="1" applyAlignment="1">
      <alignment horizontal="left" vertical="center"/>
    </xf>
    <xf numFmtId="49" fontId="6" fillId="0" borderId="11"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9" fontId="6" fillId="4" borderId="22" xfId="0" applyNumberFormat="1" applyFont="1" applyFill="1" applyBorder="1" applyAlignment="1">
      <alignment horizontal="left" vertical="center" wrapText="1"/>
    </xf>
    <xf numFmtId="49" fontId="6" fillId="0" borderId="9" xfId="0" applyNumberFormat="1" applyFont="1" applyFill="1" applyBorder="1" applyAlignment="1">
      <alignment horizontal="left" vertical="center" wrapText="1"/>
    </xf>
    <xf numFmtId="49" fontId="6" fillId="0" borderId="23" xfId="0" applyNumberFormat="1" applyFont="1" applyFill="1" applyBorder="1" applyAlignment="1">
      <alignment horizontal="left" vertical="center"/>
    </xf>
    <xf numFmtId="49" fontId="7" fillId="0" borderId="9" xfId="0" applyNumberFormat="1" applyFont="1" applyFill="1" applyBorder="1" applyAlignment="1">
      <alignment horizontal="left" vertical="center" wrapText="1"/>
    </xf>
    <xf numFmtId="49" fontId="7" fillId="4" borderId="9" xfId="0" applyNumberFormat="1" applyFont="1" applyFill="1" applyBorder="1" applyAlignment="1">
      <alignment horizontal="left" vertical="center" wrapText="1"/>
    </xf>
    <xf numFmtId="49" fontId="9" fillId="0" borderId="20" xfId="0" applyNumberFormat="1" applyFont="1" applyBorder="1" applyAlignment="1">
      <alignment horizontal="left" vertical="center" wrapText="1"/>
    </xf>
    <xf numFmtId="49" fontId="7" fillId="0" borderId="22" xfId="0" applyNumberFormat="1" applyFont="1" applyFill="1" applyBorder="1" applyAlignment="1">
      <alignment horizontal="left" vertical="center" wrapText="1"/>
    </xf>
    <xf numFmtId="49" fontId="7" fillId="0" borderId="22" xfId="0" applyNumberFormat="1" applyFont="1" applyFill="1" applyBorder="1" applyAlignment="1">
      <alignment horizontal="left" vertical="center" wrapText="1"/>
    </xf>
    <xf numFmtId="9" fontId="6" fillId="0" borderId="26" xfId="0" applyNumberFormat="1" applyFont="1" applyFill="1" applyBorder="1" applyAlignment="1">
      <alignment horizontal="left" vertical="center" wrapText="1"/>
    </xf>
    <xf numFmtId="49" fontId="7" fillId="0" borderId="23" xfId="0" applyNumberFormat="1" applyFont="1" applyFill="1" applyBorder="1" applyAlignment="1">
      <alignment horizontal="left" vertical="center"/>
    </xf>
    <xf numFmtId="49" fontId="7" fillId="0" borderId="23" xfId="0" applyNumberFormat="1" applyFont="1" applyFill="1" applyBorder="1" applyAlignment="1">
      <alignment horizontal="left" vertical="center" wrapText="1"/>
    </xf>
    <xf numFmtId="49" fontId="9" fillId="0" borderId="24" xfId="0" applyNumberFormat="1" applyFont="1" applyBorder="1" applyAlignment="1">
      <alignment horizontal="left" vertical="center" wrapText="1"/>
    </xf>
    <xf numFmtId="49" fontId="7" fillId="0" borderId="2" xfId="0" applyNumberFormat="1" applyFont="1" applyFill="1" applyBorder="1" applyAlignment="1">
      <alignment horizontal="left" vertical="center" wrapText="1"/>
    </xf>
    <xf numFmtId="49" fontId="7" fillId="0" borderId="15" xfId="0" applyNumberFormat="1" applyFont="1" applyFill="1" applyBorder="1" applyAlignment="1">
      <alignment horizontal="left" vertical="center" wrapText="1"/>
    </xf>
    <xf numFmtId="9" fontId="6" fillId="0" borderId="27" xfId="0" applyNumberFormat="1" applyFont="1" applyFill="1" applyBorder="1" applyAlignment="1">
      <alignment horizontal="left" vertical="center" wrapText="1"/>
    </xf>
    <xf numFmtId="49" fontId="13" fillId="0" borderId="11"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49" fontId="6" fillId="0" borderId="28" xfId="0" applyNumberFormat="1" applyFont="1" applyFill="1" applyBorder="1" applyAlignment="1">
      <alignment horizontal="left" vertical="center" wrapText="1"/>
    </xf>
    <xf numFmtId="49" fontId="6" fillId="0" borderId="29" xfId="0" applyNumberFormat="1" applyFont="1" applyFill="1" applyBorder="1" applyAlignment="1">
      <alignment horizontal="left" vertical="center" wrapText="1"/>
    </xf>
    <xf numFmtId="49" fontId="6" fillId="0" borderId="5" xfId="0" applyNumberFormat="1" applyFont="1" applyFill="1" applyBorder="1" applyAlignment="1">
      <alignment horizontal="left" vertical="center" wrapText="1"/>
    </xf>
    <xf numFmtId="49" fontId="6" fillId="4" borderId="5" xfId="0" applyNumberFormat="1" applyFont="1" applyFill="1" applyBorder="1" applyAlignment="1">
      <alignment horizontal="left" vertical="center" wrapText="1"/>
    </xf>
    <xf numFmtId="9" fontId="6" fillId="0" borderId="30" xfId="0" applyNumberFormat="1" applyFont="1" applyFill="1" applyBorder="1" applyAlignment="1">
      <alignment horizontal="left" vertical="center" wrapText="1"/>
    </xf>
    <xf numFmtId="49" fontId="6" fillId="0" borderId="31" xfId="0" applyNumberFormat="1" applyFont="1" applyFill="1" applyBorder="1" applyAlignment="1">
      <alignment horizontal="left" vertical="center" wrapText="1"/>
    </xf>
    <xf numFmtId="49" fontId="13" fillId="0" borderId="31" xfId="0" applyNumberFormat="1" applyFont="1" applyFill="1" applyBorder="1" applyAlignment="1">
      <alignment horizontal="left" vertical="center" wrapText="1"/>
    </xf>
    <xf numFmtId="49" fontId="11" fillId="0" borderId="32" xfId="0" applyNumberFormat="1" applyFont="1" applyFill="1" applyBorder="1" applyAlignment="1">
      <alignment horizontal="left" vertical="center" wrapText="1"/>
    </xf>
    <xf numFmtId="49" fontId="7" fillId="0" borderId="5" xfId="0" applyNumberFormat="1" applyFont="1" applyFill="1" applyBorder="1" applyAlignment="1">
      <alignment horizontal="left" vertical="center" wrapText="1"/>
    </xf>
    <xf numFmtId="49" fontId="7" fillId="0" borderId="31" xfId="0" applyNumberFormat="1" applyFont="1" applyFill="1" applyBorder="1" applyAlignment="1">
      <alignment horizontal="left" vertical="center" wrapText="1"/>
    </xf>
    <xf numFmtId="49" fontId="14" fillId="0" borderId="31" xfId="0" applyNumberFormat="1" applyFont="1" applyFill="1" applyBorder="1" applyAlignment="1">
      <alignment horizontal="left" vertical="center" wrapText="1"/>
    </xf>
    <xf numFmtId="49" fontId="9" fillId="0" borderId="32" xfId="0" applyNumberFormat="1" applyFont="1" applyBorder="1" applyAlignment="1">
      <alignment horizontal="left" vertical="center" wrapText="1"/>
    </xf>
    <xf numFmtId="49" fontId="9" fillId="0" borderId="33" xfId="0" applyNumberFormat="1" applyFont="1" applyBorder="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vertical="center" wrapText="1"/>
    </xf>
    <xf numFmtId="49" fontId="0" fillId="0" borderId="0" xfId="0" applyNumberFormat="1" applyFont="1" applyBorder="1" applyAlignment="1">
      <alignment vertical="center" wrapText="1"/>
    </xf>
    <xf numFmtId="49" fontId="0" fillId="0" borderId="0" xfId="0" applyNumberFormat="1" applyFont="1" applyBorder="1" applyAlignment="1">
      <alignment horizontal="left" vertical="center" wrapText="1"/>
    </xf>
    <xf numFmtId="9" fontId="0" fillId="0" borderId="0" xfId="0" applyNumberFormat="1" applyFont="1" applyAlignment="1">
      <alignment horizontal="left" vertical="center" wrapText="1"/>
    </xf>
    <xf numFmtId="49" fontId="0" fillId="0" borderId="0" xfId="0" applyNumberFormat="1" applyFont="1">
      <alignment vertical="center"/>
    </xf>
    <xf numFmtId="49" fontId="0" fillId="0" borderId="0" xfId="0" applyNumberFormat="1" applyFont="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zoomScale="78" zoomScaleNormal="78" workbookViewId="0">
      <selection sqref="A1:E1"/>
    </sheetView>
  </sheetViews>
  <sheetFormatPr defaultColWidth="8.90625" defaultRowHeight="17"/>
  <cols>
    <col min="1" max="1" width="6.453125" style="95" bestFit="1" customWidth="1"/>
    <col min="2" max="2" width="26.08984375" style="96" customWidth="1"/>
    <col min="3" max="3" width="24.453125" style="97" customWidth="1"/>
    <col min="4" max="4" width="18.6328125" style="97" customWidth="1"/>
    <col min="5" max="5" width="17.453125" style="98" customWidth="1"/>
    <col min="6" max="6" width="13.08984375" style="99" customWidth="1"/>
    <col min="7" max="7" width="105.08984375" style="100" customWidth="1"/>
    <col min="8" max="8" width="25.6328125" style="101" customWidth="1"/>
    <col min="9" max="9" width="55.453125" style="101" customWidth="1"/>
    <col min="10" max="10" width="29.453125" style="101" customWidth="1"/>
    <col min="11" max="11" width="24.453125" style="101" customWidth="1"/>
    <col min="12" max="16384" width="8.90625" style="100"/>
  </cols>
  <sheetData>
    <row r="1" spans="1:11" s="5" customFormat="1" ht="41.25" customHeight="1">
      <c r="A1" s="1" t="s">
        <v>0</v>
      </c>
      <c r="B1" s="1"/>
      <c r="C1" s="1"/>
      <c r="D1" s="1"/>
      <c r="E1" s="1"/>
      <c r="F1" s="2"/>
      <c r="G1" s="3"/>
      <c r="H1" s="4"/>
      <c r="I1" s="4"/>
      <c r="J1" s="4"/>
      <c r="K1" s="4"/>
    </row>
    <row r="2" spans="1:11" s="13" customFormat="1" ht="27.75" customHeight="1" thickBot="1">
      <c r="A2" s="6" t="s">
        <v>1</v>
      </c>
      <c r="B2" s="7" t="s">
        <v>2</v>
      </c>
      <c r="C2" s="8"/>
      <c r="D2" s="9" t="s">
        <v>3</v>
      </c>
      <c r="E2" s="10" t="s">
        <v>4</v>
      </c>
      <c r="F2" s="11" t="s">
        <v>5</v>
      </c>
      <c r="G2" s="12"/>
      <c r="H2" s="12" t="s">
        <v>6</v>
      </c>
      <c r="I2" s="12" t="s">
        <v>7</v>
      </c>
      <c r="J2" s="12" t="s">
        <v>8</v>
      </c>
      <c r="K2" s="12" t="s">
        <v>9</v>
      </c>
    </row>
    <row r="3" spans="1:11" s="23" customFormat="1" ht="76" customHeight="1">
      <c r="A3" s="14" t="s">
        <v>10</v>
      </c>
      <c r="B3" s="15" t="s">
        <v>11</v>
      </c>
      <c r="C3" s="16" t="s">
        <v>12</v>
      </c>
      <c r="D3" s="16" t="s">
        <v>13</v>
      </c>
      <c r="E3" s="17" t="s">
        <v>13</v>
      </c>
      <c r="F3" s="18">
        <f>80/80</f>
        <v>1</v>
      </c>
      <c r="G3" s="19" t="s">
        <v>14</v>
      </c>
      <c r="H3" s="20" t="s">
        <v>15</v>
      </c>
      <c r="I3" s="20"/>
      <c r="J3" s="21"/>
      <c r="K3" s="22" t="s">
        <v>16</v>
      </c>
    </row>
    <row r="4" spans="1:11" s="23" customFormat="1" ht="76" customHeight="1" thickBot="1">
      <c r="A4" s="24"/>
      <c r="B4" s="25"/>
      <c r="C4" s="26" t="s">
        <v>17</v>
      </c>
      <c r="D4" s="26" t="s">
        <v>18</v>
      </c>
      <c r="E4" s="27" t="s">
        <v>19</v>
      </c>
      <c r="F4" s="28">
        <f>170/160</f>
        <v>1.0625</v>
      </c>
      <c r="G4" s="29" t="s">
        <v>20</v>
      </c>
      <c r="H4" s="30"/>
      <c r="I4" s="30"/>
      <c r="J4" s="31"/>
      <c r="K4" s="32" t="s">
        <v>21</v>
      </c>
    </row>
    <row r="5" spans="1:11" s="23" customFormat="1" ht="31.5" customHeight="1">
      <c r="A5" s="14" t="s">
        <v>22</v>
      </c>
      <c r="B5" s="33" t="s">
        <v>23</v>
      </c>
      <c r="C5" s="34" t="s">
        <v>24</v>
      </c>
      <c r="D5" s="34" t="s">
        <v>25</v>
      </c>
      <c r="E5" s="17" t="s">
        <v>26</v>
      </c>
      <c r="F5" s="18" t="s">
        <v>27</v>
      </c>
      <c r="G5" s="35"/>
      <c r="H5" s="20" t="s">
        <v>28</v>
      </c>
      <c r="I5" s="20"/>
      <c r="J5" s="20"/>
      <c r="K5" s="36" t="s">
        <v>29</v>
      </c>
    </row>
    <row r="6" spans="1:11" s="23" customFormat="1" ht="27.75" customHeight="1" thickBot="1">
      <c r="A6" s="24"/>
      <c r="B6" s="25"/>
      <c r="C6" s="37" t="s">
        <v>30</v>
      </c>
      <c r="D6" s="37" t="s">
        <v>25</v>
      </c>
      <c r="E6" s="27" t="s">
        <v>31</v>
      </c>
      <c r="F6" s="28" t="s">
        <v>32</v>
      </c>
      <c r="G6" s="38"/>
      <c r="H6" s="30"/>
      <c r="I6" s="30"/>
      <c r="J6" s="30"/>
      <c r="K6" s="32" t="s">
        <v>33</v>
      </c>
    </row>
    <row r="7" spans="1:11" s="41" customFormat="1" ht="39.65" customHeight="1">
      <c r="A7" s="14" t="s">
        <v>34</v>
      </c>
      <c r="B7" s="33" t="s">
        <v>35</v>
      </c>
      <c r="C7" s="16" t="s">
        <v>36</v>
      </c>
      <c r="D7" s="16" t="s">
        <v>37</v>
      </c>
      <c r="E7" s="17" t="s">
        <v>37</v>
      </c>
      <c r="F7" s="18">
        <f>3/3</f>
        <v>1</v>
      </c>
      <c r="G7" s="39" t="s">
        <v>38</v>
      </c>
      <c r="H7" s="39" t="s">
        <v>39</v>
      </c>
      <c r="I7" s="39" t="s">
        <v>40</v>
      </c>
      <c r="J7" s="39" t="s">
        <v>41</v>
      </c>
      <c r="K7" s="40" t="s">
        <v>42</v>
      </c>
    </row>
    <row r="8" spans="1:11" s="41" customFormat="1" ht="54.5" customHeight="1" thickBot="1">
      <c r="A8" s="24"/>
      <c r="B8" s="25"/>
      <c r="C8" s="26" t="s">
        <v>43</v>
      </c>
      <c r="D8" s="26" t="s">
        <v>44</v>
      </c>
      <c r="E8" s="27" t="s">
        <v>45</v>
      </c>
      <c r="F8" s="28">
        <f>21/20</f>
        <v>1.05</v>
      </c>
      <c r="G8" s="42"/>
      <c r="H8" s="43"/>
      <c r="I8" s="43"/>
      <c r="J8" s="43"/>
      <c r="K8" s="44" t="s">
        <v>46</v>
      </c>
    </row>
    <row r="9" spans="1:11" s="41" customFormat="1" ht="68.25" customHeight="1">
      <c r="A9" s="14" t="s">
        <v>47</v>
      </c>
      <c r="B9" s="33" t="s">
        <v>48</v>
      </c>
      <c r="C9" s="16" t="s">
        <v>36</v>
      </c>
      <c r="D9" s="16" t="s">
        <v>49</v>
      </c>
      <c r="E9" s="17" t="s">
        <v>50</v>
      </c>
      <c r="F9" s="18">
        <f>8/1</f>
        <v>8</v>
      </c>
      <c r="G9" s="39" t="s">
        <v>51</v>
      </c>
      <c r="H9" s="39" t="s">
        <v>52</v>
      </c>
      <c r="I9" s="39" t="s">
        <v>53</v>
      </c>
      <c r="J9" s="39" t="s">
        <v>54</v>
      </c>
      <c r="K9" s="40"/>
    </row>
    <row r="10" spans="1:11" s="41" customFormat="1" ht="35.25" customHeight="1">
      <c r="A10" s="45"/>
      <c r="B10" s="15"/>
      <c r="C10" s="46" t="s">
        <v>55</v>
      </c>
      <c r="D10" s="46" t="s">
        <v>56</v>
      </c>
      <c r="E10" s="47" t="s">
        <v>57</v>
      </c>
      <c r="F10" s="48">
        <f>1785000/15000</f>
        <v>119</v>
      </c>
      <c r="G10" s="49"/>
      <c r="H10" s="50"/>
      <c r="I10" s="50"/>
      <c r="J10" s="49"/>
      <c r="K10" s="51"/>
    </row>
    <row r="11" spans="1:11" s="41" customFormat="1" ht="90.65" customHeight="1" thickBot="1">
      <c r="A11" s="24"/>
      <c r="B11" s="25"/>
      <c r="C11" s="26" t="s">
        <v>58</v>
      </c>
      <c r="D11" s="26" t="s">
        <v>59</v>
      </c>
      <c r="E11" s="27" t="s">
        <v>60</v>
      </c>
      <c r="F11" s="28">
        <f>13/10</f>
        <v>1.3</v>
      </c>
      <c r="G11" s="42"/>
      <c r="H11" s="43"/>
      <c r="I11" s="43"/>
      <c r="J11" s="42"/>
      <c r="K11" s="44"/>
    </row>
    <row r="12" spans="1:11" s="55" customFormat="1" ht="61.5" customHeight="1">
      <c r="A12" s="52" t="s">
        <v>61</v>
      </c>
      <c r="B12" s="33" t="s">
        <v>62</v>
      </c>
      <c r="C12" s="34" t="s">
        <v>63</v>
      </c>
      <c r="D12" s="34" t="s">
        <v>64</v>
      </c>
      <c r="E12" s="17" t="s">
        <v>65</v>
      </c>
      <c r="F12" s="18">
        <f>26/25</f>
        <v>1.04</v>
      </c>
      <c r="G12" s="39" t="s">
        <v>66</v>
      </c>
      <c r="H12" s="53" t="s">
        <v>67</v>
      </c>
      <c r="I12" s="53" t="s">
        <v>68</v>
      </c>
      <c r="J12" s="53" t="s">
        <v>69</v>
      </c>
      <c r="K12" s="54"/>
    </row>
    <row r="13" spans="1:11" s="55" customFormat="1" ht="85.5" customHeight="1" thickBot="1">
      <c r="A13" s="56"/>
      <c r="B13" s="25"/>
      <c r="C13" s="37" t="s">
        <v>70</v>
      </c>
      <c r="D13" s="37" t="s">
        <v>71</v>
      </c>
      <c r="E13" s="27" t="s">
        <v>72</v>
      </c>
      <c r="F13" s="57">
        <f>2036000/200000</f>
        <v>10.18</v>
      </c>
      <c r="G13" s="42"/>
      <c r="H13" s="30"/>
      <c r="I13" s="30"/>
      <c r="J13" s="58"/>
      <c r="K13" s="59"/>
    </row>
    <row r="14" spans="1:11" s="41" customFormat="1" ht="27" customHeight="1">
      <c r="A14" s="14" t="s">
        <v>73</v>
      </c>
      <c r="B14" s="33" t="s">
        <v>74</v>
      </c>
      <c r="C14" s="16" t="s">
        <v>75</v>
      </c>
      <c r="D14" s="16" t="s">
        <v>49</v>
      </c>
      <c r="E14" s="17" t="s">
        <v>76</v>
      </c>
      <c r="F14" s="18">
        <f>2/1</f>
        <v>2</v>
      </c>
      <c r="G14" s="39" t="s">
        <v>77</v>
      </c>
      <c r="H14" s="39" t="s">
        <v>78</v>
      </c>
      <c r="I14" s="39" t="s">
        <v>79</v>
      </c>
      <c r="J14" s="39" t="s">
        <v>80</v>
      </c>
      <c r="K14" s="40" t="s">
        <v>81</v>
      </c>
    </row>
    <row r="15" spans="1:11" s="41" customFormat="1" ht="25.5" customHeight="1">
      <c r="A15" s="45"/>
      <c r="B15" s="15"/>
      <c r="C15" s="46" t="s">
        <v>70</v>
      </c>
      <c r="D15" s="46" t="s">
        <v>82</v>
      </c>
      <c r="E15" s="47" t="s">
        <v>83</v>
      </c>
      <c r="F15" s="60">
        <f>325000/50000</f>
        <v>6.5</v>
      </c>
      <c r="G15" s="49"/>
      <c r="H15" s="50"/>
      <c r="I15" s="50"/>
      <c r="J15" s="49"/>
      <c r="K15" s="51" t="s">
        <v>84</v>
      </c>
    </row>
    <row r="16" spans="1:11" s="41" customFormat="1" ht="34.5" customHeight="1" thickBot="1">
      <c r="A16" s="24"/>
      <c r="B16" s="25"/>
      <c r="C16" s="26" t="s">
        <v>85</v>
      </c>
      <c r="D16" s="26" t="s">
        <v>86</v>
      </c>
      <c r="E16" s="27" t="s">
        <v>87</v>
      </c>
      <c r="F16" s="61">
        <f>5/5</f>
        <v>1</v>
      </c>
      <c r="G16" s="42"/>
      <c r="H16" s="43"/>
      <c r="I16" s="43"/>
      <c r="J16" s="42"/>
      <c r="K16" s="44" t="s">
        <v>88</v>
      </c>
    </row>
    <row r="17" spans="1:11" s="41" customFormat="1" ht="32.25" customHeight="1">
      <c r="A17" s="14" t="s">
        <v>89</v>
      </c>
      <c r="B17" s="33" t="s">
        <v>90</v>
      </c>
      <c r="C17" s="16" t="s">
        <v>91</v>
      </c>
      <c r="D17" s="16" t="s">
        <v>49</v>
      </c>
      <c r="E17" s="17" t="s">
        <v>92</v>
      </c>
      <c r="F17" s="18">
        <f>1/1</f>
        <v>1</v>
      </c>
      <c r="G17" s="39" t="s">
        <v>93</v>
      </c>
      <c r="H17" s="62"/>
      <c r="I17" s="63"/>
      <c r="J17" s="39" t="s">
        <v>94</v>
      </c>
      <c r="K17" s="40" t="s">
        <v>95</v>
      </c>
    </row>
    <row r="18" spans="1:11" s="41" customFormat="1" ht="28.5" customHeight="1" thickBot="1">
      <c r="A18" s="24"/>
      <c r="B18" s="25"/>
      <c r="C18" s="26" t="s">
        <v>96</v>
      </c>
      <c r="D18" s="26" t="s">
        <v>97</v>
      </c>
      <c r="E18" s="27" t="s">
        <v>98</v>
      </c>
      <c r="F18" s="61">
        <f>1/1</f>
        <v>1</v>
      </c>
      <c r="G18" s="42"/>
      <c r="H18" s="43"/>
      <c r="I18" s="64"/>
      <c r="J18" s="42"/>
      <c r="K18" s="44" t="s">
        <v>99</v>
      </c>
    </row>
    <row r="19" spans="1:11" s="41" customFormat="1" ht="55" customHeight="1">
      <c r="A19" s="14" t="s">
        <v>100</v>
      </c>
      <c r="B19" s="33" t="s">
        <v>101</v>
      </c>
      <c r="C19" s="16" t="s">
        <v>36</v>
      </c>
      <c r="D19" s="16" t="s">
        <v>37</v>
      </c>
      <c r="E19" s="17" t="s">
        <v>102</v>
      </c>
      <c r="F19" s="18">
        <f>21/3</f>
        <v>7</v>
      </c>
      <c r="G19" s="39" t="s">
        <v>103</v>
      </c>
      <c r="H19" s="39" t="s">
        <v>104</v>
      </c>
      <c r="I19" s="39" t="s">
        <v>105</v>
      </c>
      <c r="J19" s="39" t="s">
        <v>106</v>
      </c>
      <c r="K19" s="40" t="s">
        <v>107</v>
      </c>
    </row>
    <row r="20" spans="1:11" s="41" customFormat="1" ht="55" customHeight="1">
      <c r="A20" s="45"/>
      <c r="B20" s="15"/>
      <c r="C20" s="46" t="s">
        <v>70</v>
      </c>
      <c r="D20" s="46" t="s">
        <v>108</v>
      </c>
      <c r="E20" s="47" t="s">
        <v>109</v>
      </c>
      <c r="F20" s="48">
        <f>6135728/1000000</f>
        <v>6.1357280000000003</v>
      </c>
      <c r="G20" s="49"/>
      <c r="H20" s="50"/>
      <c r="I20" s="50"/>
      <c r="J20" s="50"/>
      <c r="K20" s="51" t="s">
        <v>110</v>
      </c>
    </row>
    <row r="21" spans="1:11" s="41" customFormat="1" ht="55" customHeight="1">
      <c r="A21" s="45"/>
      <c r="B21" s="15"/>
      <c r="C21" s="46" t="s">
        <v>111</v>
      </c>
      <c r="D21" s="46" t="s">
        <v>112</v>
      </c>
      <c r="E21" s="65">
        <f>F21</f>
        <v>1.1000000000000001</v>
      </c>
      <c r="F21" s="48">
        <f>(21-10)/10</f>
        <v>1.1000000000000001</v>
      </c>
      <c r="G21" s="49"/>
      <c r="H21" s="50"/>
      <c r="I21" s="50"/>
      <c r="J21" s="50"/>
      <c r="K21" s="51" t="s">
        <v>113</v>
      </c>
    </row>
    <row r="22" spans="1:11" s="41" customFormat="1" ht="55" customHeight="1">
      <c r="A22" s="45"/>
      <c r="B22" s="15"/>
      <c r="C22" s="46" t="s">
        <v>114</v>
      </c>
      <c r="D22" s="46" t="s">
        <v>115</v>
      </c>
      <c r="E22" s="65">
        <f>F22</f>
        <v>2.1266344999051854</v>
      </c>
      <c r="F22" s="48">
        <f>(5935728-1898440)/1898440</f>
        <v>2.1266344999051854</v>
      </c>
      <c r="G22" s="49"/>
      <c r="H22" s="50"/>
      <c r="I22" s="50"/>
      <c r="J22" s="50"/>
      <c r="K22" s="51" t="s">
        <v>113</v>
      </c>
    </row>
    <row r="23" spans="1:11" s="41" customFormat="1" ht="55" customHeight="1">
      <c r="A23" s="45"/>
      <c r="B23" s="15"/>
      <c r="C23" s="46" t="s">
        <v>116</v>
      </c>
      <c r="D23" s="46" t="s">
        <v>117</v>
      </c>
      <c r="E23" s="47" t="s">
        <v>118</v>
      </c>
      <c r="F23" s="48">
        <f>38/7</f>
        <v>5.4285714285714288</v>
      </c>
      <c r="G23" s="49"/>
      <c r="H23" s="50"/>
      <c r="I23" s="50"/>
      <c r="J23" s="50"/>
      <c r="K23" s="51" t="s">
        <v>119</v>
      </c>
    </row>
    <row r="24" spans="1:11" s="41" customFormat="1" ht="55" customHeight="1">
      <c r="A24" s="45"/>
      <c r="B24" s="15"/>
      <c r="C24" s="46" t="s">
        <v>120</v>
      </c>
      <c r="D24" s="46" t="s">
        <v>121</v>
      </c>
      <c r="E24" s="47" t="s">
        <v>122</v>
      </c>
      <c r="F24" s="60">
        <f>29/15</f>
        <v>1.9333333333333333</v>
      </c>
      <c r="G24" s="49"/>
      <c r="H24" s="50"/>
      <c r="I24" s="50"/>
      <c r="J24" s="50"/>
      <c r="K24" s="51" t="s">
        <v>123</v>
      </c>
    </row>
    <row r="25" spans="1:11" s="41" customFormat="1" ht="108" customHeight="1" thickBot="1">
      <c r="A25" s="24"/>
      <c r="B25" s="25"/>
      <c r="C25" s="26" t="s">
        <v>124</v>
      </c>
      <c r="D25" s="26" t="s">
        <v>117</v>
      </c>
      <c r="E25" s="27" t="s">
        <v>118</v>
      </c>
      <c r="F25" s="61">
        <f>38/7</f>
        <v>5.4285714285714288</v>
      </c>
      <c r="G25" s="42"/>
      <c r="H25" s="43"/>
      <c r="I25" s="43"/>
      <c r="J25" s="43"/>
      <c r="K25" s="44" t="s">
        <v>119</v>
      </c>
    </row>
    <row r="26" spans="1:11" s="41" customFormat="1" ht="47.15" customHeight="1">
      <c r="A26" s="14" t="s">
        <v>125</v>
      </c>
      <c r="B26" s="33" t="s">
        <v>126</v>
      </c>
      <c r="C26" s="16" t="s">
        <v>127</v>
      </c>
      <c r="D26" s="16" t="s">
        <v>128</v>
      </c>
      <c r="E26" s="17" t="s">
        <v>129</v>
      </c>
      <c r="F26" s="18">
        <f>130/120</f>
        <v>1.0833333333333333</v>
      </c>
      <c r="G26" s="39" t="s">
        <v>130</v>
      </c>
      <c r="H26" s="62" t="s">
        <v>28</v>
      </c>
      <c r="I26" s="63"/>
      <c r="J26" s="39"/>
      <c r="K26" s="40" t="s">
        <v>131</v>
      </c>
    </row>
    <row r="27" spans="1:11" s="41" customFormat="1" ht="65" customHeight="1">
      <c r="A27" s="45"/>
      <c r="B27" s="15"/>
      <c r="C27" s="46" t="s">
        <v>132</v>
      </c>
      <c r="D27" s="46" t="s">
        <v>133</v>
      </c>
      <c r="E27" s="47" t="s">
        <v>134</v>
      </c>
      <c r="F27" s="48">
        <f>76/15</f>
        <v>5.0666666666666664</v>
      </c>
      <c r="G27" s="66"/>
      <c r="H27" s="50"/>
      <c r="I27" s="67"/>
      <c r="J27" s="49"/>
      <c r="K27" s="51" t="s">
        <v>135</v>
      </c>
    </row>
    <row r="28" spans="1:11" s="41" customFormat="1" ht="53.5" customHeight="1" thickBot="1">
      <c r="A28" s="24"/>
      <c r="B28" s="25"/>
      <c r="C28" s="26" t="s">
        <v>136</v>
      </c>
      <c r="D28" s="26" t="s">
        <v>137</v>
      </c>
      <c r="E28" s="27" t="s">
        <v>137</v>
      </c>
      <c r="F28" s="61">
        <f>3/3</f>
        <v>1</v>
      </c>
      <c r="G28" s="29" t="s">
        <v>138</v>
      </c>
      <c r="H28" s="43"/>
      <c r="I28" s="64"/>
      <c r="J28" s="42"/>
      <c r="K28" s="44" t="s">
        <v>139</v>
      </c>
    </row>
    <row r="29" spans="1:11" s="23" customFormat="1" ht="30" customHeight="1">
      <c r="A29" s="14" t="s">
        <v>140</v>
      </c>
      <c r="B29" s="33" t="s">
        <v>141</v>
      </c>
      <c r="C29" s="68" t="s">
        <v>142</v>
      </c>
      <c r="D29" s="34" t="s">
        <v>143</v>
      </c>
      <c r="E29" s="69" t="s">
        <v>144</v>
      </c>
      <c r="F29" s="18">
        <f>3/1</f>
        <v>3</v>
      </c>
      <c r="G29" s="39" t="s">
        <v>145</v>
      </c>
      <c r="H29" s="20" t="s">
        <v>28</v>
      </c>
      <c r="I29" s="53" t="s">
        <v>146</v>
      </c>
      <c r="J29" s="20"/>
      <c r="K29" s="70" t="s">
        <v>147</v>
      </c>
    </row>
    <row r="30" spans="1:11" s="23" customFormat="1" ht="33.75" customHeight="1">
      <c r="A30" s="45"/>
      <c r="B30" s="15"/>
      <c r="C30" s="71"/>
      <c r="D30" s="72" t="s">
        <v>148</v>
      </c>
      <c r="E30" s="47" t="s">
        <v>149</v>
      </c>
      <c r="F30" s="73">
        <f>109/30</f>
        <v>3.6333333333333333</v>
      </c>
      <c r="G30" s="66"/>
      <c r="H30" s="74"/>
      <c r="I30" s="75"/>
      <c r="J30" s="74"/>
      <c r="K30" s="76" t="s">
        <v>46</v>
      </c>
    </row>
    <row r="31" spans="1:11" s="23" customFormat="1" ht="33" customHeight="1">
      <c r="A31" s="45"/>
      <c r="B31" s="15"/>
      <c r="C31" s="71" t="s">
        <v>150</v>
      </c>
      <c r="D31" s="72" t="s">
        <v>143</v>
      </c>
      <c r="E31" s="47" t="s">
        <v>144</v>
      </c>
      <c r="F31" s="48">
        <f>3/1</f>
        <v>3</v>
      </c>
      <c r="G31" s="77" t="s">
        <v>151</v>
      </c>
      <c r="H31" s="74"/>
      <c r="I31" s="75"/>
      <c r="J31" s="74"/>
      <c r="K31" s="76" t="s">
        <v>147</v>
      </c>
    </row>
    <row r="32" spans="1:11" s="23" customFormat="1" ht="37" customHeight="1" thickBot="1">
      <c r="A32" s="24"/>
      <c r="B32" s="25"/>
      <c r="C32" s="78"/>
      <c r="D32" s="37" t="s">
        <v>152</v>
      </c>
      <c r="E32" s="27" t="s">
        <v>153</v>
      </c>
      <c r="F32" s="79">
        <f>190/50</f>
        <v>3.8</v>
      </c>
      <c r="G32" s="58"/>
      <c r="H32" s="30"/>
      <c r="I32" s="58"/>
      <c r="J32" s="30"/>
      <c r="K32" s="32" t="s">
        <v>46</v>
      </c>
    </row>
    <row r="33" spans="1:11" s="41" customFormat="1" ht="151.5" customHeight="1">
      <c r="A33" s="14" t="s">
        <v>154</v>
      </c>
      <c r="B33" s="33" t="s">
        <v>155</v>
      </c>
      <c r="C33" s="16" t="s">
        <v>156</v>
      </c>
      <c r="D33" s="16" t="s">
        <v>157</v>
      </c>
      <c r="E33" s="17" t="s">
        <v>158</v>
      </c>
      <c r="F33" s="18">
        <f>96/30</f>
        <v>3.2</v>
      </c>
      <c r="G33" s="39" t="s">
        <v>159</v>
      </c>
      <c r="H33" s="39" t="s">
        <v>160</v>
      </c>
      <c r="I33" s="39" t="s">
        <v>161</v>
      </c>
      <c r="J33" s="80"/>
      <c r="K33" s="40" t="s">
        <v>162</v>
      </c>
    </row>
    <row r="34" spans="1:11" s="41" customFormat="1" ht="162" customHeight="1" thickBot="1">
      <c r="A34" s="24"/>
      <c r="B34" s="25"/>
      <c r="C34" s="26" t="s">
        <v>163</v>
      </c>
      <c r="D34" s="26" t="s">
        <v>164</v>
      </c>
      <c r="E34" s="27" t="s">
        <v>165</v>
      </c>
      <c r="F34" s="61">
        <f>19/6</f>
        <v>3.1666666666666665</v>
      </c>
      <c r="G34" s="38"/>
      <c r="H34" s="43"/>
      <c r="I34" s="43"/>
      <c r="J34" s="81"/>
      <c r="K34" s="44" t="s">
        <v>166</v>
      </c>
    </row>
    <row r="35" spans="1:11" s="41" customFormat="1" ht="207.65" customHeight="1" thickBot="1">
      <c r="A35" s="82" t="s">
        <v>167</v>
      </c>
      <c r="B35" s="83" t="s">
        <v>168</v>
      </c>
      <c r="C35" s="84" t="s">
        <v>169</v>
      </c>
      <c r="D35" s="84" t="s">
        <v>170</v>
      </c>
      <c r="E35" s="85" t="s">
        <v>171</v>
      </c>
      <c r="F35" s="86">
        <f>33/2</f>
        <v>16.5</v>
      </c>
      <c r="G35" s="87" t="s">
        <v>172</v>
      </c>
      <c r="H35" s="87" t="s">
        <v>173</v>
      </c>
      <c r="I35" s="87" t="s">
        <v>174</v>
      </c>
      <c r="J35" s="88"/>
      <c r="K35" s="89" t="s">
        <v>175</v>
      </c>
    </row>
    <row r="36" spans="1:11" s="41" customFormat="1" ht="88.5" customHeight="1" thickBot="1">
      <c r="A36" s="82" t="s">
        <v>176</v>
      </c>
      <c r="B36" s="83" t="s">
        <v>177</v>
      </c>
      <c r="C36" s="84" t="s">
        <v>178</v>
      </c>
      <c r="D36" s="84" t="s">
        <v>152</v>
      </c>
      <c r="E36" s="85" t="s">
        <v>179</v>
      </c>
      <c r="F36" s="86">
        <f>140/50</f>
        <v>2.8</v>
      </c>
      <c r="G36" s="87" t="s">
        <v>180</v>
      </c>
      <c r="H36" s="87" t="s">
        <v>181</v>
      </c>
      <c r="I36" s="87"/>
      <c r="J36" s="88"/>
      <c r="K36" s="89" t="s">
        <v>182</v>
      </c>
    </row>
    <row r="37" spans="1:11" s="23" customFormat="1" ht="377.15" customHeight="1" thickBot="1">
      <c r="A37" s="82" t="s">
        <v>183</v>
      </c>
      <c r="B37" s="83" t="s">
        <v>184</v>
      </c>
      <c r="C37" s="90" t="s">
        <v>185</v>
      </c>
      <c r="D37" s="90" t="s">
        <v>186</v>
      </c>
      <c r="E37" s="85" t="s">
        <v>187</v>
      </c>
      <c r="F37" s="86">
        <f>22/20</f>
        <v>1.1000000000000001</v>
      </c>
      <c r="G37" s="87" t="s">
        <v>188</v>
      </c>
      <c r="H37" s="91" t="s">
        <v>189</v>
      </c>
      <c r="I37" s="91" t="s">
        <v>190</v>
      </c>
      <c r="J37" s="92"/>
      <c r="K37" s="93" t="s">
        <v>191</v>
      </c>
    </row>
    <row r="38" spans="1:11" s="23" customFormat="1" ht="169" customHeight="1" thickBot="1">
      <c r="A38" s="82" t="s">
        <v>192</v>
      </c>
      <c r="B38" s="83" t="s">
        <v>193</v>
      </c>
      <c r="C38" s="90" t="s">
        <v>178</v>
      </c>
      <c r="D38" s="90" t="s">
        <v>194</v>
      </c>
      <c r="E38" s="85" t="s">
        <v>195</v>
      </c>
      <c r="F38" s="86">
        <f>245/100</f>
        <v>2.4500000000000002</v>
      </c>
      <c r="G38" s="87" t="s">
        <v>196</v>
      </c>
      <c r="H38" s="91" t="s">
        <v>28</v>
      </c>
      <c r="I38" s="91"/>
      <c r="J38" s="92"/>
      <c r="K38" s="94" t="s">
        <v>197</v>
      </c>
    </row>
  </sheetData>
  <mergeCells count="68">
    <mergeCell ref="J29:J32"/>
    <mergeCell ref="C31:C32"/>
    <mergeCell ref="G31:G32"/>
    <mergeCell ref="A33:A34"/>
    <mergeCell ref="B33:B34"/>
    <mergeCell ref="G33:G34"/>
    <mergeCell ref="H33:H34"/>
    <mergeCell ref="I33:I34"/>
    <mergeCell ref="J33:J34"/>
    <mergeCell ref="A29:A32"/>
    <mergeCell ref="B29:B32"/>
    <mergeCell ref="C29:C30"/>
    <mergeCell ref="G29:G30"/>
    <mergeCell ref="H29:H32"/>
    <mergeCell ref="I29:I32"/>
    <mergeCell ref="J19:J25"/>
    <mergeCell ref="A26:A28"/>
    <mergeCell ref="B26:B28"/>
    <mergeCell ref="G26:G27"/>
    <mergeCell ref="H26:H28"/>
    <mergeCell ref="J26:J28"/>
    <mergeCell ref="A17:A18"/>
    <mergeCell ref="B17:B18"/>
    <mergeCell ref="G17:G18"/>
    <mergeCell ref="H17:H18"/>
    <mergeCell ref="J17:J18"/>
    <mergeCell ref="A19:A25"/>
    <mergeCell ref="B19:B25"/>
    <mergeCell ref="G19:G25"/>
    <mergeCell ref="H19:H25"/>
    <mergeCell ref="I19:I25"/>
    <mergeCell ref="A14:A16"/>
    <mergeCell ref="B14:B16"/>
    <mergeCell ref="G14:G16"/>
    <mergeCell ref="H14:H16"/>
    <mergeCell ref="I14:I16"/>
    <mergeCell ref="J14:J16"/>
    <mergeCell ref="A12:A13"/>
    <mergeCell ref="B12:B13"/>
    <mergeCell ref="G12:G13"/>
    <mergeCell ref="H12:H13"/>
    <mergeCell ref="I12:I13"/>
    <mergeCell ref="J12:J13"/>
    <mergeCell ref="A9:A11"/>
    <mergeCell ref="B9:B11"/>
    <mergeCell ref="G9:G11"/>
    <mergeCell ref="H9:H11"/>
    <mergeCell ref="I9:I11"/>
    <mergeCell ref="J9:J11"/>
    <mergeCell ref="A7:A8"/>
    <mergeCell ref="B7:B8"/>
    <mergeCell ref="G7:G8"/>
    <mergeCell ref="H7:H8"/>
    <mergeCell ref="I7:I8"/>
    <mergeCell ref="J7:J8"/>
    <mergeCell ref="J3:J4"/>
    <mergeCell ref="A5:A6"/>
    <mergeCell ref="B5:B6"/>
    <mergeCell ref="G5:G6"/>
    <mergeCell ref="H5:H6"/>
    <mergeCell ref="I5:I6"/>
    <mergeCell ref="J5:J6"/>
    <mergeCell ref="A1:E1"/>
    <mergeCell ref="B2:C2"/>
    <mergeCell ref="A3:A4"/>
    <mergeCell ref="B3:B4"/>
    <mergeCell ref="H3:H4"/>
    <mergeCell ref="I3:I4"/>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108年度績效執行表(1080101-1081231)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2020-03-23T06:01:55Z</dcterms:created>
  <dcterms:modified xsi:type="dcterms:W3CDTF">2020-03-23T06:08:22Z</dcterms:modified>
</cp:coreProperties>
</file>